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96EE28F-5058-4FE5-80B7-C7EA7CDEF396}"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3" i="127"/>
  <c r="B64"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F38" i="34"/>
  <c r="F71" i="34"/>
  <c r="G210" i="29"/>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B5527" i="106"/>
  <c r="D5527" i="106" s="1"/>
  <c r="B1381" i="106"/>
  <c r="D1381" i="106" s="1"/>
  <c r="B1365" i="106"/>
  <c r="D1365" i="106" s="1"/>
  <c r="F65" i="34"/>
  <c r="L16" i="11"/>
  <c r="B2061" i="106" s="1"/>
  <c r="D2061" i="106" s="1"/>
  <c r="B2031" i="106"/>
  <c r="D203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<sst xmlns="http://schemas.openxmlformats.org/spreadsheetml/2006/main" count="5102" uniqueCount="2123">
  <si>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</si>
  <si>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</si>
  <si>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</si>
  <si>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</si>
  <si>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</si>
  <si>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</si>
  <si>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</si>
  <si>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</si>
  <si>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</si>
  <si>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</si>
  <si>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</si>
  <si>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</si>
  <si>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</si>
  <si>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</si>
  <si>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</si>
  <si>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</si>
  <si>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</si>
  <si>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</si>
  <si>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</si>
  <si>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</si>
  <si>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</si>
  <si>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</si>
  <si>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</si>
  <si>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</si>
  <si>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</si>
  <si>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</si>
  <si>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</si>
  <si>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</si>
  <si>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</si>
  <si>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</si>
  <si>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</si>
  <si>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</si>
  <si>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</si>
  <si>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</si>
  <si>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</si>
  <si>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</si>
  <si>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</si>
  <si>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</si>
  <si>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</si>
  <si>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</si>
  <si>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</si>
  <si>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</si>
  <si>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</si>
  <si>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</si>
  <si>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</si>
  <si>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</si>
  <si>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</si>
  <si>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</si>
  <si>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</si>
  <si>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</si>
  <si>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</si>
  <si>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</si>
  <si>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</si>
  <si>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</si>
  <si>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</si>
  <si>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</si>
  <si>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</si>
  <si>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</si>
  <si>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</si>
  <si>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</si>
  <si>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</si>
  <si>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</si>
  <si>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</si>
  <si>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</si>
  <si>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</si>
  <si>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</si>
  <si>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</si>
  <si>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</si>
  <si>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</si>
  <si>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</si>
  <si>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</si>
  <si>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</si>
  <si>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</si>
  <si>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</si>
  <si>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</si>
  <si>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</si>
  <si>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</si>
  <si>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</si>
  <si>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</si>
  <si>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</si>
  <si>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</si>
  <si>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</si>
  <si>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</si>
  <si>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</si>
  <si>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</si>
  <si>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</si>
  <si>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</si>
  <si>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</si>
  <si>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</si>
  <si>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</si>
  <si>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</si>
  <si>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</si>
  <si>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</si>
  <si>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</si>
  <si>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</si>
  <si>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</si>
  <si>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</si>
  <si>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</si>
  <si>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</si>
  <si>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</si>
  <si>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</si>
  <si>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</si>
  <si>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</si>
  <si>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</si>
  <si>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</si>
  <si>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</si>
  <si>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</si>
  <si>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</si>
  <si>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</si>
  <si>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</si>
  <si>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</si>
  <si>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</si>
  <si>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</si>
  <si>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</si>
  <si>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</si>
  <si>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</si>
  <si>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</si>
  <si>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</si>
  <si>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</si>
  <si>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</si>
  <si>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</si>
  <si>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</si>
  <si>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</si>
  <si>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</si>
  <si>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</si>
  <si>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</si>
  <si>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</si>
  <si>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</si>
  <si>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</si>
  <si>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</si>
  <si>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</si>
  <si>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</si>
  <si>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</si>
  <si>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</si>
  <si>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</si>
  <si>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</si>
  <si>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</si>
  <si>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</si>
  <si>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</si>
  <si>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</si>
  <si>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</si>
  <si>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</si>
  <si>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</si>
  <si>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</si>
  <si>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</si>
  <si>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</si>
  <si>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</si>
  <si>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</si>
  <si>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</si>
  <si>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</si>
  <si>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</si>
  <si>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</si>
  <si>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</si>
  <si>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</si>
  <si>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</si>
  <si>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</si>
  <si>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</si>
  <si>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</si>
  <si>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</si>
  <si>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</si>
  <si>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</si>
  <si>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</si>
  <si>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</si>
  <si>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</si>
  <si>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</si>
  <si>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</si>
  <si>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</si>
  <si>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</si>
  <si>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</si>
  <si>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</si>
  <si>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</si>
  <si>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</si>
  <si>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</si>
  <si>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</si>
  <si>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</si>
  <si>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</si>
  <si>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</si>
  <si>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</si>
  <si>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</si>
  <si>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</si>
  <si>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</si>
  <si>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</si>
  <si>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</si>
  <si>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</si>
  <si>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</si>
  <si>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</si>
  <si>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</si>
  <si>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</si>
  <si>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</si>
  <si>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</si>
  <si>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</si>
  <si>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</si>
  <si>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</si>
  <si>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</si>
  <si>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</si>
  <si>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</si>
  <si>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</si>
  <si>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</si>
  <si>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</si>
  <si>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</si>
  <si>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</si>
  <si>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</si>
  <si>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</si>
  <si>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</si>
  <si>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</si>
  <si>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</si>
  <si>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</si>
  <si>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</si>
  <si>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</si>
  <si>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</si>
  <si>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</si>
  <si>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</si>
  <si>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</si>
  <si>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</si>
  <si>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</si>
  <si>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</si>
  <si>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</si>
  <si>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</si>
  <si>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</si>
  <si>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</si>
  <si>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</si>
  <si>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</si>
  <si>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</si>
  <si>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</si>
  <si>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</si>
  <si>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</si>
  <si>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</si>
  <si>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</si>
  <si>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</si>
  <si>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</si>
  <si>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</si>
  <si>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</si>
  <si>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</si>
  <si>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</si>
  <si>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</si>
  <si>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</si>
  <si>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</si>
  <si>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</si>
  <si>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</si>
  <si>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</si>
  <si>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</si>
  <si>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</si>
  <si>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</si>
  <si>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</si>
  <si>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</si>
  <si>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</si>
  <si>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</si>
  <si>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</si>
  <si>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</si>
  <si>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</si>
  <si>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</si>
  <si>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</si>
  <si>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</si>
  <si>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</si>
  <si>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</si>
  <si>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</si>
  <si>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</si>
  <si>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</si>
  <si>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</si>
  <si>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</si>
  <si>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</si>
  <si>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</si>
  <si>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</si>
  <si>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</si>
  <si>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</si>
  <si>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</si>
  <si>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</si>
  <si>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</si>
  <si>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</si>
  <si>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</si>
  <si>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</si>
  <si>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</si>
  <si>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</si>
  <si>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</si>
  <si>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</si>
  <si>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</si>
  <si>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</si>
  <si>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</si>
  <si>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</si>
  <si>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</si>
  <si>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</si>
  <si>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</si>
  <si>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</si>
  <si>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</si>
  <si>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</si>
  <si>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</si>
  <si>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</si>
  <si>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</si>
  <si>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</si>
  <si>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</si>
  <si>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</si>
  <si>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</si>
  <si>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</si>
  <si>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</si>
  <si>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</si>
  <si>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</si>
  <si>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</si>
  <si>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</si>
  <si>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</si>
  <si>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</si>
  <si>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</si>
  <si>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</si>
  <si>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</si>
  <si>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</si>
  <si>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</si>
  <si>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</si>
  <si>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</si>
  <si>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</si>
  <si>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</si>
  <si>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</si>
  <si>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</si>
  <si>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</si>
  <si>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</si>
  <si>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</si>
  <si>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</si>
  <si>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</si>
  <si>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</si>
  <si>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</si>
  <si>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</si>
  <si>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</si>
  <si>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</si>
  <si>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</si>
  <si>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</si>
  <si>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</si>
  <si>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</si>
  <si>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</si>
  <si>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</si>
  <si>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</si>
  <si>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</si>
  <si>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</si>
  <si>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</si>
  <si>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</si>
  <si>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</si>
  <si>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</si>
  <si>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</si>
  <si>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</si>
  <si>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</si>
  <si>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</si>
  <si>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</si>
  <si>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</si>
  <si>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</si>
  <si>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</si>
  <si>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</si>
  <si>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</si>
  <si>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</si>
  <si>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</si>
  <si>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</si>
  <si>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</si>
  <si>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</si>
  <si>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</si>
  <si>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</si>
  <si>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</si>
  <si>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</si>
  <si>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</si>
  <si>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</si>
  <si>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</si>
  <si>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</si>
  <si>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</si>
  <si>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</si>
  <si>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</si>
  <si>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</si>
  <si>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</si>
  <si>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</si>
  <si>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</si>
  <si>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</si>
  <si>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</si>
  <si>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</si>
  <si>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</si>
  <si>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</si>
  <si>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</si>
  <si>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</si>
  <si>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</si>
  <si>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</si>
  <si>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</si>
  <si>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</si>
  <si>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</si>
  <si>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</si>
  <si>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</si>
  <si>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</si>
  <si>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</si>
  <si>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</si>
  <si>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</si>
  <si>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</si>
  <si>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</si>
  <si>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</si>
  <si>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</si>
  <si>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</si>
  <si>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</si>
  <si>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</si>
  <si>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</si>
  <si>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</si>
  <si>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</si>
  <si>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</si>
  <si>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</si>
  <si>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</si>
  <si>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</si>
  <si>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</si>
  <si>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</si>
  <si>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</si>
  <si>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</si>
  <si>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</si>
  <si>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</si>
  <si>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</si>
  <si>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</si>
  <si>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</si>
  <si>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</si>
  <si>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</si>
  <si>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</si>
  <si>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</si>
  <si>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</si>
  <si>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</si>
  <si>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</si>
  <si>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</si>
  <si>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</si>
  <si>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</si>
  <si>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</si>
  <si>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</si>
  <si>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</si>
  <si>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</si>
  <si>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</si>
  <si>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</si>
  <si>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</si>
  <si>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</si>
  <si>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</si>
  <si>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</si>
  <si>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</si>
  <si>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</si>
  <si>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</si>
  <si>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</si>
  <si>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</si>
  <si>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</si>
  <si>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</si>
  <si>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</si>
  <si>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</si>
  <si>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</si>
  <si>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</si>
  <si>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</si>
  <si>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</si>
  <si>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</si>
  <si>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</si>
  <si>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</si>
  <si>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</si>
  <si>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</si>
  <si>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</si>
  <si>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</si>
  <si>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</si>
  <si>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</si>
  <si>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</si>
  <si>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</si>
  <si>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</si>
  <si>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</si>
  <si>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</si>
  <si>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</si>
  <si>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</si>
  <si>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</si>
  <si>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</si>
  <si>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</si>
  <si>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</si>
  <si>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</si>
  <si>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</si>
  <si>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</si>
  <si>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</si>
  <si>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</si>
  <si>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</si>
  <si>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</si>
  <si>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</si>
  <si>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</si>
  <si>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</si>
  <si>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</si>
  <si>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</si>
  <si>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</si>
  <si>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</si>
  <si>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</si>
  <si>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</si>
  <si>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</si>
  <si>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</si>
  <si>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</si>
  <si>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</si>
  <si>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</si>
  <si>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</si>
  <si>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</si>
  <si>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</si>
  <si>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</si>
  <si>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</si>
  <si>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</si>
  <si>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</si>
  <si>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</si>
  <si>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</si>
  <si>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</si>
  <si>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</si>
  <si>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</si>
  <si>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</si>
  <si>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</si>
  <si>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</si>
  <si>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</si>
  <si>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</si>
  <si>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</si>
  <si>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</si>
  <si>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</si>
  <si>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</si>
  <si>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</si>
  <si>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</si>
  <si>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</si>
  <si>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</si>
  <si>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</si>
  <si>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</si>
  <si>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</si>
  <si>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</si>
  <si>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</si>
  <si>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</si>
  <si>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</si>
  <si>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</si>
  <si>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</si>
  <si>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</si>
  <si>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</si>
  <si>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</si>
  <si>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</si>
  <si>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</si>
  <si>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</si>
  <si>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</si>
  <si>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</si>
  <si>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</si>
  <si>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</si>
  <si>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</si>
  <si>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</si>
  <si>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</si>
  <si>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</si>
  <si>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</si>
  <si>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</si>
  <si>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</si>
  <si>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</si>
  <si>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</si>
  <si>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</si>
  <si>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</si>
  <si>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</si>
  <si>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</si>
  <si>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</si>
  <si>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</si>
  <si>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</si>
  <si>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</si>
  <si>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</si>
  <si>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</si>
  <si>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</si>
  <si>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</si>
  <si>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</si>
  <si>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</si>
  <si>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</si>
  <si>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</si>
  <si>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</si>
  <si>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</si>
  <si>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</si>
  <si>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</si>
  <si>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</si>
  <si>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</si>
  <si>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</si>
  <si>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</si>
  <si>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</si>
  <si>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</si>
  <si>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</si>
  <si>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</si>
  <si>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</si>
  <si>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</si>
  <si>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</si>
  <si>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</si>
  <si>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</si>
  <si>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</si>
  <si>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</si>
  <si>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</si>
  <si>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</si>
  <si>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</si>
  <si>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</si>
  <si>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</si>
  <si>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</si>
  <si>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</si>
  <si>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</si>
  <si>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</si>
  <si>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</si>
  <si>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</si>
  <si>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</si>
  <si>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</si>
  <si>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</si>
  <si>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</si>
  <si>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</si>
  <si>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</si>
  <si>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</si>
  <si>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</si>
  <si>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</si>
  <si>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</si>
  <si>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</si>
  <si>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</si>
  <si>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</si>
  <si>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</si>
  <si>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</si>
  <si>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</si>
  <si>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</si>
  <si>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</si>
  <si>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</si>
  <si>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</si>
  <si>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</si>
  <si>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</si>
  <si>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</si>
  <si>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</si>
  <si>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</si>
  <si>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</si>
  <si>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</si>
  <si>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</si>
  <si>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</si>
  <si>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</si>
  <si>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</si>
  <si>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</si>
  <si>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</si>
  <si>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</si>
  <si>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</si>
  <si>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</si>
  <si>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</si>
  <si>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</si>
  <si>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</si>
  <si>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</si>
  <si>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</si>
  <si>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</si>
  <si>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</si>
  <si>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</si>
  <si>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</si>
  <si>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</si>
  <si>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</si>
  <si>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</si>
  <si>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</si>
  <si>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</si>
  <si>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</si>
  <si>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</si>
  <si>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</si>
  <si>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</si>
  <si>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</si>
  <si>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</si>
  <si>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</si>
  <si>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</si>
  <si>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</si>
  <si>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</si>
  <si>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</si>
  <si>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</si>
  <si>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</si>
  <si>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</si>
  <si>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</si>
  <si>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</si>
  <si>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</si>
  <si>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</si>
  <si>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</si>
  <si>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</si>
  <si>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</si>
  <si>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</si>
  <si>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</si>
  <si>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</si>
  <si>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</si>
  <si>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</si>
  <si>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</si>
  <si>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</si>
  <si>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</si>
  <si>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</si>
  <si>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</si>
  <si>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</si>
  <si>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</si>
  <si>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</si>
  <si>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</si>
  <si>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</si>
  <si>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</si>
  <si>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</si>
  <si>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</si>
  <si>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</si>
  <si>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</si>
  <si>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</si>
  <si>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</si>
  <si>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</si>
  <si>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</si>
  <si>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</si>
  <si>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</si>
  <si>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</si>
  <si>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</si>
  <si>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</si>
  <si>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</si>
  <si>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</si>
  <si>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</si>
  <si>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</si>
  <si>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</si>
  <si>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</si>
  <si>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</si>
  <si>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</si>
  <si>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</si>
  <si>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</si>
  <si>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</si>
  <si>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</si>
  <si>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</si>
  <si>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</si>
  <si>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</si>
  <si>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</si>
  <si>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</si>
  <si>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</si>
  <si>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</si>
  <si>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</si>
  <si>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</si>
  <si>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</si>
  <si>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</si>
  <si>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</si>
  <si>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</si>
  <si>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</si>
  <si>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</si>
  <si>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</si>
  <si>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</si>
  <si>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</si>
  <si>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</si>
  <si>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</si>
  <si>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</si>
  <si>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</si>
  <si>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</si>
  <si>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</si>
  <si>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</si>
  <si>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</si>
  <si>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</si>
  <si>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</si>
  <si>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</si>
  <si>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</si>
  <si>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</si>
  <si>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</si>
  <si>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</si>
  <si>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</si>
  <si>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</si>
  <si>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</si>
  <si>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</si>
  <si>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</si>
  <si>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</si>
  <si>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</si>
  <si>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</si>
  <si>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</si>
  <si>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</si>
  <si>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</si>
  <si>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</si>
  <si>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</si>
  <si>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</si>
  <si>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</si>
  <si>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</si>
  <si>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</si>
  <si>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</si>
  <si>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</si>
  <si>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</si>
  <si>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</si>
  <si>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</si>
  <si>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</si>
  <si>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</si>
  <si>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</si>
  <si>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</si>
  <si>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</si>
  <si>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</si>
  <si>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</si>
  <si>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</si>
  <si>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</si>
  <si>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</si>
  <si>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</si>
  <si>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</si>
  <si>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</si>
  <si>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</si>
  <si>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</si>
  <si>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</si>
  <si>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</si>
  <si>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</si>
  <si>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</si>
  <si>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</si>
  <si>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</si>
  <si>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</si>
  <si>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</si>
  <si>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</si>
  <si>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</si>
  <si>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</si>
  <si>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</si>
  <si>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</si>
  <si>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</si>
  <si>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</si>
  <si>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</si>
  <si>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</si>
  <si>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</si>
  <si>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</si>
  <si>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</si>
  <si>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</si>
  <si>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</si>
  <si>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</si>
  <si>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</si>
  <si>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</si>
  <si>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</si>
  <si>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</si>
  <si>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</si>
  <si>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</si>
  <si>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</si>
  <si>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</si>
  <si>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</si>
  <si>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</si>
  <si>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</si>
  <si>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</si>
  <si>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</si>
  <si>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</si>
  <si>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</si>
  <si>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</si>
  <si>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</si>
  <si>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</si>
  <si>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</si>
  <si>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</si>
  <si>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</si>
  <si>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</si>
  <si>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</si>
  <si>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</si>
  <si>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</si>
  <si>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</si>
  <si>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</si>
  <si>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</si>
  <si>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</si>
  <si>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</si>
  <si>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</si>
  <si>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</si>
  <si>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</si>
  <si>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</si>
  <si>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</si>
  <si>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</si>
  <si>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</si>
  <si>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</si>
  <si>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</si>
  <si>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</si>
  <si>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</si>
  <si>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</si>
  <si>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</si>
  <si>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</si>
  <si>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</si>
  <si>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</si>
  <si>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</si>
  <si>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</si>
  <si>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</si>
  <si>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</si>
  <si>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</si>
  <si>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</si>
  <si>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</si>
  <si>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</si>
  <si>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</si>
  <si>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</si>
  <si>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</si>
  <si>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</si>
  <si>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</si>
  <si>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</si>
  <si>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</si>
  <si>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</si>
  <si>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</si>
  <si>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</si>
  <si>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</si>
  <si>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</si>
  <si>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</si>
  <si>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</si>
  <si>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</si>
  <si>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</si>
  <si>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</si>
  <si>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</si>
  <si>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</si>
  <si>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</si>
  <si>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</si>
  <si>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</si>
  <si>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</si>
  <si>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</si>
  <si>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</si>
  <si>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</si>
  <si>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</si>
  <si>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</si>
  <si>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</si>
  <si>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</si>
  <si>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</si>
  <si>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</si>
  <si>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</si>
  <si>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</si>
  <si>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</si>
  <si>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</si>
  <si>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</si>
  <si>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</si>
  <si>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</si>
  <si>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</si>
  <si>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</si>
  <si>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</si>
  <si>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</si>
  <si>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</si>
  <si>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</si>
  <si>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</si>
  <si>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</si>
  <si>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</si>
  <si>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</si>
  <si>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</si>
  <si>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</si>
  <si>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</si>
  <si>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</si>
  <si>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</si>
  <si>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</si>
  <si>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</si>
  <si>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</si>
  <si>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</si>
  <si>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</si>
  <si>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</si>
  <si>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</si>
  <si>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</si>
  <si>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</si>
  <si>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</si>
  <si>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</si>
  <si>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</si>
  <si>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</si>
  <si>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</si>
  <si>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</si>
  <si>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</si>
  <si>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</si>
  <si>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</si>
  <si>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</si>
  <si>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</si>
  <si>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</si>
  <si>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</si>
  <si>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</si>
  <si>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</si>
  <si>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</si>
  <si>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</si>
  <si>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</si>
  <si>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</si>
  <si>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</si>
  <si>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</si>
  <si>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</si>
  <si>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</si>
  <si>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</si>
  <si>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</si>
  <si>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</si>
  <si>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</si>
  <si>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</si>
  <si>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</si>
  <si>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</si>
  <si>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</si>
  <si>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</si>
  <si>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</si>
  <si>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</si>
  <si>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</si>
  <si>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</si>
  <si>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</si>
  <si>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</si>
  <si>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</si>
  <si>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</si>
  <si>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</si>
  <si>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</si>
  <si>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</si>
  <si>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</si>
  <si>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</si>
  <si>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</si>
  <si>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</si>
  <si>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</si>
  <si>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</si>
  <si>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</si>
  <si>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</si>
  <si>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</si>
  <si>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</si>
  <si>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</si>
  <si>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</si>
  <si>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</si>
  <si>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</si>
  <si>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</si>
  <si>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</si>
  <si>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</si>
  <si>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</si>
  <si>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</si>
  <si>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</si>
  <si>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</si>
  <si>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</si>
  <si>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</si>
  <si>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</si>
  <si>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</si>
  <si>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</si>
  <si>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</si>
  <si>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</si>
  <si>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</si>
  <si>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</si>
  <si>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</si>
  <si>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</si>
  <si>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</si>
  <si>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</si>
  <si>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</si>
  <si>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</si>
  <si>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</si>
  <si>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</si>
  <si>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</si>
  <si>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</si>
  <si>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</si>
  <si>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</si>
  <si>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</si>
  <si>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</si>
  <si>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</si>
  <si>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</si>
  <si>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</si>
  <si>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</si>
  <si>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</si>
  <si>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</si>
  <si>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</si>
  <si>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</si>
  <si>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</si>
  <si>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</si>
  <si>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</si>
  <si>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</si>
  <si>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</si>
  <si>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</si>
  <si>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</si>
  <si>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</si>
  <si>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</si>
  <si>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</si>
  <si>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</si>
  <si>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</si>
  <si>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</si>
  <si>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</si>
  <si>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</si>
  <si>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</si>
  <si>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</si>
  <si>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</si>
  <si>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</si>
  <si>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</si>
  <si>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</si>
  <si>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</si>
  <si>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</si>
  <si>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</si>
  <si>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</si>
  <si>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</si>
  <si>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</si>
  <si>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</si>
  <si>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</si>
  <si>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</si>
  <si>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</si>
  <si>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</si>
  <si>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</si>
  <si>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</si>
  <si>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</si>
  <si>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</si>
  <si>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</si>
  <si>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</si>
  <si>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</si>
  <si>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</si>
  <si>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</si>
  <si>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</si>
  <si>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</si>
  <si>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</si>
  <si>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</si>
  <si>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</si>
  <si>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</si>
  <si>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</si>
  <si>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</si>
  <si>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</si>
  <si>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</si>
  <si>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</si>
  <si>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</si>
  <si>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</si>
  <si>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</si>
  <si>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</si>
  <si>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</si>
  <si>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</si>
  <si>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</si>
  <si>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</si>
  <si>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</si>
  <si>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</si>
  <si>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</si>
  <si>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</si>
  <si>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</si>
  <si>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</si>
  <si>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</si>
  <si>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</si>
  <si>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</si>
  <si>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</si>
  <si>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</si>
  <si>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</si>
  <si>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</si>
  <si>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</si>
  <si>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</si>
  <si>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</si>
  <si>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</si>
  <si>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</si>
  <si>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</si>
  <si>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</si>
  <si>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</si>
  <si>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</si>
  <si>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</si>
  <si>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</si>
  <si>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</si>
  <si>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</si>
  <si>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</si>
  <si>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</si>
  <si>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</si>
  <si>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</si>
  <si>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</si>
  <si>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</si>
  <si>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</si>
  <si>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</si>
  <si>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</si>
  <si>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</si>
  <si>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</si>
  <si>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</si>
  <si>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</si>
  <si>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</si>
  <si>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</si>
  <si>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</si>
  <si>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</si>
  <si>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</si>
  <si>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</si>
  <si>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</si>
  <si>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</si>
  <si>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</si>
  <si>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</si>
  <si>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</si>
  <si>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</si>
  <si>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</si>
  <si>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</si>
  <si>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</si>
  <si>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</si>
  <si>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</si>
  <si>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</si>
  <si>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</si>
  <si>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</si>
  <si>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</si>
  <si>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</si>
  <si>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</si>
  <si>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</si>
  <si>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</si>
  <si>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</si>
  <si>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</si>
  <si>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</si>
  <si>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</si>
  <si>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</si>
  <si>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</si>
  <si>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</si>
  <si>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</si>
  <si>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</si>
  <si>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</si>
  <si>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</si>
  <si>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</si>
  <si>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</si>
  <si>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</si>
  <si>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</si>
  <si>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</si>
  <si>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</si>
  <si>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</si>
  <si>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</si>
  <si>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</si>
  <si>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</si>
  <si>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</si>
  <si>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</si>
  <si>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</si>
  <si>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</si>
  <si>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</si>
  <si>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</si>
  <si>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</si>
  <si>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</si>
  <si>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</si>
  <si>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</si>
  <si>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</si>
  <si>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</si>
  <si>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</si>
  <si>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</si>
  <si>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</si>
  <si>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</si>
  <si>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</si>
  <si>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</si>
  <si>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</si>
  <si>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</si>
  <si>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</si>
  <si>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</si>
  <si>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</si>
  <si>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</si>
  <si>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</si>
  <si>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</si>
  <si>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</si>
  <si>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</si>
  <si>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</si>
  <si>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</si>
  <si>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</si>
  <si>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</si>
  <si>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</si>
  <si>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</si>
  <si>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</si>
  <si>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</si>
  <si>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</si>
  <si>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</si>
  <si>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</si>
  <si>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</si>
  <si>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</si>
  <si>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</si>
  <si>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</si>
  <si>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</si>
  <si>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</si>
  <si>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</si>
  <si>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</si>
  <si>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</si>
  <si>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</si>
  <si>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</si>
  <si>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</si>
  <si>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</si>
  <si>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</si>
  <si>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</si>
  <si>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</si>
  <si>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</si>
  <si>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</si>
  <si>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</si>
  <si>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</si>
  <si>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</si>
  <si>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</si>
  <si>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</si>
  <si>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</si>
  <si>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</si>
  <si>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</si>
  <si>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</si>
  <si>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</si>
  <si>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</si>
  <si>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</si>
  <si>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</si>
  <si>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</si>
  <si>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</si>
  <si>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</si>
  <si>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</si>
  <si>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</si>
  <si>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</si>
  <si>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</si>
  <si>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</si>
  <si>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</si>
  <si>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</si>
  <si>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</si>
  <si>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</si>
  <si>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</si>
  <si>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</si>
  <si>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</si>
  <si>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</si>
  <si>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</si>
  <si>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</si>
  <si>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</si>
  <si>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</si>
  <si>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</si>
  <si>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</si>
  <si>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</si>
  <si>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</si>
  <si>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</si>
  <si>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</si>
  <si>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</si>
  <si>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</si>
  <si>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</si>
  <si>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</si>
  <si>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</si>
  <si>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</si>
  <si>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</si>
  <si>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</si>
  <si>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</si>
  <si>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</si>
  <si>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</si>
  <si>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</si>
  <si>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</si>
  <si>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</si>
  <si>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</si>
  <si>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</si>
  <si>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</si>
  <si>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</si>
  <si>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</si>
  <si>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</si>
  <si>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</si>
  <si>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</si>
  <si>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</si>
  <si>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</si>
  <si>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</si>
  <si>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</si>
  <si>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</si>
  <si>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</si>
  <si>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</si>
  <si>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</si>
  <si>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</si>
  <si>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</si>
  <si>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</si>
  <si>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</si>
  <si>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</si>
  <si>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</si>
  <si>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</si>
  <si>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</si>
  <si>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</si>
  <si>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</si>
  <si>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</si>
  <si>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</si>
  <si>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</si>
  <si>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</si>
  <si>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</si>
  <si>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</si>
  <si>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</si>
  <si>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</si>
  <si>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</si>
  <si>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</si>
  <si>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</si>
  <si>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</si>
  <si>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</si>
  <si>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</si>
  <si>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</si>
  <si>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</si>
  <si>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</si>
  <si>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</si>
  <si>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</si>
  <si>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</si>
  <si>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</si>
  <si>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</si>
  <si>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</si>
  <si>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</si>
  <si>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</si>
  <si>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</si>
  <si>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</si>
  <si>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</si>
  <si>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</si>
  <si>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</si>
  <si>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</si>
  <si>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</si>
  <si>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</si>
  <si>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</si>
  <si>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</si>
  <si>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</si>
  <si>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</si>
  <si>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</si>
  <si>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</si>
  <si>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</si>
  <si>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</si>
  <si>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</si>
  <si>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</si>
  <si>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</si>
  <si>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</si>
  <si>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</si>
  <si>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</si>
  <si>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</si>
  <si>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</si>
  <si>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</si>
  <si>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</si>
  <si>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</si>
  <si>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</si>
  <si>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</si>
  <si>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</si>
  <si>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</si>
  <si>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</si>
  <si>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</si>
  <si>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</si>
  <si>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</si>
  <si>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</si>
  <si>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</si>
  <si>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</si>
  <si>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</si>
  <si>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</si>
  <si>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</si>
  <si>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</si>
  <si>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</si>
  <si>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</si>
  <si>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</si>
  <si>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</si>
  <si>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</si>
  <si>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</si>
  <si>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</si>
  <si>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</si>
  <si>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</si>
  <si>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</si>
  <si>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</si>
  <si>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</si>
  <si>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</si>
  <si>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</si>
  <si>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</si>
  <si>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</si>
  <si>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</si>
  <si>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</si>
  <si>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</si>
  <si>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</si>
  <si>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</si>
  <si>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</si>
  <si>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</si>
  <si>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</si>
  <si>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</si>
  <si>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</si>
  <si>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</si>
  <si>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</si>
  <si>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</si>
  <si>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</si>
  <si>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</si>
  <si>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</si>
  <si>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</si>
  <si>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</si>
  <si>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</si>
  <si>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</si>
  <si>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</si>
  <si>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</si>
  <si>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</si>
  <si>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</si>
  <si>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</si>
  <si>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</si>
  <si>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</si>
  <si>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</si>
  <si>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</si>
  <si>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</si>
  <si>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</si>
  <si>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</si>
  <si>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</si>
  <si>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</si>
  <si>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</si>
  <si>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</si>
  <si>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</si>
  <si>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</si>
  <si>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</si>
  <si>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</si>
  <si>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</si>
  <si>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</si>
  <si>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</si>
  <si>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</si>
  <si>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</si>
  <si>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</si>
  <si>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</si>
  <si>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</si>
  <si>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</si>
  <si>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</si>
  <si>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</si>
  <si>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</si>
  <si>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</si>
  <si>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</si>
  <si>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</si>
  <si>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</si>
  <si>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</si>
  <si>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</si>
  <si>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</si>
  <si>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</si>
  <si>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</si>
  <si>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</si>
  <si>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</si>
  <si>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</si>
  <si>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</si>
  <si>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</si>
  <si>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</si>
  <si>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</si>
  <si>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</si>
  <si>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</si>
  <si>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</si>
  <si>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</si>
  <si>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</si>
  <si>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</si>
  <si>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</si>
  <si>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</si>
  <si>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</si>
  <si>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</si>
  <si>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</si>
  <si>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</si>
  <si>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</si>
  <si>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</si>
  <si>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</si>
  <si>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</si>
  <si>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</si>
  <si>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</si>
  <si>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</si>
  <si>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</si>
  <si>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</si>
  <si>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</si>
  <si>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</si>
  <si>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</si>
  <si>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</si>
  <si>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</si>
  <si>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</si>
  <si>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</si>
  <si>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</si>
  <si>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</si>
  <si>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</si>
  <si>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</si>
  <si>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</si>
  <si>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</si>
  <si>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</si>
  <si>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</si>
  <si>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</si>
  <si>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</si>
  <si>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</si>
  <si>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</si>
  <si>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</si>
  <si>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</si>
  <si>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</si>
  <si>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</si>
  <si>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</si>
  <si>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</si>
  <si>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</si>
  <si>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</si>
  <si>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</si>
  <si>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</si>
  <si>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</si>
  <si>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</si>
  <si>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</si>
  <si>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</si>
  <si>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</si>
  <si>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</si>
  <si>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</si>
  <si>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</si>
  <si>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</si>
  <si>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</si>
  <si>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</si>
  <si>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</si>
  <si>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</si>
  <si>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</si>
  <si>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</si>
  <si>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</si>
  <si>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</si>
  <si>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</si>
  <si>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</si>
  <si>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</si>
  <si>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</si>
  <si>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</si>
  <si>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</si>
  <si>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</si>
  <si>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</si>
  <si>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</si>
  <si>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</si>
  <si>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</si>
  <si>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</si>
  <si>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</si>
  <si>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</si>
  <si>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</si>
  <si>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</si>
  <si>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</si>
  <si>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</si>
  <si>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</si>
  <si>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</si>
  <si>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</si>
  <si>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</si>
  <si>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</si>
  <si>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</si>
  <si>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</si>
  <si>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</si>
  <si>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</si>
  <si>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</si>
  <si>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</si>
  <si>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</si>
  <si>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</si>
  <si>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</si>
  <si>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</si>
  <si>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</si>
  <si>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</si>
  <si>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</si>
  <si>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</si>
  <si>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</si>
  <si>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</si>
  <si>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</si>
  <si>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</si>
  <si>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</si>
  <si>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</si>
  <si>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</si>
  <si>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</si>
  <si>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</si>
  <si>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</si>
  <si>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</si>
  <si>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</si>
  <si>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</si>
  <si>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</si>
  <si>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</si>
  <si>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</si>
  <si>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</si>
  <si>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</si>
  <si>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</si>
  <si>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</si>
  <si>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</si>
  <si>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</si>
  <si>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</si>
  <si>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</si>
  <si>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</si>
  <si>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</si>
  <si>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</si>
  <si>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</si>
  <si>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</si>
  <si>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</si>
  <si>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</si>
  <si>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</si>
  <si>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</si>
  <si>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</si>
  <si>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</si>
  <si>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</si>
  <si>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</si>
  <si>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</si>
  <si>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</si>
  <si>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</si>
  <si>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</si>
  <si>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</si>
  <si>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</si>
  <si>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</si>
  <si>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</si>
  <si>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</si>
  <si>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</si>
  <si>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</si>
  <si>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</si>
  <si>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</si>
  <si>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</si>
  <si>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</si>
  <si>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</si>
  <si>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</si>
  <si>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</si>
  <si>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</si>
  <si>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</si>
  <si>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</si>
  <si>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</si>
  <si>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</si>
  <si>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</si>
  <si>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</si>
  <si>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</si>
  <si>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</si>
  <si>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</si>
  <si>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</si>
  <si>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</si>
  <si>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</si>
  <si>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</si>
  <si>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</si>
  <si>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</si>
  <si>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</si>
  <si>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</si>
  <si>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</si>
  <si>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</si>
  <si>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</si>
  <si>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</si>
  <si>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</si>
  <si>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</si>
  <si>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</si>
  <si>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</si>
  <si>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</si>
  <si>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</si>
  <si>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</si>
  <si>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</si>
  <si>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</si>
  <si>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</si>
  <si>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</si>
  <si>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</si>
  <si>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</si>
  <si>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</si>
  <si>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</si>
  <si>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</si>
  <si>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</si>
  <si>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</si>
  <si>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</si>
  <si>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</si>
  <si>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</si>
  <si>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</si>
  <si>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</si>
  <si>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</si>
  <si>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</si>
  <si>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</si>
  <si>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</si>
  <si>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</si>
  <si>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</si>
  <si>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</si>
  <si>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</si>
  <si>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</si>
  <si>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</si>
  <si>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</si>
  <si>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</si>
  <si>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</si>
  <si>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</si>
  <si>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</si>
  <si>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</si>
  <si>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</si>
  <si>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</si>
  <si>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</si>
  <si>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</si>
  <si>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</si>
  <si>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</si>
  <si>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</si>
  <si>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</si>
  <si>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</si>
  <si>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</si>
  <si>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</si>
  <si>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</si>
  <si>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</si>
  <si>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</si>
  <si>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</si>
  <si>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</si>
  <si>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</si>
  <si>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</si>
  <si>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</si>
  <si>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</si>
  <si>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</si>
  <si>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</si>
  <si>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</si>
  <si>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</si>
  <si>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</si>
  <si>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</si>
  <si>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</si>
  <si>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</si>
  <si>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</si>
  <si>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</si>
  <si>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</si>
  <si>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</si>
  <si>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</si>
  <si>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</si>
  <si>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</si>
  <si>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</si>
  <si>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</si>
  <si>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</si>
  <si>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</si>
  <si>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</si>
  <si>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</si>
  <si>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</si>
  <si>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</si>
  <si>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</si>
  <si>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</si>
  <si>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</si>
  <si>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</si>
  <si>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</si>
  <si>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</si>
  <si>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</si>
  <si>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</si>
  <si>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</si>
  <si>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</si>
  <si>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</si>
  <si>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</si>
  <si>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</si>
  <si>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</si>
  <si>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</si>
  <si>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</si>
  <si>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</si>
  <si>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</si>
  <si>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</si>
  <si>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</si>
  <si>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</si>
  <si>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</si>
  <si>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</si>
  <si>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</si>
  <si>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</si>
  <si>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</si>
  <si>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</si>
  <si>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</si>
  <si>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</si>
  <si>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</si>
  <si>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</si>
  <si>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</si>
  <si>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</si>
  <si>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</si>
  <si>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</si>
  <si>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</si>
  <si>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</si>
  <si>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</si>
  <si>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</si>
  <si>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</si>
  <si>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</si>
  <si>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</si>
  <si>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</si>
  <si>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</si>
  <si>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</si>
  <si>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</si>
  <si>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</si>
  <si>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</si>
  <si>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</si>
  <si>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</si>
  <si>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</si>
  <si>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</si>
  <si>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</si>
  <si>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</si>
  <si>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</si>
  <si>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</si>
  <si>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</si>
  <si>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</si>
  <si>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</si>
  <si>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</si>
  <si>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</si>
  <si>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</si>
  <si>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</si>
  <si>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</si>
  <si>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</si>
  <si>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</si>
  <si>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</si>
  <si>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</si>
  <si>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</si>
  <si>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</si>
  <si>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</si>
  <si>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</si>
  <si>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</si>
  <si>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</si>
  <si>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</si>
  <si>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</si>
  <si>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</si>
  <si>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</si>
  <si>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</si>
  <si>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</si>
  <si>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</si>
  <si>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</si>
  <si>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</si>
  <si>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</si>
  <si>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</si>
  <si>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</si>
  <si>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</si>
  <si>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</si>
  <si>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</si>
  <si>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</si>
  <si>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</si>
  <si>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</si>
  <si>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</si>
  <si>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</si>
  <si>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</si>
  <si>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</si>
  <si>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</si>
  <si>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</si>
  <si>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</si>
  <si>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</si>
  <si>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</si>
  <si>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</si>
  <si>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</si>
  <si>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</si>
  <si>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</si>
  <si>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</si>
  <si>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</si>
  <si>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</si>
  <si>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</si>
  <si>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</si>
  <si>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</si>
  <si>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</si>
  <si>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</si>
  <si>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</si>
  <si>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</si>
  <si>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</si>
  <si>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</si>
  <si>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</si>
  <si>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</si>
  <si>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</si>
  <si>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</si>
  <si>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</si>
  <si>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</si>
  <si>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</si>
  <si>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</si>
  <si>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</si>
  <si>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</si>
  <si>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</si>
  <si>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</si>
  <si>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</si>
  <si>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</si>
  <si>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</si>
  <si>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</si>
  <si>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</si>
  <si>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</si>
  <si>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</si>
  <si>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</si>
  <si>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</si>
  <si>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</si>
  <si>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</si>
  <si>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</si>
  <si>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</si>
  <si>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</si>
  <si>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</si>
  <si>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</si>
  <si>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</si>
  <si>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</si>
  <si>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</si>
  <si>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</si>
  <si>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</si>
  <si>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</si>
  <si>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</si>
  <si>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</si>
  <si>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</si>
  <si>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</si>
  <si>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</si>
  <si>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</si>
  <si>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</si>
  <si>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</si>
  <si>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</si>
  <si>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</si>
  <si>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</si>
  <si>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</si>
  <si>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</si>
  <si>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</si>
  <si>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</si>
  <si>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</si>
  <si>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</si>
  <si>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</si>
  <si>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</si>
  <si>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</si>
  <si>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</si>
  <si>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</si>
  <si>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</si>
  <si>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</si>
  <si>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</si>
  <si>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</si>
  <si>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</si>
  <si>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</si>
  <si>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</si>
  <si>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</si>
  <si>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</si>
  <si>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</si>
  <si>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</si>
  <si>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</si>
  <si>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</si>
  <si>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</si>
  <si>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</si>
  <si>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</si>
  <si>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</si>
  <si>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</si>
  <si>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</si>
  <si>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</si>
  <si>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</si>
  <si>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</si>
  <si>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</si>
  <si>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</si>
  <si>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</si>
  <si>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</si>
  <si>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</si>
  <si>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</si>
  <si>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</si>
  <si>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</si>
  <si>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</si>
  <si>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</si>
  <si>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</si>
  <si>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</si>
  <si>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</si>
  <si>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</si>
  <si>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</si>
  <si>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</si>
  <si>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</si>
  <si>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</si>
  <si>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</si>
  <si>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</si>
  <si>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</si>
  <si>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</si>
  <si>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</si>
  <si>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</si>
  <si>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</si>
  <si>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</si>
  <si>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</si>
  <si>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</si>
  <si>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</si>
  <si>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</si>
  <si>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</si>
  <si>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</si>
  <si>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</si>
  <si>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</si>
  <si>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</si>
  <si>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</si>
  <si>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</si>
  <si>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</si>
  <si>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</si>
  <si>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</si>
  <si>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</si>
  <si>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</si>
  <si>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</si>
  <si>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</si>
  <si>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</si>
  <si>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</si>
  <si>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</si>
  <si>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</si>
  <si>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</si>
  <si>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</si>
  <si>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</si>
  <si>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</si>
  <si>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</si>
  <si>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</si>
  <si>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</si>
  <si>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</si>
  <si>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</si>
  <si>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</si>
  <si>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</si>
  <si>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</si>
  <si>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</si>
  <si>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</si>
  <si>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</si>
  <si>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</si>
  <si>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</si>
  <si>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</si>
  <si>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</si>
  <si>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</si>
  <si>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</si>
  <si>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</si>
  <si>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</si>
  <si>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</si>
  <si>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</si>
  <si>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</si>
  <si>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</si>
  <si>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</si>
  <si>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</si>
  <si>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</si>
  <si>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</si>
  <si>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</si>
  <si>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</si>
  <si>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</si>
  <si>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</si>
  <si>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</si>
  <si>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</si>
  <si>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</si>
  <si>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</si>
  <si>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</si>
  <si>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</si>
  <si>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</si>
  <si>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</si>
  <si>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</si>
  <si>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</si>
  <si>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</si>
  <si>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</si>
  <si>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</si>
  <si>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</si>
  <si>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</si>
  <si>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</si>
  <si>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</si>
  <si>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</si>
  <si>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</si>
  <si>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</si>
  <si>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</si>
  <si>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</si>
  <si>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</si>
  <si>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</si>
  <si>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</si>
  <si>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</si>
  <si>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</si>
  <si>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</si>
  <si>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</si>
  <si>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</si>
  <si>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</si>
  <si>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</si>
  <si>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</si>
  <si>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</si>
  <si>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</si>
  <si>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</si>
  <si>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</si>
  <si>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</si>
  <si>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</si>
  <si>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</si>
  <si>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</si>
  <si>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</si>
  <si>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</si>
  <si>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</si>
  <si>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</si>
  <si>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</si>
  <si>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</si>
  <si>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</si>
  <si>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</si>
  <si>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</si>
  <si>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</si>
  <si>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</si>
  <si>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</si>
  <si>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</si>
  <si>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</si>
  <si>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</si>
  <si>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</si>
  <si>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</si>
  <si>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</si>
  <si>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</si>
  <si>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</si>
  <si>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</si>
  <si>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</si>
  <si>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</si>
  <si>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</si>
  <si>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</si>
  <si>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</si>
  <si>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</si>
  <si>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</si>
  <si>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</si>
  <si>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</si>
  <si>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</si>
  <si>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</si>
  <si>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</si>
  <si>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</si>
  <si>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</si>
  <si>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</si>
  <si>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</si>
  <si>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</si>
  <si>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</si>
  <si>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</si>
  <si>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</si>
  <si>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</si>
  <si>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</si>
  <si>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</si>
  <si>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</si>
  <si>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</si>
  <si>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</si>
  <si>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</si>
  <si>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</si>
  <si>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</si>
  <si>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</si>
  <si>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</si>
  <si>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</si>
  <si>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</si>
  <si>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</si>
  <si>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</si>
  <si>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</si>
  <si>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</si>
  <si>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</si>
  <si>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</si>
  <si>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</si>
  <si>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</si>
  <si>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</si>
  <si>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</si>
  <si>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</si>
  <si>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</si>
  <si>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</si>
  <si>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</si>
  <si>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200 S SHELDON ST</t>
  </si>
  <si>
    <t>RANTOUL</t>
  </si>
  <si>
    <t>Scott Amerio</t>
  </si>
  <si>
    <t>samerio@rths.k12.il.us</t>
  </si>
  <si>
    <t>217-892-2151</t>
  </si>
  <si>
    <t>217-892-4442</t>
  </si>
  <si>
    <t>General Obligation Alt. Rev Sales Tax Bonds, Series 2010A</t>
  </si>
  <si>
    <t>General Obligation Alt. Rev Sales Tax Bonds, Series 2010B</t>
  </si>
  <si>
    <t>General Obligation Alt. Rev Sales Tax Bonds, Series 2010C</t>
  </si>
  <si>
    <t>General Obligation Alt Rev, Construction Bonds, Series 2016</t>
  </si>
  <si>
    <t>General Obligation Alt Rev, Refunding Bonds, Series 2017</t>
  </si>
  <si>
    <t>No applicable contracts paid during year.</t>
  </si>
  <si>
    <t>Northern Illinois Independent Purchasing Cooperative</t>
  </si>
  <si>
    <t>Rural Champaign County Special Education Cooperative</t>
  </si>
  <si>
    <t>Champaign-Ford Education for Employment System #330</t>
  </si>
  <si>
    <t>Page 2 - Auditor's Questionnaire</t>
  </si>
  <si>
    <t>#20 - Other Findings</t>
  </si>
  <si>
    <t>Activity Funds not balanced at year end.</t>
  </si>
  <si>
    <t>A few activity fund accounts have negative balances at year end.</t>
  </si>
  <si>
    <t>Page 8 - Acct 8990 - Other Uses not Classified Elsewhere</t>
  </si>
  <si>
    <t>Col 30 - Debt Service</t>
  </si>
  <si>
    <t>Page 10 - Acct 1829 - Sales - Other</t>
  </si>
  <si>
    <t>Col 10 - Educational</t>
  </si>
  <si>
    <t>Workbook Sales - $545</t>
  </si>
  <si>
    <t>Page 10 - Acct 1890 - Other Textbook Revenue</t>
  </si>
  <si>
    <t>PE Uniform Sales - $1,704</t>
  </si>
  <si>
    <t>Page 11 - Acct 1999 - Other Local Revenues</t>
  </si>
  <si>
    <t>Miscellaneous Refunds &amp; Reimbursements - $5,657</t>
  </si>
  <si>
    <t>Page 12 - Acct 3999 - Other Restricted Revenue from State Sources</t>
  </si>
  <si>
    <t>State Library Grant - $750</t>
  </si>
  <si>
    <t>Other State Programs - $27,769</t>
  </si>
  <si>
    <t xml:space="preserve"> Page 13 - Act 4399 - Title I - Other</t>
  </si>
  <si>
    <t>Col - 10 - Eductional</t>
  </si>
  <si>
    <t>Title I - School Improvement &amp; Accountability - $8,023</t>
  </si>
  <si>
    <t>Graduation Expenditures</t>
  </si>
  <si>
    <t>Page 15 - Acct 2190 - Other Support Services -Pupils</t>
  </si>
  <si>
    <t>Page 16 - Acct 2900 - Other Support Services</t>
  </si>
  <si>
    <t>School Resource Officer Expenditures</t>
  </si>
  <si>
    <t>Page 18 - Acct 5400 - Debt Services - Other</t>
  </si>
  <si>
    <t>Bond service fees.</t>
  </si>
  <si>
    <t>Correct beginning balances for 2010 &amp; 2017 bonds payable</t>
  </si>
  <si>
    <t>AUDITCHECK Tab - #13 Contracts Paid Error</t>
  </si>
  <si>
    <t>No applicable  contracts paid in current year.</t>
  </si>
  <si>
    <t>Short-Term Long-Term Debt Tab - Other Differences</t>
  </si>
  <si>
    <t>Payoff of bond refinanced in prior year $26,867</t>
  </si>
  <si>
    <t>Rantoul Township HSD 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</si>
</sst>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6" fontId="57" fillId="0" borderId="0" xfId="0" applyNumberFormat="1" applyFont="1" applyAlignment="1">
      <alignment horizontal="left"/>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268433</xdr:colOff>
          <xdr:row>2</xdr:row>
          <xdr:rowOff>95250</xdr:rowOff>
        </xdr:from>
        <xdr:to>
          <xdr:col>1</xdr:col>
          <xdr:colOff>1180235</xdr:colOff>
          <xdr:row>6</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7" t="s">
        <v>405</v>
      </c>
      <c r="J1" s="1988"/>
      <c r="K1" s="1988"/>
      <c r="L1" s="1988"/>
      <c r="M1" s="1988"/>
      <c r="N1" s="1988"/>
      <c r="O1" s="1988"/>
      <c r="P1" s="1988"/>
      <c r="Q1" s="1988"/>
      <c r="R1" s="1988"/>
      <c r="S1" s="1988"/>
    </row>
    <row r="2" spans="1:28" ht="12" customHeight="1" x14ac:dyDescent="0.2">
      <c r="A2" s="47" t="s">
        <v>1991</v>
      </c>
      <c r="D2" s="48"/>
      <c r="I2" s="1989" t="s">
        <v>979</v>
      </c>
      <c r="J2" s="1988"/>
      <c r="K2" s="1988"/>
      <c r="L2" s="1988"/>
      <c r="M2" s="1988"/>
      <c r="N2" s="1988"/>
      <c r="O2" s="1988"/>
      <c r="P2" s="1988"/>
      <c r="Q2" s="1988"/>
      <c r="R2" s="1988"/>
      <c r="S2" s="1988"/>
    </row>
    <row r="3" spans="1:28" ht="12" customHeight="1" x14ac:dyDescent="0.2">
      <c r="A3" s="155" t="s">
        <v>1943</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2073</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2073</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9010193017</v>
      </c>
      <c r="B13" s="2023"/>
      <c r="C13" s="2023"/>
      <c r="D13" s="2023"/>
      <c r="E13" s="2023"/>
      <c r="F13" s="2023"/>
      <c r="G13" s="2023"/>
      <c r="H13" s="2024"/>
      <c r="I13" s="31"/>
      <c r="J13" s="30"/>
      <c r="K13" s="28"/>
      <c r="L13" s="30"/>
      <c r="M13" s="30"/>
      <c r="N13" s="30"/>
      <c r="O13" s="30"/>
      <c r="P13" s="30"/>
      <c r="Q13" s="30"/>
      <c r="R13" s="30"/>
      <c r="S13" s="30"/>
      <c r="T13" s="2027" t="s">
        <v>2065</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2076</v>
      </c>
      <c r="B15" s="2025"/>
      <c r="C15" s="2025"/>
      <c r="D15" s="2025"/>
      <c r="E15" s="2025"/>
      <c r="F15" s="2025"/>
      <c r="G15" s="2025"/>
      <c r="H15" s="2026"/>
      <c r="T15" s="2031" t="s">
        <v>2066</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2122</v>
      </c>
      <c r="B17" s="1982"/>
      <c r="C17" s="1982"/>
      <c r="D17" s="1982"/>
      <c r="E17" s="1982"/>
      <c r="F17" s="1982"/>
      <c r="G17" s="1982"/>
      <c r="H17" s="2007"/>
      <c r="T17" s="2038" t="s">
        <v>2067</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2077</v>
      </c>
      <c r="B19" s="1967"/>
      <c r="C19" s="1967"/>
      <c r="D19" s="1967"/>
      <c r="E19" s="1967"/>
      <c r="F19" s="1967"/>
      <c r="G19" s="1967"/>
      <c r="H19" s="1947"/>
      <c r="I19" s="30"/>
      <c r="J19" s="99"/>
      <c r="K19" s="40"/>
      <c r="L19" s="38"/>
      <c r="M19" s="112" t="s">
        <v>315</v>
      </c>
      <c r="P19" s="27"/>
      <c r="Q19" s="27"/>
      <c r="R19" s="27"/>
      <c r="S19" s="31"/>
      <c r="T19" s="2021" t="s">
        <v>2068</v>
      </c>
      <c r="U19" s="1946"/>
      <c r="V19" s="1946"/>
      <c r="W19" s="1947"/>
      <c r="X19" s="2036" t="s">
        <v>2069</v>
      </c>
      <c r="Y19" s="2037"/>
      <c r="Z19" s="2034">
        <v>60942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2078</v>
      </c>
      <c r="B21" s="1946"/>
      <c r="C21" s="1946"/>
      <c r="D21" s="1946"/>
      <c r="E21" s="1946"/>
      <c r="F21" s="1946"/>
      <c r="G21" s="1946"/>
      <c r="H21" s="1947"/>
      <c r="I21" s="2001" t="s">
        <v>678</v>
      </c>
      <c r="J21" s="1996"/>
      <c r="K21" s="1996"/>
      <c r="L21" s="1996"/>
      <c r="M21" s="1996"/>
      <c r="N21" s="1996"/>
      <c r="O21" s="1996"/>
      <c r="P21" s="1996"/>
      <c r="Q21" s="1996"/>
      <c r="R21" s="1996"/>
      <c r="S21" s="2002"/>
      <c r="T21" s="2046" t="s">
        <v>2070</v>
      </c>
      <c r="U21" s="2047"/>
      <c r="V21" s="2047"/>
      <c r="W21" s="2047"/>
      <c r="X21" s="2052" t="s">
        <v>2071</v>
      </c>
      <c r="Y21" s="2053"/>
      <c r="Z21" s="2053"/>
      <c r="AA21" s="2054"/>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2044" t="s">
        <v>2074</v>
      </c>
      <c r="U23" s="2045"/>
      <c r="V23" s="2045"/>
      <c r="W23" s="2045"/>
      <c r="X23" s="2049">
        <v>44469</v>
      </c>
      <c r="Y23" s="2050"/>
      <c r="Z23" s="2050"/>
      <c r="AA23" s="2051"/>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61866</v>
      </c>
      <c r="B25" s="1946"/>
      <c r="C25" s="1946"/>
      <c r="D25" s="1946"/>
      <c r="E25" s="1946"/>
      <c r="F25" s="1946"/>
      <c r="G25" s="1946"/>
      <c r="H25" s="1947"/>
      <c r="I25" s="113"/>
      <c r="J25" s="1970"/>
      <c r="K25" s="1970"/>
      <c r="L25" s="1970"/>
      <c r="M25" s="1970"/>
      <c r="N25" s="1970"/>
      <c r="O25" s="1970"/>
      <c r="P25" s="1970"/>
      <c r="Q25" s="1970"/>
      <c r="R25" s="1970"/>
      <c r="S25" s="1971"/>
      <c r="T25" s="2041" t="s">
        <v>2072</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2079</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2080</v>
      </c>
      <c r="B40" s="1960"/>
      <c r="C40" s="1961"/>
      <c r="D40" s="1961"/>
      <c r="E40" s="1961"/>
      <c r="F40" s="1962"/>
      <c r="G40" s="1962"/>
      <c r="H40" s="1963"/>
      <c r="I40" s="1984"/>
      <c r="J40" s="1985"/>
      <c r="K40" s="1985"/>
      <c r="L40" s="1985"/>
      <c r="M40" s="1985"/>
      <c r="N40" s="1985"/>
      <c r="O40" s="1985"/>
      <c r="P40" s="1985"/>
      <c r="Q40" s="1985"/>
      <c r="R40" s="1985"/>
      <c r="S40" s="1986"/>
      <c r="T40" s="1984"/>
      <c r="U40" s="2048"/>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2081</v>
      </c>
      <c r="B42" s="1965"/>
      <c r="C42" s="1966"/>
      <c r="D42" s="1964" t="s">
        <v>2082</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2075</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190549654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1.9796999999999999E-2</v>
      </c>
      <c r="E10" s="356" t="s">
        <v>1005</v>
      </c>
      <c r="F10" s="355">
        <v>3.2309999999999999E-3</v>
      </c>
      <c r="G10" s="356" t="s">
        <v>1005</v>
      </c>
      <c r="H10" s="355">
        <v>1.456E-3</v>
      </c>
      <c r="I10" s="356" t="s">
        <v>1006</v>
      </c>
      <c r="J10" s="1732">
        <f>ROUND(D10+F10+H10,5)</f>
        <v>2.4479999999999998E-2</v>
      </c>
      <c r="K10" s="222"/>
      <c r="L10" s="355">
        <v>0</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9359395</v>
      </c>
      <c r="E16" s="356"/>
      <c r="F16" s="1733">
        <f>SUM('Acct Summary 7-8'!C17,'Acct Summary 7-8'!D17,'Acct Summary 7-8'!F17)</f>
        <v>9833463</v>
      </c>
      <c r="G16" s="356"/>
      <c r="H16" s="1733">
        <f>SUM(D16-F16)</f>
        <v>-474068</v>
      </c>
      <c r="I16" s="222"/>
      <c r="J16" s="1733">
        <f>SUM('Acct Summary 7-8'!C81,'Acct Summary 7-8'!D81,'Acct Summary 7-8'!F81,'Acct Summary 7-8'!I81)</f>
        <v>10010696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13147926.126000002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3810000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Rantoul Township HSD 193</v>
      </c>
      <c r="E7" s="391"/>
      <c r="G7" s="252"/>
      <c r="H7" s="387"/>
      <c r="I7" s="387"/>
      <c r="J7" s="387"/>
      <c r="K7" s="387"/>
      <c r="L7" s="329"/>
      <c r="M7" s="329"/>
      <c r="N7" s="329"/>
      <c r="O7" s="329"/>
      <c r="P7" s="329"/>
    </row>
    <row r="8" spans="1:18" ht="12.75" x14ac:dyDescent="0.2">
      <c r="A8" s="329"/>
      <c r="B8" s="329"/>
      <c r="C8" s="389" t="s">
        <v>1125</v>
      </c>
      <c r="D8" s="392">
        <f>COVER!A13</f>
        <v>9010193017</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10010696</v>
      </c>
      <c r="I12" s="404"/>
      <c r="J12" s="404"/>
      <c r="K12" s="405">
        <f>TRUNC((H12/H13*100000),5)/100000</f>
        <v>1.0695879381</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9359395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9833463</v>
      </c>
      <c r="I17" s="404"/>
      <c r="J17" s="416"/>
      <c r="K17" s="405">
        <f>TRUNC((H17/H18*100000),5)/100000</f>
        <v>1.0506515644999999</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9359395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19.142309700000002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10003838</v>
      </c>
      <c r="I24" s="422"/>
      <c r="J24" s="422"/>
      <c r="K24" s="423">
        <f>TRUNC(((H24/H25*100000)/100000),2)</f>
        <v>366.23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27315.174999999999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3964957.2004300002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3810000</v>
      </c>
      <c r="I32" s="420"/>
      <c r="J32" s="420"/>
      <c r="K32" s="423">
        <f>TRUNC(100-((((H32/H33*100))*100)/100),2)</f>
        <v>71.02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13147926.126000002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7"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2235733</v>
      </c>
      <c r="D4" s="466">
        <v>457544</v>
      </c>
      <c r="E4" s="466">
        <v>14491</v>
      </c>
      <c r="F4" s="466">
        <v>291897</v>
      </c>
      <c r="G4" s="466">
        <v>195193</v>
      </c>
      <c r="H4" s="466">
        <v>564304</v>
      </c>
      <c r="I4" s="466">
        <v>18664</v>
      </c>
      <c r="J4" s="467">
        <v>53783</v>
      </c>
      <c r="K4" s="466">
        <v>84548</v>
      </c>
      <c r="L4" s="466">
        <v>95444</v>
      </c>
      <c r="M4" s="468"/>
      <c r="N4" s="469"/>
    </row>
    <row r="5" spans="1:14" x14ac:dyDescent="0.2">
      <c r="A5" s="463" t="s">
        <v>992</v>
      </c>
      <c r="B5" s="470">
        <v>120</v>
      </c>
      <c r="C5" s="465">
        <v>4900000</v>
      </c>
      <c r="D5" s="466">
        <v>600000</v>
      </c>
      <c r="E5" s="466"/>
      <c r="F5" s="466">
        <v>100000</v>
      </c>
      <c r="G5" s="466">
        <v>200000</v>
      </c>
      <c r="H5" s="466">
        <v>350000</v>
      </c>
      <c r="I5" s="466">
        <v>1400000</v>
      </c>
      <c r="J5" s="467"/>
      <c r="K5" s="471">
        <v>175000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6858</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7142591</v>
      </c>
      <c r="D13" s="1737">
        <f t="shared" ref="D13:L13" si="0">SUM(D4:D12)</f>
        <v>1057544</v>
      </c>
      <c r="E13" s="1737">
        <f t="shared" si="0"/>
        <v>14491</v>
      </c>
      <c r="F13" s="1737">
        <f t="shared" si="0"/>
        <v>391897</v>
      </c>
      <c r="G13" s="1737">
        <f t="shared" si="0"/>
        <v>395193</v>
      </c>
      <c r="H13" s="1737">
        <f t="shared" si="0"/>
        <v>914304</v>
      </c>
      <c r="I13" s="1737">
        <f t="shared" si="0"/>
        <v>1418664</v>
      </c>
      <c r="J13" s="1737">
        <f t="shared" si="0"/>
        <v>53783</v>
      </c>
      <c r="K13" s="1737">
        <f t="shared" si="0"/>
        <v>259548</v>
      </c>
      <c r="L13" s="1737">
        <f t="shared" si="0"/>
        <v>95444</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571049</v>
      </c>
      <c r="N16" s="484"/>
    </row>
    <row r="17" spans="1:14" s="485" customFormat="1" ht="12.75" customHeight="1" x14ac:dyDescent="0.2">
      <c r="A17" s="482" t="s">
        <v>1403</v>
      </c>
      <c r="B17" s="483">
        <v>230</v>
      </c>
      <c r="C17" s="477"/>
      <c r="D17" s="477"/>
      <c r="E17" s="477"/>
      <c r="F17" s="477"/>
      <c r="G17" s="477"/>
      <c r="H17" s="477"/>
      <c r="I17" s="477"/>
      <c r="J17" s="477"/>
      <c r="K17" s="477"/>
      <c r="L17" s="477"/>
      <c r="M17" s="467">
        <v>18336468</v>
      </c>
      <c r="N17" s="484"/>
    </row>
    <row r="18" spans="1:14" s="485" customFormat="1" ht="12.75" customHeight="1" x14ac:dyDescent="0.2">
      <c r="A18" s="482" t="s">
        <v>1404</v>
      </c>
      <c r="B18" s="483">
        <v>240</v>
      </c>
      <c r="C18" s="477"/>
      <c r="D18" s="477"/>
      <c r="E18" s="477"/>
      <c r="F18" s="477"/>
      <c r="G18" s="477"/>
      <c r="H18" s="477"/>
      <c r="I18" s="477"/>
      <c r="J18" s="477"/>
      <c r="K18" s="477"/>
      <c r="L18" s="477"/>
      <c r="M18" s="467">
        <v>1792677</v>
      </c>
      <c r="N18" s="484"/>
    </row>
    <row r="19" spans="1:14" s="485" customFormat="1" ht="12.75" customHeight="1" x14ac:dyDescent="0.2">
      <c r="A19" s="482" t="s">
        <v>1405</v>
      </c>
      <c r="B19" s="483">
        <v>250</v>
      </c>
      <c r="C19" s="477"/>
      <c r="D19" s="477"/>
      <c r="E19" s="477"/>
      <c r="F19" s="477"/>
      <c r="G19" s="477"/>
      <c r="H19" s="477"/>
      <c r="I19" s="477"/>
      <c r="J19" s="477"/>
      <c r="K19" s="477"/>
      <c r="L19" s="477"/>
      <c r="M19" s="467">
        <v>3644692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14491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3795509</v>
      </c>
    </row>
    <row r="23" spans="1:14" ht="13.5" customHeight="1" thickBot="1" x14ac:dyDescent="0.25">
      <c r="A23" s="1736" t="s">
        <v>643</v>
      </c>
      <c r="B23" s="1741"/>
      <c r="C23" s="468"/>
      <c r="D23" s="468"/>
      <c r="E23" s="468"/>
      <c r="F23" s="468"/>
      <c r="G23" s="468"/>
      <c r="H23" s="468"/>
      <c r="I23" s="468"/>
      <c r="J23" s="468"/>
      <c r="K23" s="468"/>
      <c r="L23" s="468"/>
      <c r="M23" s="1688">
        <f>SUM(M15:M22)</f>
        <v>24344886</v>
      </c>
      <c r="N23" s="1688">
        <f>SUM(N21:N22)</f>
        <v>3810000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95444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95444</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3810000</v>
      </c>
    </row>
    <row r="37" spans="1:14" ht="13.5" thickBot="1" x14ac:dyDescent="0.25">
      <c r="A37" s="1736" t="s">
        <v>653</v>
      </c>
      <c r="B37" s="1741"/>
      <c r="C37" s="477"/>
      <c r="D37" s="477"/>
      <c r="E37" s="477"/>
      <c r="F37" s="477"/>
      <c r="G37" s="477"/>
      <c r="H37" s="477"/>
      <c r="I37" s="477"/>
      <c r="J37" s="477"/>
      <c r="K37" s="477"/>
      <c r="L37" s="480"/>
      <c r="M37" s="468"/>
      <c r="N37" s="1688">
        <f>SUM(N36:N36)</f>
        <v>3810000</v>
      </c>
    </row>
    <row r="38" spans="1:14" s="329" customFormat="1" ht="13.5" customHeight="1" thickTop="1" x14ac:dyDescent="0.2">
      <c r="A38" s="496" t="s">
        <v>420</v>
      </c>
      <c r="B38" s="483">
        <v>714</v>
      </c>
      <c r="C38" s="466">
        <v>50000</v>
      </c>
      <c r="D38" s="466">
        <v>145212</v>
      </c>
      <c r="E38" s="466"/>
      <c r="F38" s="466"/>
      <c r="G38" s="466">
        <v>395193</v>
      </c>
      <c r="H38" s="466">
        <v>914304</v>
      </c>
      <c r="I38" s="466"/>
      <c r="J38" s="467"/>
      <c r="K38" s="466"/>
      <c r="L38" s="481"/>
      <c r="M38" s="497"/>
      <c r="N38" s="497"/>
    </row>
    <row r="39" spans="1:14" s="329" customFormat="1" ht="13.5" customHeight="1" x14ac:dyDescent="0.2">
      <c r="A39" s="496" t="s">
        <v>342</v>
      </c>
      <c r="B39" s="483">
        <v>730</v>
      </c>
      <c r="C39" s="466">
        <v>7092591</v>
      </c>
      <c r="D39" s="466">
        <v>912332</v>
      </c>
      <c r="E39" s="466">
        <v>14491</v>
      </c>
      <c r="F39" s="466">
        <v>391897</v>
      </c>
      <c r="G39" s="466"/>
      <c r="H39" s="466"/>
      <c r="I39" s="466">
        <v>1418664</v>
      </c>
      <c r="J39" s="467">
        <v>53783</v>
      </c>
      <c r="K39" s="466">
        <v>259548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24344886</v>
      </c>
      <c r="N40" s="497"/>
    </row>
    <row r="41" spans="1:14" ht="13.5" customHeight="1" thickBot="1" x14ac:dyDescent="0.25">
      <c r="A41" s="1736" t="s">
        <v>655</v>
      </c>
      <c r="B41" s="1706"/>
      <c r="C41" s="1688">
        <f>(SUM(C34,C37,C38,C39))</f>
        <v>7142591</v>
      </c>
      <c r="D41" s="1688">
        <f t="shared" ref="D41:L41" si="2">SUM(D34,D37,D38:D39)</f>
        <v>1057544</v>
      </c>
      <c r="E41" s="1688">
        <f t="shared" si="2"/>
        <v>14491</v>
      </c>
      <c r="F41" s="1688">
        <f t="shared" si="2"/>
        <v>391897</v>
      </c>
      <c r="G41" s="1688">
        <f t="shared" si="2"/>
        <v>395193</v>
      </c>
      <c r="H41" s="1688">
        <f t="shared" si="2"/>
        <v>914304</v>
      </c>
      <c r="I41" s="1688">
        <f t="shared" si="2"/>
        <v>1418664</v>
      </c>
      <c r="J41" s="1688">
        <f t="shared" si="2"/>
        <v>53783</v>
      </c>
      <c r="K41" s="1688">
        <f t="shared" si="2"/>
        <v>259548</v>
      </c>
      <c r="L41" s="1688">
        <f t="shared" si="2"/>
        <v>95444</v>
      </c>
      <c r="M41" s="1688">
        <f>SUM(M40)</f>
        <v>24344886</v>
      </c>
      <c r="N41" s="1688">
        <f>SUM(N37)</f>
        <v>3810000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3065242</v>
      </c>
      <c r="D4" s="1742">
        <f>'Revenues 9-14'!D109</f>
        <v>409635</v>
      </c>
      <c r="E4" s="1742">
        <f>'Revenues 9-14'!E109</f>
        <v>100240</v>
      </c>
      <c r="F4" s="1742">
        <f>'Revenues 9-14'!F109</f>
        <v>185013</v>
      </c>
      <c r="G4" s="1742">
        <f>'Revenues 9-14'!G109</f>
        <v>309161</v>
      </c>
      <c r="H4" s="1742">
        <f>'Revenues 9-14'!H109</f>
        <v>497088</v>
      </c>
      <c r="I4" s="1742">
        <f>'Revenues 9-14'!I109</f>
        <v>11221</v>
      </c>
      <c r="J4" s="1742">
        <f>'Revenues 9-14'!J109</f>
        <v>79890</v>
      </c>
      <c r="K4" s="1742">
        <f>'Revenues 9-14'!K109</f>
        <v>1500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4663290</v>
      </c>
      <c r="D6" s="1743">
        <f>'Revenues 9-14'!D170</f>
        <v>230000</v>
      </c>
      <c r="E6" s="1743">
        <f>'Revenues 9-14'!E170</f>
        <v>0</v>
      </c>
      <c r="F6" s="1743">
        <f>'Revenues 9-14'!F170</f>
        <v>246233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548761</v>
      </c>
      <c r="D7" s="1743">
        <f>'Revenues 9-14'!D267</f>
        <v>0</v>
      </c>
      <c r="E7" s="1743">
        <f>'Revenues 9-14'!E267</f>
        <v>18748</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8277293</v>
      </c>
      <c r="D8" s="1688">
        <f t="shared" ref="D8:K8" si="0">SUM(D4:D7)</f>
        <v>639635</v>
      </c>
      <c r="E8" s="1688">
        <f t="shared" si="0"/>
        <v>118988</v>
      </c>
      <c r="F8" s="1688">
        <f t="shared" si="0"/>
        <v>431246</v>
      </c>
      <c r="G8" s="1688">
        <f t="shared" si="0"/>
        <v>309161</v>
      </c>
      <c r="H8" s="1688">
        <f t="shared" si="0"/>
        <v>497088</v>
      </c>
      <c r="I8" s="1688">
        <f t="shared" si="0"/>
        <v>11221</v>
      </c>
      <c r="J8" s="1688">
        <f t="shared" si="0"/>
        <v>79890</v>
      </c>
      <c r="K8" s="1688">
        <f t="shared" si="0"/>
        <v>1500</v>
      </c>
      <c r="L8" s="347"/>
    </row>
    <row r="9" spans="1:13" ht="15.75" thickTop="1" x14ac:dyDescent="0.2">
      <c r="A9" s="514" t="s">
        <v>1653</v>
      </c>
      <c r="B9" s="515">
        <v>3998</v>
      </c>
      <c r="C9" s="481">
        <v>3155997</v>
      </c>
      <c r="D9" s="516"/>
      <c r="E9" s="481"/>
      <c r="F9" s="481"/>
      <c r="G9" s="517"/>
      <c r="H9" s="481"/>
      <c r="I9" s="509" t="s">
        <v>1169</v>
      </c>
      <c r="J9" s="478"/>
      <c r="K9" s="481"/>
      <c r="L9" s="347"/>
    </row>
    <row r="10" spans="1:13" s="519" customFormat="1" ht="13.5" thickBot="1" x14ac:dyDescent="0.25">
      <c r="A10" s="1736" t="s">
        <v>1173</v>
      </c>
      <c r="B10" s="1709"/>
      <c r="C10" s="1688">
        <f>SUM(C8:C9)</f>
        <v>11433290</v>
      </c>
      <c r="D10" s="1688">
        <f t="shared" ref="D10:K10" si="1">SUM(D8:D9)</f>
        <v>639635</v>
      </c>
      <c r="E10" s="1688">
        <f t="shared" si="1"/>
        <v>118988</v>
      </c>
      <c r="F10" s="1688">
        <f t="shared" si="1"/>
        <v>431246</v>
      </c>
      <c r="G10" s="1688">
        <f t="shared" si="1"/>
        <v>309161</v>
      </c>
      <c r="H10" s="1688">
        <f t="shared" si="1"/>
        <v>497088</v>
      </c>
      <c r="I10" s="1688">
        <f t="shared" si="1"/>
        <v>11221</v>
      </c>
      <c r="J10" s="1688">
        <f t="shared" si="1"/>
        <v>79890</v>
      </c>
      <c r="K10" s="1688">
        <f t="shared" si="1"/>
        <v>1500</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5417445</v>
      </c>
      <c r="D12" s="520" t="s">
        <v>1169</v>
      </c>
      <c r="E12" s="468" t="s">
        <v>1169</v>
      </c>
      <c r="F12" s="468" t="s">
        <v>1169</v>
      </c>
      <c r="G12" s="1742">
        <f>'Expenditures 15-22'!K229</f>
        <v>124972</v>
      </c>
      <c r="H12" s="521"/>
      <c r="I12" s="468" t="s">
        <v>1169</v>
      </c>
      <c r="J12" s="468" t="s">
        <v>1169</v>
      </c>
      <c r="K12" s="521" t="s">
        <v>1169</v>
      </c>
      <c r="L12" s="347"/>
    </row>
    <row r="13" spans="1:13" ht="15.75" customHeight="1" x14ac:dyDescent="0.2">
      <c r="A13" s="1576" t="s">
        <v>457</v>
      </c>
      <c r="B13" s="1578">
        <v>2000</v>
      </c>
      <c r="C13" s="1743">
        <f>'Expenditures 15-22'!K74</f>
        <v>2185113</v>
      </c>
      <c r="D13" s="1743">
        <f>'Expenditures 15-22'!K129</f>
        <v>761769</v>
      </c>
      <c r="E13" s="469" t="s">
        <v>1169</v>
      </c>
      <c r="F13" s="1743">
        <f>'Expenditures 15-22'!K184</f>
        <v>456948</v>
      </c>
      <c r="G13" s="1743">
        <f>'Expenditures 15-22'!K279</f>
        <v>201845</v>
      </c>
      <c r="H13" s="1743">
        <f>'Expenditures 15-22'!K303</f>
        <v>376479</v>
      </c>
      <c r="I13" s="468" t="s">
        <v>1169</v>
      </c>
      <c r="J13" s="1743">
        <f>'Expenditures 15-22'!K330</f>
        <v>163118</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1012188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516536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8614746</v>
      </c>
      <c r="D17" s="1688">
        <f t="shared" si="2"/>
        <v>761769</v>
      </c>
      <c r="E17" s="1688">
        <f t="shared" si="2"/>
        <v>516536</v>
      </c>
      <c r="F17" s="1688">
        <f t="shared" si="2"/>
        <v>456948</v>
      </c>
      <c r="G17" s="1688">
        <f t="shared" si="2"/>
        <v>326817</v>
      </c>
      <c r="H17" s="1688">
        <f t="shared" si="2"/>
        <v>376479</v>
      </c>
      <c r="I17" s="468"/>
      <c r="J17" s="1688">
        <f>SUM(J12:J16)</f>
        <v>163118</v>
      </c>
      <c r="K17" s="1688">
        <f>SUM(K12:K16)</f>
        <v>0</v>
      </c>
      <c r="L17" s="347"/>
    </row>
    <row r="18" spans="1:12" ht="15" customHeight="1" thickTop="1" x14ac:dyDescent="0.2">
      <c r="A18" s="1744" t="s">
        <v>1654</v>
      </c>
      <c r="B18" s="1745">
        <v>4180</v>
      </c>
      <c r="C18" s="1742">
        <f t="shared" ref="C18:H18" si="3">C9</f>
        <v>3155997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11770743</v>
      </c>
      <c r="D19" s="1688">
        <f t="shared" si="4"/>
        <v>761769</v>
      </c>
      <c r="E19" s="1688">
        <f t="shared" si="4"/>
        <v>516536</v>
      </c>
      <c r="F19" s="1688">
        <f t="shared" si="4"/>
        <v>456948</v>
      </c>
      <c r="G19" s="1688">
        <f t="shared" si="4"/>
        <v>326817</v>
      </c>
      <c r="H19" s="1688">
        <f t="shared" si="4"/>
        <v>376479</v>
      </c>
      <c r="I19" s="468"/>
      <c r="J19" s="1688">
        <f>SUM(J17:J18)</f>
        <v>163118</v>
      </c>
      <c r="K19" s="1688">
        <f>SUM(K17:K18)</f>
        <v>0</v>
      </c>
      <c r="L19" s="347"/>
    </row>
    <row r="20" spans="1:12" ht="16.5" thickTop="1" thickBot="1" x14ac:dyDescent="0.25">
      <c r="A20" s="2131" t="s">
        <v>1655</v>
      </c>
      <c r="B20" s="2132"/>
      <c r="C20" s="1746">
        <f>C8-C17</f>
        <v>-337453</v>
      </c>
      <c r="D20" s="1746">
        <f t="shared" ref="D20:K20" si="5">D8-D17</f>
        <v>-122134</v>
      </c>
      <c r="E20" s="1746">
        <f t="shared" si="5"/>
        <v>-397548</v>
      </c>
      <c r="F20" s="1746">
        <f t="shared" si="5"/>
        <v>-25702</v>
      </c>
      <c r="G20" s="1746">
        <f t="shared" si="5"/>
        <v>-17656</v>
      </c>
      <c r="H20" s="1746">
        <f t="shared" si="5"/>
        <v>120609</v>
      </c>
      <c r="I20" s="1746">
        <f t="shared" si="5"/>
        <v>11221</v>
      </c>
      <c r="J20" s="1746">
        <f t="shared" si="5"/>
        <v>-83228</v>
      </c>
      <c r="K20" s="1746">
        <f t="shared" si="5"/>
        <v>1500</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26867</v>
      </c>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0</v>
      </c>
      <c r="E76" s="1703">
        <f t="shared" si="7"/>
        <v>26867</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3" t="s">
        <v>1177</v>
      </c>
      <c r="B77" s="2124"/>
      <c r="C77" s="1703">
        <f t="shared" ref="C77:K77" si="8">C44-C76</f>
        <v>0</v>
      </c>
      <c r="D77" s="1703">
        <f t="shared" si="8"/>
        <v>0</v>
      </c>
      <c r="E77" s="1703">
        <f t="shared" si="8"/>
        <v>-26867</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7" t="s">
        <v>597</v>
      </c>
      <c r="B78" s="2128"/>
      <c r="C78" s="1702">
        <f t="shared" ref="C78:K78" si="9">C20+C77</f>
        <v>-337453</v>
      </c>
      <c r="D78" s="1702">
        <f t="shared" si="9"/>
        <v>-122134</v>
      </c>
      <c r="E78" s="1702">
        <f t="shared" si="9"/>
        <v>-424415</v>
      </c>
      <c r="F78" s="1702">
        <f t="shared" si="9"/>
        <v>-25702</v>
      </c>
      <c r="G78" s="1702">
        <f t="shared" si="9"/>
        <v>-17656</v>
      </c>
      <c r="H78" s="1702">
        <f t="shared" si="9"/>
        <v>120609</v>
      </c>
      <c r="I78" s="1702">
        <f t="shared" si="9"/>
        <v>11221</v>
      </c>
      <c r="J78" s="1702">
        <f t="shared" si="9"/>
        <v>-83228</v>
      </c>
      <c r="K78" s="1702">
        <f t="shared" si="9"/>
        <v>1500</v>
      </c>
      <c r="L78" s="533"/>
    </row>
    <row r="79" spans="1:12" ht="13.5" thickTop="1" x14ac:dyDescent="0.2">
      <c r="A79" s="1494" t="s">
        <v>1947</v>
      </c>
      <c r="B79" s="534"/>
      <c r="C79" s="478">
        <v>7480044</v>
      </c>
      <c r="D79" s="535">
        <v>1179678</v>
      </c>
      <c r="E79" s="535">
        <v>438906</v>
      </c>
      <c r="F79" s="535">
        <v>417599</v>
      </c>
      <c r="G79" s="535">
        <v>412849</v>
      </c>
      <c r="H79" s="535">
        <v>793695</v>
      </c>
      <c r="I79" s="535">
        <v>1407443</v>
      </c>
      <c r="J79" s="535">
        <v>137011</v>
      </c>
      <c r="K79" s="535">
        <v>258048</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1948</v>
      </c>
      <c r="B81" s="2126"/>
      <c r="C81" s="1688">
        <f>(SUM(C78:C80))</f>
        <v>7142591</v>
      </c>
      <c r="D81" s="1688">
        <f>SUM(D78:D80)</f>
        <v>1057544</v>
      </c>
      <c r="E81" s="1688">
        <f t="shared" ref="E81:K81" si="10">SUM(E78:E80)</f>
        <v>14491</v>
      </c>
      <c r="F81" s="1688">
        <f t="shared" si="10"/>
        <v>391897</v>
      </c>
      <c r="G81" s="1688">
        <f t="shared" si="10"/>
        <v>395193</v>
      </c>
      <c r="H81" s="1688">
        <f t="shared" si="10"/>
        <v>914304</v>
      </c>
      <c r="I81" s="1688">
        <f t="shared" si="10"/>
        <v>1418664</v>
      </c>
      <c r="J81" s="1688">
        <f t="shared" si="10"/>
        <v>53783</v>
      </c>
      <c r="K81" s="1688">
        <f t="shared" si="10"/>
        <v>259548</v>
      </c>
      <c r="L81" s="347"/>
    </row>
    <row r="82" spans="1:12" ht="0.75" customHeight="1" thickTop="1" thickBot="1" x14ac:dyDescent="0.25">
      <c r="A82" s="536" t="s">
        <v>343</v>
      </c>
      <c r="B82" s="537"/>
      <c r="C82" s="538">
        <f>(C81-C79)</f>
        <v>-337453</v>
      </c>
      <c r="D82" s="538">
        <f t="shared" ref="D82:K82" si="11">(D81-D79)</f>
        <v>-122134</v>
      </c>
      <c r="E82" s="538">
        <f t="shared" si="11"/>
        <v>-424415</v>
      </c>
      <c r="F82" s="538">
        <f t="shared" si="11"/>
        <v>-25702</v>
      </c>
      <c r="G82" s="538">
        <f t="shared" si="11"/>
        <v>-17656</v>
      </c>
      <c r="H82" s="538">
        <f t="shared" si="11"/>
        <v>120609</v>
      </c>
      <c r="I82" s="538">
        <f t="shared" si="11"/>
        <v>11221</v>
      </c>
      <c r="J82" s="538">
        <f t="shared" si="11"/>
        <v>-83228</v>
      </c>
      <c r="K82" s="538">
        <f t="shared" si="11"/>
        <v>1500</v>
      </c>
    </row>
    <row r="83" spans="1:12" ht="14.25" hidden="1" thickTop="1" thickBot="1" x14ac:dyDescent="0.25">
      <c r="A83" s="539" t="s">
        <v>344</v>
      </c>
      <c r="B83" s="464"/>
      <c r="C83" s="540">
        <f>C82/C81</f>
        <v>-4.7245180355420045E-2</v>
      </c>
      <c r="D83" s="540">
        <f t="shared" ref="D83:K83" si="12">D82/D81</f>
        <v>-0.11548833901946397</v>
      </c>
      <c r="E83" s="540">
        <f t="shared" si="12"/>
        <v>-29.288178869643225</v>
      </c>
      <c r="F83" s="540">
        <f t="shared" si="12"/>
        <v>-6.558355894533513E-2</v>
      </c>
      <c r="G83" s="540">
        <f t="shared" si="12"/>
        <v>-4.46769047022594E-2</v>
      </c>
      <c r="H83" s="540">
        <f t="shared" si="12"/>
        <v>0.1319134554808904</v>
      </c>
      <c r="I83" s="540">
        <f t="shared" si="12"/>
        <v>7.9095543412675585E-3</v>
      </c>
      <c r="J83" s="540">
        <f t="shared" si="12"/>
        <v>-1.5474778275663315</v>
      </c>
      <c r="K83" s="540">
        <f t="shared" si="12"/>
        <v>5.7792778214434326E-3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2502619</v>
      </c>
      <c r="D5" s="481">
        <v>390054</v>
      </c>
      <c r="E5" s="466"/>
      <c r="F5" s="548">
        <v>175669</v>
      </c>
      <c r="G5" s="466">
        <v>100381</v>
      </c>
      <c r="H5" s="466"/>
      <c r="I5" s="466"/>
      <c r="J5" s="467">
        <v>79342</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58545</v>
      </c>
      <c r="D7" s="466"/>
      <c r="E7" s="468"/>
      <c r="F7" s="467"/>
      <c r="G7" s="467"/>
      <c r="H7" s="467"/>
      <c r="I7" s="468"/>
      <c r="J7" s="468"/>
      <c r="K7" s="468"/>
    </row>
    <row r="8" spans="1:12" x14ac:dyDescent="0.2">
      <c r="A8" s="463" t="s">
        <v>413</v>
      </c>
      <c r="B8" s="470">
        <v>1150</v>
      </c>
      <c r="C8" s="475"/>
      <c r="D8" s="475"/>
      <c r="E8" s="477"/>
      <c r="F8" s="477"/>
      <c r="G8" s="481">
        <v>51438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2561164</v>
      </c>
      <c r="D12" s="1707">
        <f t="shared" si="0"/>
        <v>390054</v>
      </c>
      <c r="E12" s="1707">
        <f t="shared" si="0"/>
        <v>0</v>
      </c>
      <c r="F12" s="1707">
        <f t="shared" si="0"/>
        <v>175669</v>
      </c>
      <c r="G12" s="1707">
        <f t="shared" si="0"/>
        <v>151819</v>
      </c>
      <c r="H12" s="1707">
        <f t="shared" si="0"/>
        <v>0</v>
      </c>
      <c r="I12" s="1707">
        <f t="shared" si="0"/>
        <v>0</v>
      </c>
      <c r="J12" s="1707">
        <f t="shared" si="0"/>
        <v>79342</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9616</v>
      </c>
      <c r="D14" s="466">
        <v>1439</v>
      </c>
      <c r="E14" s="466"/>
      <c r="F14" s="466">
        <v>648</v>
      </c>
      <c r="G14" s="466">
        <v>560</v>
      </c>
      <c r="H14" s="466"/>
      <c r="I14" s="466"/>
      <c r="J14" s="467">
        <v>292</v>
      </c>
      <c r="K14" s="466"/>
    </row>
    <row r="15" spans="1:12" ht="12.75" customHeight="1" x14ac:dyDescent="0.2">
      <c r="A15" s="463" t="s">
        <v>95</v>
      </c>
      <c r="B15" s="470">
        <v>1220</v>
      </c>
      <c r="C15" s="551">
        <v>5878</v>
      </c>
      <c r="D15" s="466">
        <v>879</v>
      </c>
      <c r="E15" s="466"/>
      <c r="F15" s="466">
        <v>396</v>
      </c>
      <c r="G15" s="466">
        <v>342</v>
      </c>
      <c r="H15" s="466"/>
      <c r="I15" s="466"/>
      <c r="J15" s="467">
        <v>179</v>
      </c>
      <c r="K15" s="466"/>
    </row>
    <row r="16" spans="1:12" ht="15" customHeight="1" x14ac:dyDescent="0.2">
      <c r="A16" s="463" t="s">
        <v>1663</v>
      </c>
      <c r="B16" s="549">
        <v>1230</v>
      </c>
      <c r="C16" s="551"/>
      <c r="D16" s="466"/>
      <c r="E16" s="466"/>
      <c r="F16" s="466"/>
      <c r="G16" s="466">
        <v>154055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15494</v>
      </c>
      <c r="D18" s="1710">
        <f t="shared" ref="D18:K18" si="1">SUM(D14:D17)</f>
        <v>2318</v>
      </c>
      <c r="E18" s="1710">
        <f t="shared" si="1"/>
        <v>0</v>
      </c>
      <c r="F18" s="1710">
        <f t="shared" si="1"/>
        <v>1044</v>
      </c>
      <c r="G18" s="1710">
        <f t="shared" si="1"/>
        <v>154957</v>
      </c>
      <c r="H18" s="1710">
        <f t="shared" si="1"/>
        <v>0</v>
      </c>
      <c r="I18" s="1710">
        <f t="shared" si="1"/>
        <v>0</v>
      </c>
      <c r="J18" s="1710">
        <f t="shared" si="1"/>
        <v>471</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51373</v>
      </c>
      <c r="D65" s="466">
        <v>7463</v>
      </c>
      <c r="E65" s="466">
        <v>240</v>
      </c>
      <c r="F65" s="467">
        <v>1859</v>
      </c>
      <c r="G65" s="466">
        <v>2385</v>
      </c>
      <c r="H65" s="466">
        <v>2945</v>
      </c>
      <c r="I65" s="466">
        <v>11221</v>
      </c>
      <c r="J65" s="467">
        <v>77</v>
      </c>
      <c r="K65" s="466">
        <v>1500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51373</v>
      </c>
      <c r="D67" s="1688">
        <f t="shared" ref="D67:K67" si="2">SUM(D65:D66)</f>
        <v>7463</v>
      </c>
      <c r="E67" s="1688">
        <f t="shared" si="2"/>
        <v>240</v>
      </c>
      <c r="F67" s="1688">
        <f t="shared" si="2"/>
        <v>1859</v>
      </c>
      <c r="G67" s="1688">
        <f t="shared" si="2"/>
        <v>2385</v>
      </c>
      <c r="H67" s="1688">
        <f t="shared" si="2"/>
        <v>2945</v>
      </c>
      <c r="I67" s="1688">
        <f t="shared" si="2"/>
        <v>11221</v>
      </c>
      <c r="J67" s="1688">
        <f t="shared" si="2"/>
        <v>77</v>
      </c>
      <c r="K67" s="1688">
        <f t="shared" si="2"/>
        <v>1500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61765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1175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62940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24984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4070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29054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11345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545</v>
      </c>
      <c r="D91" s="468"/>
      <c r="E91" s="468"/>
      <c r="F91" s="468"/>
      <c r="G91" s="468"/>
      <c r="H91" s="468"/>
      <c r="I91" s="468"/>
      <c r="J91" s="468"/>
      <c r="K91" s="468"/>
    </row>
    <row r="92" spans="1:11" ht="12.75" customHeight="1" x14ac:dyDescent="0.2">
      <c r="A92" s="463" t="s">
        <v>762</v>
      </c>
      <c r="B92" s="470">
        <v>1890</v>
      </c>
      <c r="C92" s="551">
        <v>1704</v>
      </c>
      <c r="D92" s="468"/>
      <c r="E92" s="468"/>
      <c r="F92" s="468"/>
      <c r="G92" s="468"/>
      <c r="H92" s="468"/>
      <c r="I92" s="468"/>
      <c r="J92" s="468"/>
      <c r="K92" s="468"/>
    </row>
    <row r="93" spans="1:11" ht="12.75" customHeight="1" thickBot="1" x14ac:dyDescent="0.25">
      <c r="A93" s="1708" t="s">
        <v>243</v>
      </c>
      <c r="B93" s="1709"/>
      <c r="C93" s="1688">
        <f>SUM(C84:C92)</f>
        <v>13594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1800</v>
      </c>
      <c r="E95" s="521"/>
      <c r="F95" s="521"/>
      <c r="G95" s="521"/>
      <c r="H95" s="521"/>
      <c r="I95" s="521"/>
      <c r="J95" s="521"/>
      <c r="K95" s="521"/>
    </row>
    <row r="96" spans="1:11" ht="12.75" customHeight="1" x14ac:dyDescent="0.2">
      <c r="A96" s="463" t="s">
        <v>391</v>
      </c>
      <c r="B96" s="470">
        <v>1920</v>
      </c>
      <c r="C96" s="551">
        <v>34475</v>
      </c>
      <c r="D96" s="551">
        <v>8000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v>6441</v>
      </c>
      <c r="G98" s="512"/>
      <c r="H98" s="512"/>
      <c r="I98" s="510"/>
      <c r="J98" s="512"/>
      <c r="K98" s="512"/>
    </row>
    <row r="99" spans="1:12" ht="12.75" customHeight="1" x14ac:dyDescent="0.2">
      <c r="A99" s="463" t="s">
        <v>821</v>
      </c>
      <c r="B99" s="470">
        <v>1950</v>
      </c>
      <c r="C99" s="489">
        <v>68512</v>
      </c>
      <c r="D99" s="466"/>
      <c r="E99" s="466"/>
      <c r="F99" s="466"/>
      <c r="G99" s="466"/>
      <c r="H99" s="466"/>
      <c r="I99" s="468"/>
      <c r="J99" s="467"/>
      <c r="K99" s="466"/>
    </row>
    <row r="100" spans="1:12" ht="12.75" customHeight="1" x14ac:dyDescent="0.2">
      <c r="A100" s="463" t="s">
        <v>245</v>
      </c>
      <c r="B100" s="470">
        <v>1960</v>
      </c>
      <c r="C100" s="489">
        <v>220588</v>
      </c>
      <c r="D100" s="489"/>
      <c r="E100" s="489"/>
      <c r="F100" s="489"/>
      <c r="G100" s="489"/>
      <c r="H100" s="489"/>
      <c r="I100" s="467"/>
      <c r="J100" s="489"/>
      <c r="K100" s="467"/>
    </row>
    <row r="101" spans="1:12" ht="12.75" customHeight="1" x14ac:dyDescent="0.2">
      <c r="A101" s="463" t="s">
        <v>246</v>
      </c>
      <c r="B101" s="470">
        <v>1970</v>
      </c>
      <c r="C101" s="489">
        <v>2391</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100000</v>
      </c>
      <c r="F103" s="468"/>
      <c r="G103" s="468"/>
      <c r="H103" s="489">
        <v>494143</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5657</v>
      </c>
      <c r="D107" s="466"/>
      <c r="E107" s="466"/>
      <c r="F107" s="466"/>
      <c r="G107" s="466"/>
      <c r="H107" s="466"/>
      <c r="I107" s="466"/>
      <c r="J107" s="467"/>
      <c r="K107" s="466"/>
    </row>
    <row r="108" spans="1:12" ht="12.75" customHeight="1" thickBot="1" x14ac:dyDescent="0.25">
      <c r="A108" s="1708" t="s">
        <v>487</v>
      </c>
      <c r="B108" s="1712"/>
      <c r="C108" s="1707">
        <f>SUM(C95:C107)</f>
        <v>331623</v>
      </c>
      <c r="D108" s="1707">
        <f t="shared" ref="D108:K108" si="3">SUM(D95:D107)</f>
        <v>9800</v>
      </c>
      <c r="E108" s="1707">
        <f t="shared" si="3"/>
        <v>100000</v>
      </c>
      <c r="F108" s="1707">
        <f t="shared" si="3"/>
        <v>6441</v>
      </c>
      <c r="G108" s="1707">
        <f t="shared" si="3"/>
        <v>0</v>
      </c>
      <c r="H108" s="1707">
        <f t="shared" si="3"/>
        <v>494143</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3065242</v>
      </c>
      <c r="D109" s="1715">
        <f t="shared" si="4"/>
        <v>409635</v>
      </c>
      <c r="E109" s="1715">
        <f t="shared" si="4"/>
        <v>100240</v>
      </c>
      <c r="F109" s="1715">
        <f t="shared" si="4"/>
        <v>185013</v>
      </c>
      <c r="G109" s="1715">
        <f t="shared" si="4"/>
        <v>309161</v>
      </c>
      <c r="H109" s="1715">
        <f t="shared" si="4"/>
        <v>497088</v>
      </c>
      <c r="I109" s="1715">
        <f t="shared" si="4"/>
        <v>11221</v>
      </c>
      <c r="J109" s="1715">
        <f t="shared" si="4"/>
        <v>79890</v>
      </c>
      <c r="K109" s="1702">
        <f t="shared" si="4"/>
        <v>1500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4272728</v>
      </c>
      <c r="D117" s="481">
        <v>230000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4272728</v>
      </c>
      <c r="D122" s="1707">
        <f t="shared" si="5"/>
        <v>230000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274125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11625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285750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38274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3375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41649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3814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30830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108958</v>
      </c>
      <c r="G152" s="467"/>
      <c r="H152" s="468"/>
      <c r="I152" s="468"/>
      <c r="J152" s="468"/>
      <c r="K152" s="468"/>
    </row>
    <row r="153" spans="1:11" ht="12.75" customHeight="1" x14ac:dyDescent="0.2">
      <c r="A153" s="463" t="s">
        <v>1057</v>
      </c>
      <c r="B153" s="562">
        <v>3510</v>
      </c>
      <c r="C153" s="551"/>
      <c r="D153" s="466"/>
      <c r="E153" s="561"/>
      <c r="F153" s="466">
        <v>137275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246233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28519</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390562</v>
      </c>
      <c r="D169" s="1722">
        <f t="shared" si="6"/>
        <v>0</v>
      </c>
      <c r="E169" s="1722">
        <f t="shared" si="6"/>
        <v>0</v>
      </c>
      <c r="F169" s="1722">
        <f t="shared" si="6"/>
        <v>246233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4663290</v>
      </c>
      <c r="D170" s="1715">
        <f t="shared" si="7"/>
        <v>230000</v>
      </c>
      <c r="E170" s="1715">
        <f t="shared" si="7"/>
        <v>0</v>
      </c>
      <c r="F170" s="1715">
        <f t="shared" si="7"/>
        <v>246233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178022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37729</v>
      </c>
      <c r="D193" s="468"/>
      <c r="E193" s="561"/>
      <c r="F193" s="468"/>
      <c r="G193" s="585"/>
      <c r="H193" s="468"/>
      <c r="I193" s="468"/>
      <c r="J193" s="468"/>
      <c r="K193" s="468"/>
    </row>
    <row r="194" spans="1:11" ht="12.75" customHeight="1" x14ac:dyDescent="0.2">
      <c r="A194" s="463" t="s">
        <v>1451</v>
      </c>
      <c r="B194" s="470">
        <v>4225</v>
      </c>
      <c r="C194" s="551">
        <v>902</v>
      </c>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216653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256747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8023</v>
      </c>
      <c r="D203" s="466"/>
      <c r="E203" s="468"/>
      <c r="F203" s="466"/>
      <c r="G203" s="466"/>
      <c r="H203" s="468"/>
      <c r="I203" s="468"/>
      <c r="J203" s="468"/>
      <c r="K203" s="468"/>
    </row>
    <row r="204" spans="1:11" ht="12.75" customHeight="1" thickBot="1" x14ac:dyDescent="0.25">
      <c r="A204" s="1708" t="s">
        <v>400</v>
      </c>
      <c r="B204" s="1709"/>
      <c r="C204" s="1707">
        <f>SUM(C200:C203)</f>
        <v>264770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1628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1628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4218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4218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18748</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18748</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41343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10281</v>
      </c>
      <c r="D263" s="576"/>
      <c r="E263" s="468"/>
      <c r="F263" s="576"/>
      <c r="G263" s="576"/>
      <c r="H263" s="468"/>
      <c r="I263" s="468"/>
      <c r="J263" s="468"/>
      <c r="K263" s="468"/>
    </row>
    <row r="264" spans="1:11" ht="12.75" customHeight="1" thickTop="1" thickBot="1" x14ac:dyDescent="0.25">
      <c r="A264" s="463" t="s">
        <v>377</v>
      </c>
      <c r="B264" s="470">
        <v>4992</v>
      </c>
      <c r="C264" s="575">
        <v>9868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548761</v>
      </c>
      <c r="D266" s="1715">
        <f t="shared" si="10"/>
        <v>0</v>
      </c>
      <c r="E266" s="1715">
        <f t="shared" si="10"/>
        <v>18748</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548761</v>
      </c>
      <c r="D267" s="1715">
        <f>SUM(D175,D181,D266)</f>
        <v>0</v>
      </c>
      <c r="E267" s="1715">
        <f>SUM(E175,E266)</f>
        <v>18748</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8277293</v>
      </c>
      <c r="D268" s="1715">
        <f t="shared" si="12"/>
        <v>639635</v>
      </c>
      <c r="E268" s="1715">
        <f t="shared" si="12"/>
        <v>118988</v>
      </c>
      <c r="F268" s="1715">
        <f t="shared" si="12"/>
        <v>431246</v>
      </c>
      <c r="G268" s="1715">
        <f t="shared" si="12"/>
        <v>309161</v>
      </c>
      <c r="H268" s="1715">
        <f t="shared" si="12"/>
        <v>497088</v>
      </c>
      <c r="I268" s="1715">
        <f t="shared" si="12"/>
        <v>11221</v>
      </c>
      <c r="J268" s="1715">
        <f t="shared" si="12"/>
        <v>79890</v>
      </c>
      <c r="K268" s="1702">
        <f t="shared" si="12"/>
        <v>1500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1999604</v>
      </c>
      <c r="D5" s="466">
        <v>494970</v>
      </c>
      <c r="E5" s="466">
        <v>145387</v>
      </c>
      <c r="F5" s="466">
        <v>106344</v>
      </c>
      <c r="G5" s="466">
        <v>16826</v>
      </c>
      <c r="H5" s="466"/>
      <c r="I5" s="467">
        <v>15673</v>
      </c>
      <c r="J5" s="467"/>
      <c r="K5" s="1671">
        <f>SUM(C5:J5)</f>
        <v>2778804</v>
      </c>
      <c r="L5" s="466">
        <v>2995125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936070</v>
      </c>
      <c r="D8" s="466">
        <v>230109</v>
      </c>
      <c r="E8" s="466">
        <v>41653</v>
      </c>
      <c r="F8" s="466">
        <v>11902</v>
      </c>
      <c r="G8" s="466">
        <v>9041</v>
      </c>
      <c r="H8" s="466"/>
      <c r="I8" s="467">
        <v>3718</v>
      </c>
      <c r="J8" s="467"/>
      <c r="K8" s="1671">
        <f t="shared" si="0"/>
        <v>1232493</v>
      </c>
      <c r="L8" s="466">
        <v>1111400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121022</v>
      </c>
      <c r="D10" s="466">
        <v>41717</v>
      </c>
      <c r="E10" s="466">
        <v>18641</v>
      </c>
      <c r="F10" s="466">
        <v>36178</v>
      </c>
      <c r="G10" s="466">
        <v>13153</v>
      </c>
      <c r="H10" s="466"/>
      <c r="I10" s="467"/>
      <c r="J10" s="467"/>
      <c r="K10" s="1671">
        <f t="shared" si="0"/>
        <v>230711</v>
      </c>
      <c r="L10" s="466">
        <v>222485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379727</v>
      </c>
      <c r="D13" s="466">
        <v>97715</v>
      </c>
      <c r="E13" s="466">
        <v>37679</v>
      </c>
      <c r="F13" s="466">
        <v>12932</v>
      </c>
      <c r="G13" s="466">
        <v>3445</v>
      </c>
      <c r="H13" s="466"/>
      <c r="I13" s="467"/>
      <c r="J13" s="467"/>
      <c r="K13" s="1671">
        <f t="shared" si="0"/>
        <v>531498</v>
      </c>
      <c r="L13" s="466">
        <v>563844</v>
      </c>
    </row>
    <row r="14" spans="1:14" x14ac:dyDescent="0.2">
      <c r="A14" s="1504" t="s">
        <v>963</v>
      </c>
      <c r="B14" s="614">
        <v>1500</v>
      </c>
      <c r="C14" s="466">
        <v>229484</v>
      </c>
      <c r="D14" s="466">
        <v>21802</v>
      </c>
      <c r="E14" s="466">
        <v>49169</v>
      </c>
      <c r="F14" s="466">
        <v>48511</v>
      </c>
      <c r="G14" s="466"/>
      <c r="H14" s="466">
        <v>9597</v>
      </c>
      <c r="I14" s="467">
        <v>4127</v>
      </c>
      <c r="J14" s="467"/>
      <c r="K14" s="1671">
        <f t="shared" si="0"/>
        <v>362690</v>
      </c>
      <c r="L14" s="466">
        <v>384240</v>
      </c>
    </row>
    <row r="15" spans="1:14" x14ac:dyDescent="0.2">
      <c r="A15" s="1504" t="s">
        <v>964</v>
      </c>
      <c r="B15" s="614">
        <v>1600</v>
      </c>
      <c r="C15" s="466">
        <v>28405</v>
      </c>
      <c r="D15" s="466">
        <v>3533</v>
      </c>
      <c r="E15" s="466">
        <v>1000</v>
      </c>
      <c r="F15" s="466">
        <v>1231</v>
      </c>
      <c r="G15" s="466"/>
      <c r="H15" s="466"/>
      <c r="I15" s="467"/>
      <c r="J15" s="467"/>
      <c r="K15" s="1671">
        <f t="shared" si="0"/>
        <v>34169</v>
      </c>
      <c r="L15" s="466">
        <v>24975</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187387</v>
      </c>
      <c r="D19" s="466">
        <v>44535</v>
      </c>
      <c r="E19" s="466">
        <v>9465</v>
      </c>
      <c r="F19" s="466">
        <v>5179</v>
      </c>
      <c r="G19" s="466"/>
      <c r="H19" s="466"/>
      <c r="I19" s="467">
        <v>514</v>
      </c>
      <c r="J19" s="467"/>
      <c r="K19" s="1671">
        <f t="shared" si="0"/>
        <v>247080</v>
      </c>
      <c r="L19" s="466">
        <v>252630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3881699</v>
      </c>
      <c r="D33" s="1670">
        <f t="shared" ref="D33:L33" si="1">SUM(D5:D32)</f>
        <v>934381</v>
      </c>
      <c r="E33" s="1670">
        <f t="shared" si="1"/>
        <v>302994</v>
      </c>
      <c r="F33" s="1670">
        <f t="shared" si="1"/>
        <v>222277</v>
      </c>
      <c r="G33" s="1670">
        <f t="shared" si="1"/>
        <v>42465</v>
      </c>
      <c r="H33" s="1670">
        <f t="shared" si="1"/>
        <v>9597</v>
      </c>
      <c r="I33" s="1670">
        <f t="shared" si="1"/>
        <v>24032</v>
      </c>
      <c r="J33" s="1670">
        <f t="shared" si="1"/>
        <v>0</v>
      </c>
      <c r="K33" s="1670">
        <f t="shared" si="1"/>
        <v>5417445</v>
      </c>
      <c r="L33" s="1670">
        <f t="shared" si="1"/>
        <v>5554699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103736</v>
      </c>
      <c r="D36" s="481">
        <v>25858</v>
      </c>
      <c r="E36" s="481">
        <v>843</v>
      </c>
      <c r="F36" s="481">
        <v>56</v>
      </c>
      <c r="G36" s="481"/>
      <c r="H36" s="481"/>
      <c r="I36" s="467"/>
      <c r="J36" s="467"/>
      <c r="K36" s="1671">
        <f t="shared" ref="K36:K41" si="2">SUM(C36:J36)</f>
        <v>130493</v>
      </c>
      <c r="L36" s="466">
        <v>138430</v>
      </c>
    </row>
    <row r="37" spans="1:14" x14ac:dyDescent="0.2">
      <c r="A37" s="1504" t="s">
        <v>1090</v>
      </c>
      <c r="B37" s="614">
        <v>2120</v>
      </c>
      <c r="C37" s="466">
        <v>239041</v>
      </c>
      <c r="D37" s="466">
        <v>47177</v>
      </c>
      <c r="E37" s="466">
        <v>4022</v>
      </c>
      <c r="F37" s="466">
        <v>2700</v>
      </c>
      <c r="G37" s="466"/>
      <c r="H37" s="466"/>
      <c r="I37" s="467">
        <v>600</v>
      </c>
      <c r="J37" s="467"/>
      <c r="K37" s="1671">
        <f t="shared" si="2"/>
        <v>293540</v>
      </c>
      <c r="L37" s="466">
        <v>294900</v>
      </c>
    </row>
    <row r="38" spans="1:14" x14ac:dyDescent="0.2">
      <c r="A38" s="1504" t="s">
        <v>198</v>
      </c>
      <c r="B38" s="614">
        <v>2130</v>
      </c>
      <c r="C38" s="466">
        <v>57915</v>
      </c>
      <c r="D38" s="466">
        <v>5858</v>
      </c>
      <c r="E38" s="466">
        <v>1814</v>
      </c>
      <c r="F38" s="466">
        <v>3189</v>
      </c>
      <c r="G38" s="466">
        <v>1700</v>
      </c>
      <c r="H38" s="466"/>
      <c r="I38" s="467"/>
      <c r="J38" s="467"/>
      <c r="K38" s="1671">
        <f t="shared" si="2"/>
        <v>70476</v>
      </c>
      <c r="L38" s="466">
        <v>67870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79797</v>
      </c>
      <c r="F40" s="466"/>
      <c r="G40" s="466"/>
      <c r="H40" s="466"/>
      <c r="I40" s="467"/>
      <c r="J40" s="467"/>
      <c r="K40" s="1671">
        <f t="shared" si="2"/>
        <v>79797</v>
      </c>
      <c r="L40" s="466">
        <v>35000</v>
      </c>
    </row>
    <row r="41" spans="1:14" x14ac:dyDescent="0.2">
      <c r="A41" s="1504" t="s">
        <v>1669</v>
      </c>
      <c r="B41" s="614">
        <v>2190</v>
      </c>
      <c r="C41" s="466"/>
      <c r="D41" s="466"/>
      <c r="E41" s="466">
        <v>92</v>
      </c>
      <c r="F41" s="466">
        <v>2715</v>
      </c>
      <c r="G41" s="466"/>
      <c r="H41" s="466"/>
      <c r="I41" s="467"/>
      <c r="J41" s="467"/>
      <c r="K41" s="1671">
        <f t="shared" si="2"/>
        <v>2807</v>
      </c>
      <c r="L41" s="466">
        <v>2500</v>
      </c>
    </row>
    <row r="42" spans="1:14" ht="12.75" customHeight="1" thickBot="1" x14ac:dyDescent="0.25">
      <c r="A42" s="1668" t="s">
        <v>560</v>
      </c>
      <c r="B42" s="1669" t="s">
        <v>716</v>
      </c>
      <c r="C42" s="1670">
        <f>SUM(C36:C41)</f>
        <v>400692</v>
      </c>
      <c r="D42" s="1670">
        <f t="shared" ref="D42:L42" si="3">SUM(D36:D41)</f>
        <v>78893</v>
      </c>
      <c r="E42" s="1670">
        <f t="shared" si="3"/>
        <v>86568</v>
      </c>
      <c r="F42" s="1670">
        <f t="shared" si="3"/>
        <v>8660</v>
      </c>
      <c r="G42" s="1670">
        <f t="shared" si="3"/>
        <v>1700</v>
      </c>
      <c r="H42" s="1670">
        <f t="shared" si="3"/>
        <v>0</v>
      </c>
      <c r="I42" s="1670">
        <f t="shared" si="3"/>
        <v>600</v>
      </c>
      <c r="J42" s="1670">
        <f t="shared" si="3"/>
        <v>0</v>
      </c>
      <c r="K42" s="1670">
        <f t="shared" si="3"/>
        <v>577113</v>
      </c>
      <c r="L42" s="1670">
        <f t="shared" si="3"/>
        <v>538700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19143</v>
      </c>
      <c r="D44" s="481">
        <v>4547</v>
      </c>
      <c r="E44" s="481">
        <v>42610</v>
      </c>
      <c r="F44" s="481">
        <v>1842</v>
      </c>
      <c r="G44" s="481"/>
      <c r="H44" s="481"/>
      <c r="I44" s="467"/>
      <c r="J44" s="467"/>
      <c r="K44" s="1672">
        <f>SUM(C44:J44)</f>
        <v>68142</v>
      </c>
      <c r="L44" s="481">
        <v>73460</v>
      </c>
    </row>
    <row r="45" spans="1:14" x14ac:dyDescent="0.2">
      <c r="A45" s="1504" t="s">
        <v>815</v>
      </c>
      <c r="B45" s="614">
        <v>2220</v>
      </c>
      <c r="C45" s="466">
        <v>52436</v>
      </c>
      <c r="D45" s="466">
        <v>12952</v>
      </c>
      <c r="E45" s="466">
        <v>5300</v>
      </c>
      <c r="F45" s="466">
        <v>18634</v>
      </c>
      <c r="G45" s="466">
        <v>17000</v>
      </c>
      <c r="H45" s="466"/>
      <c r="I45" s="467">
        <v>855</v>
      </c>
      <c r="J45" s="467"/>
      <c r="K45" s="1672">
        <f>SUM(C45:J45)</f>
        <v>107177</v>
      </c>
      <c r="L45" s="466">
        <v>101730</v>
      </c>
    </row>
    <row r="46" spans="1:14" x14ac:dyDescent="0.2">
      <c r="A46" s="1504" t="s">
        <v>816</v>
      </c>
      <c r="B46" s="614">
        <v>2230</v>
      </c>
      <c r="C46" s="466"/>
      <c r="D46" s="466"/>
      <c r="E46" s="466">
        <v>12547</v>
      </c>
      <c r="F46" s="466"/>
      <c r="G46" s="466"/>
      <c r="H46" s="466"/>
      <c r="I46" s="467"/>
      <c r="J46" s="467"/>
      <c r="K46" s="1672">
        <f>SUM(C46:J46)</f>
        <v>12547</v>
      </c>
      <c r="L46" s="466">
        <v>10120</v>
      </c>
    </row>
    <row r="47" spans="1:14" ht="12.75" customHeight="1" thickBot="1" x14ac:dyDescent="0.25">
      <c r="A47" s="1668" t="s">
        <v>561</v>
      </c>
      <c r="B47" s="1669" t="s">
        <v>32</v>
      </c>
      <c r="C47" s="1670">
        <f>SUM(C44:C46)</f>
        <v>71579</v>
      </c>
      <c r="D47" s="1670">
        <f t="shared" ref="D47:K47" si="4">SUM(D44:D46)</f>
        <v>17499</v>
      </c>
      <c r="E47" s="1670">
        <f t="shared" si="4"/>
        <v>60457</v>
      </c>
      <c r="F47" s="1670">
        <f t="shared" si="4"/>
        <v>20476</v>
      </c>
      <c r="G47" s="1670">
        <f t="shared" si="4"/>
        <v>17000</v>
      </c>
      <c r="H47" s="1670">
        <f t="shared" si="4"/>
        <v>0</v>
      </c>
      <c r="I47" s="1670">
        <f t="shared" si="4"/>
        <v>855</v>
      </c>
      <c r="J47" s="1670">
        <f t="shared" si="4"/>
        <v>0</v>
      </c>
      <c r="K47" s="1670">
        <f t="shared" si="4"/>
        <v>187866</v>
      </c>
      <c r="L47" s="1670">
        <f>SUM(L44:L46)</f>
        <v>185310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9000</v>
      </c>
      <c r="D49" s="481">
        <v>1186</v>
      </c>
      <c r="E49" s="481">
        <v>35543</v>
      </c>
      <c r="F49" s="481"/>
      <c r="G49" s="481"/>
      <c r="H49" s="481">
        <v>28700</v>
      </c>
      <c r="I49" s="467"/>
      <c r="J49" s="467"/>
      <c r="K49" s="1672">
        <f>SUM(C49:J49)</f>
        <v>74429</v>
      </c>
      <c r="L49" s="481">
        <v>36500</v>
      </c>
    </row>
    <row r="50" spans="1:14" x14ac:dyDescent="0.2">
      <c r="A50" s="1504" t="s">
        <v>818</v>
      </c>
      <c r="B50" s="614">
        <v>2320</v>
      </c>
      <c r="C50" s="466">
        <v>173869</v>
      </c>
      <c r="D50" s="466">
        <v>41237</v>
      </c>
      <c r="E50" s="466">
        <v>12484</v>
      </c>
      <c r="F50" s="466">
        <v>2561</v>
      </c>
      <c r="G50" s="466">
        <v>6291</v>
      </c>
      <c r="H50" s="466"/>
      <c r="I50" s="467">
        <v>1950</v>
      </c>
      <c r="J50" s="467"/>
      <c r="K50" s="1672">
        <f>SUM(C50:J50)</f>
        <v>238392</v>
      </c>
      <c r="L50" s="466">
        <v>238335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182869</v>
      </c>
      <c r="D53" s="1670">
        <f t="shared" ref="D53:L53" si="5">SUM(D49:D52)</f>
        <v>42423</v>
      </c>
      <c r="E53" s="1670">
        <f t="shared" si="5"/>
        <v>48027</v>
      </c>
      <c r="F53" s="1670">
        <f t="shared" si="5"/>
        <v>2561</v>
      </c>
      <c r="G53" s="1670">
        <f t="shared" si="5"/>
        <v>6291</v>
      </c>
      <c r="H53" s="1670">
        <f t="shared" si="5"/>
        <v>28700</v>
      </c>
      <c r="I53" s="1670">
        <f t="shared" si="5"/>
        <v>1950</v>
      </c>
      <c r="J53" s="1670">
        <f t="shared" si="5"/>
        <v>0</v>
      </c>
      <c r="K53" s="1670">
        <f t="shared" si="5"/>
        <v>312821</v>
      </c>
      <c r="L53" s="1670">
        <f t="shared" si="5"/>
        <v>274835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488197</v>
      </c>
      <c r="D55" s="481">
        <v>98814</v>
      </c>
      <c r="E55" s="481">
        <v>48192</v>
      </c>
      <c r="F55" s="481">
        <v>23366</v>
      </c>
      <c r="G55" s="481">
        <v>4564</v>
      </c>
      <c r="H55" s="481">
        <v>2318</v>
      </c>
      <c r="I55" s="467">
        <v>4783</v>
      </c>
      <c r="J55" s="467"/>
      <c r="K55" s="1672">
        <f>SUM(C55:J55)</f>
        <v>670234</v>
      </c>
      <c r="L55" s="481">
        <v>657245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488197</v>
      </c>
      <c r="D57" s="1674">
        <f t="shared" ref="D57:K57" si="6">SUM(D55:D56)</f>
        <v>98814</v>
      </c>
      <c r="E57" s="1674">
        <f t="shared" si="6"/>
        <v>48192</v>
      </c>
      <c r="F57" s="1674">
        <f t="shared" si="6"/>
        <v>23366</v>
      </c>
      <c r="G57" s="1674">
        <f t="shared" si="6"/>
        <v>4564</v>
      </c>
      <c r="H57" s="1674">
        <f t="shared" si="6"/>
        <v>2318</v>
      </c>
      <c r="I57" s="1674">
        <f t="shared" si="6"/>
        <v>4783</v>
      </c>
      <c r="J57" s="1674">
        <f t="shared" si="6"/>
        <v>0</v>
      </c>
      <c r="K57" s="1674">
        <f t="shared" si="6"/>
        <v>670234</v>
      </c>
      <c r="L57" s="1670">
        <f>SUM(L55:L56)</f>
        <v>657245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70197</v>
      </c>
      <c r="D60" s="466">
        <v>8554</v>
      </c>
      <c r="E60" s="466">
        <v>658</v>
      </c>
      <c r="F60" s="466"/>
      <c r="G60" s="466"/>
      <c r="H60" s="466"/>
      <c r="I60" s="467"/>
      <c r="J60" s="467"/>
      <c r="K60" s="1672">
        <f t="shared" si="7"/>
        <v>79409</v>
      </c>
      <c r="L60" s="466">
        <v>104890</v>
      </c>
      <c r="M60" s="609"/>
      <c r="N60" s="609"/>
    </row>
    <row r="61" spans="1:14" s="343" customFormat="1" x14ac:dyDescent="0.2">
      <c r="A61" s="1504" t="s">
        <v>197</v>
      </c>
      <c r="B61" s="614">
        <v>2540</v>
      </c>
      <c r="C61" s="466"/>
      <c r="D61" s="466"/>
      <c r="E61" s="466">
        <v>15116</v>
      </c>
      <c r="F61" s="466"/>
      <c r="G61" s="466">
        <v>5110</v>
      </c>
      <c r="H61" s="466"/>
      <c r="I61" s="467"/>
      <c r="J61" s="467"/>
      <c r="K61" s="1672">
        <f t="shared" si="7"/>
        <v>20226</v>
      </c>
      <c r="L61" s="466">
        <v>2250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109914</v>
      </c>
      <c r="D63" s="466">
        <v>16476</v>
      </c>
      <c r="E63" s="466">
        <v>1197</v>
      </c>
      <c r="F63" s="466">
        <v>145112</v>
      </c>
      <c r="G63" s="466">
        <v>3411</v>
      </c>
      <c r="H63" s="466"/>
      <c r="I63" s="467">
        <v>1847</v>
      </c>
      <c r="J63" s="467"/>
      <c r="K63" s="1672">
        <f t="shared" si="7"/>
        <v>277957</v>
      </c>
      <c r="L63" s="466">
        <v>305805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180111</v>
      </c>
      <c r="D65" s="1670">
        <f t="shared" ref="D65:L65" si="8">SUM(D59:D64)</f>
        <v>25030</v>
      </c>
      <c r="E65" s="1670">
        <f t="shared" si="8"/>
        <v>16971</v>
      </c>
      <c r="F65" s="1670">
        <f t="shared" si="8"/>
        <v>145112</v>
      </c>
      <c r="G65" s="1670">
        <f t="shared" si="8"/>
        <v>8521</v>
      </c>
      <c r="H65" s="1670">
        <f t="shared" si="8"/>
        <v>0</v>
      </c>
      <c r="I65" s="1670">
        <f t="shared" si="8"/>
        <v>1847</v>
      </c>
      <c r="J65" s="1670">
        <f t="shared" si="8"/>
        <v>0</v>
      </c>
      <c r="K65" s="1670">
        <f t="shared" si="8"/>
        <v>377592</v>
      </c>
      <c r="L65" s="1670">
        <f t="shared" si="8"/>
        <v>412945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v>1082</v>
      </c>
      <c r="G71" s="466"/>
      <c r="H71" s="466"/>
      <c r="I71" s="467"/>
      <c r="J71" s="467"/>
      <c r="K71" s="1672">
        <f>SUM(C71:J71)</f>
        <v>1082</v>
      </c>
      <c r="L71" s="466">
        <v>2000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1082</v>
      </c>
      <c r="G72" s="1670">
        <f t="shared" si="9"/>
        <v>0</v>
      </c>
      <c r="H72" s="1670">
        <f t="shared" si="9"/>
        <v>0</v>
      </c>
      <c r="I72" s="1670">
        <f t="shared" si="9"/>
        <v>0</v>
      </c>
      <c r="J72" s="1670">
        <f t="shared" si="9"/>
        <v>0</v>
      </c>
      <c r="K72" s="1670">
        <f t="shared" si="9"/>
        <v>1082</v>
      </c>
      <c r="L72" s="1670">
        <f>SUM(L67:L71)</f>
        <v>2000</v>
      </c>
      <c r="M72" s="609"/>
      <c r="N72" s="609"/>
    </row>
    <row r="73" spans="1:14" s="343" customFormat="1" ht="14.25" thickTop="1" thickBot="1" x14ac:dyDescent="0.25">
      <c r="A73" s="1510" t="s">
        <v>980</v>
      </c>
      <c r="B73" s="632" t="s">
        <v>574</v>
      </c>
      <c r="C73" s="573"/>
      <c r="D73" s="573"/>
      <c r="E73" s="573">
        <v>58405</v>
      </c>
      <c r="F73" s="573"/>
      <c r="G73" s="573"/>
      <c r="H73" s="573"/>
      <c r="I73" s="531"/>
      <c r="J73" s="531"/>
      <c r="K73" s="1670">
        <f>SUM(C73:J73)</f>
        <v>58405</v>
      </c>
      <c r="L73" s="576">
        <v>61750</v>
      </c>
      <c r="M73" s="609"/>
      <c r="N73" s="609"/>
    </row>
    <row r="74" spans="1:14" ht="12.75" customHeight="1" thickTop="1" thickBot="1" x14ac:dyDescent="0.25">
      <c r="A74" s="1668" t="s">
        <v>811</v>
      </c>
      <c r="B74" s="1676">
        <v>2000</v>
      </c>
      <c r="C74" s="1677">
        <f>SUM(C42,C47,C53,C57,C65,C72,C73)</f>
        <v>1323448</v>
      </c>
      <c r="D74" s="1677">
        <f t="shared" ref="D74:K74" si="10">SUM(D42,D47,D53,D57,D65,D72,D73)</f>
        <v>262659</v>
      </c>
      <c r="E74" s="1677">
        <f t="shared" si="10"/>
        <v>318620</v>
      </c>
      <c r="F74" s="1677">
        <f t="shared" si="10"/>
        <v>201257</v>
      </c>
      <c r="G74" s="1677">
        <f t="shared" si="10"/>
        <v>38076</v>
      </c>
      <c r="H74" s="1677">
        <f t="shared" si="10"/>
        <v>31018</v>
      </c>
      <c r="I74" s="1677">
        <f t="shared" si="10"/>
        <v>10035</v>
      </c>
      <c r="J74" s="1677">
        <f t="shared" si="10"/>
        <v>0</v>
      </c>
      <c r="K74" s="1677">
        <f t="shared" si="10"/>
        <v>2185113</v>
      </c>
      <c r="L74" s="1677">
        <f>SUM(L42,L47,L53,L57,L65,L72,L73)</f>
        <v>2132785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2200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40300</v>
      </c>
      <c r="F78" s="616"/>
      <c r="G78" s="616"/>
      <c r="H78" s="634"/>
      <c r="I78" s="477"/>
      <c r="J78" s="477"/>
      <c r="K78" s="1671">
        <f t="shared" ref="K78:K83" si="11">SUM(C78:J78)</f>
        <v>40300</v>
      </c>
      <c r="L78" s="481">
        <v>25000</v>
      </c>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40300</v>
      </c>
      <c r="F84" s="616"/>
      <c r="G84" s="616"/>
      <c r="H84" s="1670">
        <f>SUM(H78:H83)</f>
        <v>0</v>
      </c>
      <c r="I84" s="477"/>
      <c r="J84" s="477"/>
      <c r="K84" s="1670">
        <f>SUM(K78:K83)</f>
        <v>40300</v>
      </c>
      <c r="L84" s="1670">
        <f>SUM(L78:L83)</f>
        <v>25000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971888</v>
      </c>
      <c r="I86" s="477"/>
      <c r="J86" s="477"/>
      <c r="K86" s="1677">
        <f t="shared" ref="K86:K98" si="12">H86</f>
        <v>971888</v>
      </c>
      <c r="L86" s="530">
        <v>975000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971888</v>
      </c>
      <c r="I92" s="477"/>
      <c r="J92" s="477"/>
      <c r="K92" s="1677">
        <f t="shared" si="12"/>
        <v>971888</v>
      </c>
      <c r="L92" s="1670">
        <f>SUM(L85:L91)</f>
        <v>975000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40300</v>
      </c>
      <c r="F102" s="616"/>
      <c r="G102" s="616"/>
      <c r="H102" s="1677">
        <f>SUM(H84,H92,H100,H101)</f>
        <v>971888</v>
      </c>
      <c r="I102" s="477"/>
      <c r="J102" s="477"/>
      <c r="K102" s="1677">
        <f>SUM(K84,K92,K100,K101)</f>
        <v>1012188</v>
      </c>
      <c r="L102" s="1677">
        <f>SUM(L84,L92,L100,L101)</f>
        <v>1000000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5205147</v>
      </c>
      <c r="D114" s="1670">
        <f t="shared" ref="D114:K114" si="13">SUM(D33,D74,D75,D102,D112,D113)</f>
        <v>1197040</v>
      </c>
      <c r="E114" s="1670">
        <f t="shared" si="13"/>
        <v>661914</v>
      </c>
      <c r="F114" s="1670">
        <f t="shared" si="13"/>
        <v>423534</v>
      </c>
      <c r="G114" s="1670">
        <f t="shared" si="13"/>
        <v>80541</v>
      </c>
      <c r="H114" s="1670">
        <f>SUM(H33,H74,H75,H102,H112,H113)</f>
        <v>1012503</v>
      </c>
      <c r="I114" s="1670">
        <f t="shared" si="13"/>
        <v>34067</v>
      </c>
      <c r="J114" s="1670">
        <f t="shared" si="13"/>
        <v>0</v>
      </c>
      <c r="K114" s="1670">
        <f t="shared" si="13"/>
        <v>8614746</v>
      </c>
      <c r="L114" s="1670">
        <f>SUM(L33,L74,L75,L102,L112,L113)</f>
        <v>8689684</v>
      </c>
    </row>
    <row r="115" spans="1:14" ht="13.5" thickTop="1" x14ac:dyDescent="0.2">
      <c r="A115" s="2161" t="s">
        <v>996</v>
      </c>
      <c r="B115" s="2162"/>
      <c r="C115" s="618"/>
      <c r="D115" s="618"/>
      <c r="E115" s="618"/>
      <c r="F115" s="618"/>
      <c r="G115" s="618"/>
      <c r="H115" s="618"/>
      <c r="I115" s="618"/>
      <c r="J115" s="618"/>
      <c r="K115" s="1684">
        <f>'Revenues 9-14'!C268-'Expenditures 15-22'!K114</f>
        <v>-337453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242849</v>
      </c>
      <c r="D124" s="466">
        <v>45646</v>
      </c>
      <c r="E124" s="466">
        <v>145630</v>
      </c>
      <c r="F124" s="466">
        <v>317523</v>
      </c>
      <c r="G124" s="466">
        <v>8514</v>
      </c>
      <c r="H124" s="466"/>
      <c r="I124" s="467">
        <v>1607</v>
      </c>
      <c r="J124" s="467"/>
      <c r="K124" s="1670">
        <f>SUM(C124:J124)</f>
        <v>761769</v>
      </c>
      <c r="L124" s="466">
        <v>775925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242849</v>
      </c>
      <c r="D127" s="1670">
        <f t="shared" ref="D127:L127" si="14">SUM(D122:D126)</f>
        <v>45646</v>
      </c>
      <c r="E127" s="1670">
        <f t="shared" si="14"/>
        <v>145630</v>
      </c>
      <c r="F127" s="1670">
        <f t="shared" si="14"/>
        <v>317523</v>
      </c>
      <c r="G127" s="1670">
        <f t="shared" si="14"/>
        <v>8514</v>
      </c>
      <c r="H127" s="1670">
        <f t="shared" si="14"/>
        <v>0</v>
      </c>
      <c r="I127" s="1670">
        <f t="shared" si="14"/>
        <v>1607</v>
      </c>
      <c r="J127" s="1670">
        <f t="shared" si="14"/>
        <v>0</v>
      </c>
      <c r="K127" s="1670">
        <f t="shared" si="14"/>
        <v>761769</v>
      </c>
      <c r="L127" s="1670">
        <f t="shared" si="14"/>
        <v>775925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242849</v>
      </c>
      <c r="D129" s="1677">
        <f t="shared" ref="D129:L129" si="15">SUM(D120,D127,D128)</f>
        <v>45646</v>
      </c>
      <c r="E129" s="1677">
        <f t="shared" si="15"/>
        <v>145630</v>
      </c>
      <c r="F129" s="1677">
        <f t="shared" si="15"/>
        <v>317523</v>
      </c>
      <c r="G129" s="1677">
        <f t="shared" si="15"/>
        <v>8514</v>
      </c>
      <c r="H129" s="1677">
        <f t="shared" si="15"/>
        <v>0</v>
      </c>
      <c r="I129" s="1677">
        <f t="shared" si="15"/>
        <v>1607</v>
      </c>
      <c r="J129" s="1677">
        <f t="shared" si="15"/>
        <v>0</v>
      </c>
      <c r="K129" s="1677">
        <f t="shared" si="15"/>
        <v>761769</v>
      </c>
      <c r="L129" s="1677">
        <f t="shared" si="15"/>
        <v>775925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8" t="s">
        <v>620</v>
      </c>
      <c r="B151" s="2158"/>
      <c r="C151" s="1670">
        <f>SUM(C129,C130,C139,C149,C150)</f>
        <v>242849</v>
      </c>
      <c r="D151" s="1670">
        <f t="shared" ref="D151:K151" si="16">SUM(D129,D130,D139,D149,D150)</f>
        <v>45646</v>
      </c>
      <c r="E151" s="1670">
        <f t="shared" si="16"/>
        <v>145630</v>
      </c>
      <c r="F151" s="1670">
        <f t="shared" si="16"/>
        <v>317523</v>
      </c>
      <c r="G151" s="1670">
        <f t="shared" si="16"/>
        <v>8514</v>
      </c>
      <c r="H151" s="1670">
        <f t="shared" si="16"/>
        <v>0</v>
      </c>
      <c r="I151" s="1670">
        <f t="shared" si="16"/>
        <v>1607</v>
      </c>
      <c r="J151" s="1670">
        <f t="shared" si="16"/>
        <v>0</v>
      </c>
      <c r="K151" s="1670">
        <f t="shared" si="16"/>
        <v>761769</v>
      </c>
      <c r="L151" s="1670">
        <f>SUM(L129,L130,L139,L149,L150)</f>
        <v>775925</v>
      </c>
    </row>
    <row r="152" spans="1:14" ht="12.75" customHeight="1" thickTop="1" x14ac:dyDescent="0.2">
      <c r="A152" s="2181" t="s">
        <v>1178</v>
      </c>
      <c r="B152" s="2182"/>
      <c r="C152" s="618"/>
      <c r="D152" s="618"/>
      <c r="E152" s="618"/>
      <c r="F152" s="618"/>
      <c r="G152" s="618"/>
      <c r="H152" s="618"/>
      <c r="I152" s="618"/>
      <c r="J152" s="616"/>
      <c r="K152" s="1684">
        <f>'Revenues 9-14'!D268-'Expenditures 15-22'!K151</f>
        <v>-122134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104112</v>
      </c>
      <c r="I169" s="616"/>
      <c r="J169" s="616"/>
      <c r="K169" s="1671">
        <f>SUM(C169:H169)</f>
        <v>104112</v>
      </c>
      <c r="L169" s="656">
        <v>105215</v>
      </c>
    </row>
    <row r="170" spans="1:14" ht="33.75" customHeight="1" x14ac:dyDescent="0.2">
      <c r="A170" s="669" t="s">
        <v>1670</v>
      </c>
      <c r="B170" s="671" t="s">
        <v>31</v>
      </c>
      <c r="C170" s="616"/>
      <c r="D170" s="616"/>
      <c r="E170" s="616"/>
      <c r="F170" s="616"/>
      <c r="G170" s="616"/>
      <c r="H170" s="569">
        <v>412000</v>
      </c>
      <c r="I170" s="616"/>
      <c r="J170" s="616"/>
      <c r="K170" s="1671">
        <f>SUM(C170:J170)</f>
        <v>412000</v>
      </c>
      <c r="L170" s="569">
        <v>412000</v>
      </c>
    </row>
    <row r="171" spans="1:14" ht="15.75" customHeight="1" x14ac:dyDescent="0.2">
      <c r="A171" s="621" t="s">
        <v>766</v>
      </c>
      <c r="B171" s="672" t="s">
        <v>84</v>
      </c>
      <c r="C171" s="616"/>
      <c r="D171" s="616"/>
      <c r="E171" s="466"/>
      <c r="F171" s="616"/>
      <c r="G171" s="616"/>
      <c r="H171" s="569">
        <v>424</v>
      </c>
      <c r="I171" s="477"/>
      <c r="J171" s="616"/>
      <c r="K171" s="1671">
        <f>SUM(C171:J171)</f>
        <v>424</v>
      </c>
      <c r="L171" s="569"/>
    </row>
    <row r="172" spans="1:14" ht="12.75" customHeight="1" thickBot="1" x14ac:dyDescent="0.25">
      <c r="A172" s="1668" t="s">
        <v>638</v>
      </c>
      <c r="B172" s="1669" t="s">
        <v>492</v>
      </c>
      <c r="C172" s="616"/>
      <c r="D172" s="616"/>
      <c r="E172" s="1677">
        <f>SUM(E168,E169,E170,E171)</f>
        <v>0</v>
      </c>
      <c r="F172" s="616"/>
      <c r="G172" s="616"/>
      <c r="H172" s="1677">
        <f>SUM(H168,H169,H170,H171)</f>
        <v>516536</v>
      </c>
      <c r="I172" s="638"/>
      <c r="J172" s="616"/>
      <c r="K172" s="1677">
        <f>SUM(K168,K169,K170,K171)</f>
        <v>516536</v>
      </c>
      <c r="L172" s="1677">
        <f>SUM(L168,L169,L170,L171)</f>
        <v>517215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516536</v>
      </c>
      <c r="I174" s="638"/>
      <c r="J174" s="616"/>
      <c r="K174" s="1677">
        <f>SUM(K160,K172,K173)</f>
        <v>516536</v>
      </c>
      <c r="L174" s="1677">
        <f>SUM(L160,L172,L173)</f>
        <v>517215</v>
      </c>
    </row>
    <row r="175" spans="1:14" ht="13.5" thickTop="1" x14ac:dyDescent="0.2">
      <c r="A175" s="2161" t="s">
        <v>996</v>
      </c>
      <c r="B175" s="2162"/>
      <c r="C175" s="616"/>
      <c r="D175" s="616"/>
      <c r="E175" s="616"/>
      <c r="F175" s="616"/>
      <c r="G175" s="616"/>
      <c r="H175" s="618"/>
      <c r="I175" s="616"/>
      <c r="J175" s="616"/>
      <c r="K175" s="1684">
        <f>'Revenues 9-14'!E268-'Expenditures 15-22'!K174</f>
        <v>-397548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247812</v>
      </c>
      <c r="D182" s="466">
        <v>586</v>
      </c>
      <c r="E182" s="466">
        <v>118321</v>
      </c>
      <c r="F182" s="466">
        <v>67346</v>
      </c>
      <c r="G182" s="466">
        <v>20003</v>
      </c>
      <c r="H182" s="466"/>
      <c r="I182" s="467">
        <v>2880</v>
      </c>
      <c r="J182" s="467"/>
      <c r="K182" s="1671">
        <f>SUM(C182:J182)</f>
        <v>456948</v>
      </c>
      <c r="L182" s="466">
        <v>491165</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247812</v>
      </c>
      <c r="D184" s="1677">
        <f t="shared" ref="D184:J184" si="17">SUM(D180,D182,D183)</f>
        <v>586</v>
      </c>
      <c r="E184" s="1677">
        <f t="shared" si="17"/>
        <v>118321</v>
      </c>
      <c r="F184" s="1677">
        <f t="shared" si="17"/>
        <v>67346</v>
      </c>
      <c r="G184" s="1677">
        <f t="shared" si="17"/>
        <v>20003</v>
      </c>
      <c r="H184" s="1677">
        <f t="shared" si="17"/>
        <v>0</v>
      </c>
      <c r="I184" s="1677">
        <f t="shared" si="17"/>
        <v>2880</v>
      </c>
      <c r="J184" s="1677">
        <f t="shared" si="17"/>
        <v>0</v>
      </c>
      <c r="K184" s="1677">
        <f>SUM(K180,K182,K183)</f>
        <v>456948</v>
      </c>
      <c r="L184" s="1677">
        <f>SUM(L180, L182:L183)</f>
        <v>491165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247812</v>
      </c>
      <c r="D210" s="1670">
        <f>SUM(D184,D185)</f>
        <v>586</v>
      </c>
      <c r="E210" s="1670">
        <f>SUM(E184,E185,E196)</f>
        <v>118321</v>
      </c>
      <c r="F210" s="1670">
        <f>SUM(F184,F185)</f>
        <v>67346</v>
      </c>
      <c r="G210" s="1670">
        <f>SUM(G184,G185)</f>
        <v>20003</v>
      </c>
      <c r="H210" s="1670">
        <f>SUM(H184,H185,H196,H208,H209)</f>
        <v>0</v>
      </c>
      <c r="I210" s="1670">
        <f>SUM(I184,I185)</f>
        <v>2880</v>
      </c>
      <c r="J210" s="1670">
        <f>SUM(J184,J185)</f>
        <v>0</v>
      </c>
      <c r="K210" s="1671">
        <f>SUM(K184,K185,K196,K208,K209)</f>
        <v>456948</v>
      </c>
      <c r="L210" s="1670">
        <f>SUM(L184,L185,L196,L208,L209)</f>
        <v>491165</v>
      </c>
    </row>
    <row r="211" spans="1:14" ht="13.5" thickTop="1" x14ac:dyDescent="0.2">
      <c r="A211" s="2161" t="s">
        <v>996</v>
      </c>
      <c r="B211" s="2162"/>
      <c r="C211" s="618"/>
      <c r="D211" s="618"/>
      <c r="E211" s="618"/>
      <c r="F211" s="618"/>
      <c r="G211" s="618"/>
      <c r="H211" s="618"/>
      <c r="I211" s="616"/>
      <c r="J211" s="616"/>
      <c r="K211" s="1684">
        <f>'Revenues 9-14'!F268-'Expenditures 15-22'!K210</f>
        <v>-25702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37831</v>
      </c>
      <c r="E215" s="616"/>
      <c r="F215" s="616"/>
      <c r="G215" s="616"/>
      <c r="H215" s="616"/>
      <c r="I215" s="616"/>
      <c r="J215" s="616"/>
      <c r="K215" s="1671">
        <f>D215</f>
        <v>37831</v>
      </c>
      <c r="L215" s="466">
        <v>34442</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61087</v>
      </c>
      <c r="E217" s="616"/>
      <c r="F217" s="616"/>
      <c r="G217" s="616"/>
      <c r="H217" s="616"/>
      <c r="I217" s="616"/>
      <c r="J217" s="616"/>
      <c r="K217" s="1671">
        <f t="shared" si="19"/>
        <v>61087</v>
      </c>
      <c r="L217" s="466">
        <v>51674</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3179</v>
      </c>
      <c r="E219" s="616"/>
      <c r="F219" s="616"/>
      <c r="G219" s="616"/>
      <c r="H219" s="616"/>
      <c r="I219" s="616"/>
      <c r="J219" s="616"/>
      <c r="K219" s="1671">
        <f t="shared" si="19"/>
        <v>3179</v>
      </c>
      <c r="L219" s="466">
        <v>1684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5263</v>
      </c>
      <c r="E222" s="616"/>
      <c r="F222" s="616"/>
      <c r="G222" s="616"/>
      <c r="H222" s="616"/>
      <c r="I222" s="616"/>
      <c r="J222" s="616"/>
      <c r="K222" s="1671">
        <f t="shared" si="19"/>
        <v>5263</v>
      </c>
      <c r="L222" s="466">
        <v>6224</v>
      </c>
    </row>
    <row r="223" spans="1:14" x14ac:dyDescent="0.2">
      <c r="A223" s="1504" t="s">
        <v>963</v>
      </c>
      <c r="B223" s="614">
        <v>1500</v>
      </c>
      <c r="C223" s="616"/>
      <c r="D223" s="466">
        <v>9522</v>
      </c>
      <c r="E223" s="616"/>
      <c r="F223" s="616"/>
      <c r="G223" s="616"/>
      <c r="H223" s="616"/>
      <c r="I223" s="616"/>
      <c r="J223" s="616"/>
      <c r="K223" s="1671">
        <f t="shared" si="19"/>
        <v>9522</v>
      </c>
      <c r="L223" s="466">
        <v>8075</v>
      </c>
    </row>
    <row r="224" spans="1:14" x14ac:dyDescent="0.2">
      <c r="A224" s="1504" t="s">
        <v>964</v>
      </c>
      <c r="B224" s="614">
        <v>1600</v>
      </c>
      <c r="C224" s="616"/>
      <c r="D224" s="466">
        <v>592</v>
      </c>
      <c r="E224" s="616"/>
      <c r="F224" s="616"/>
      <c r="G224" s="616"/>
      <c r="H224" s="616"/>
      <c r="I224" s="616"/>
      <c r="J224" s="616"/>
      <c r="K224" s="1671">
        <f t="shared" si="19"/>
        <v>592</v>
      </c>
      <c r="L224" s="466">
        <v>531</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v>7498</v>
      </c>
      <c r="E228" s="616"/>
      <c r="F228" s="616"/>
      <c r="G228" s="616"/>
      <c r="H228" s="616"/>
      <c r="I228" s="616"/>
      <c r="J228" s="616"/>
      <c r="K228" s="1671">
        <f t="shared" si="19"/>
        <v>7498</v>
      </c>
      <c r="L228" s="466">
        <v>7628</v>
      </c>
    </row>
    <row r="229" spans="1:12" ht="12.75" customHeight="1" thickBot="1" x14ac:dyDescent="0.25">
      <c r="A229" s="1668" t="s">
        <v>715</v>
      </c>
      <c r="B229" s="1675" t="s">
        <v>570</v>
      </c>
      <c r="C229" s="616"/>
      <c r="D229" s="1670">
        <f>SUM(D215:D228)</f>
        <v>124972</v>
      </c>
      <c r="E229" s="616"/>
      <c r="F229" s="616"/>
      <c r="G229" s="616"/>
      <c r="H229" s="616"/>
      <c r="I229" s="616"/>
      <c r="J229" s="616"/>
      <c r="K229" s="1670">
        <f>SUM(K215:K228)</f>
        <v>124972</v>
      </c>
      <c r="L229" s="1670">
        <f>SUM(L215:L228)</f>
        <v>110258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1424</v>
      </c>
      <c r="E232" s="616"/>
      <c r="F232" s="616"/>
      <c r="G232" s="616"/>
      <c r="H232" s="616"/>
      <c r="I232" s="616"/>
      <c r="J232" s="616"/>
      <c r="K232" s="1671">
        <f t="shared" ref="K232:K237" si="20">D232</f>
        <v>1424</v>
      </c>
      <c r="L232" s="466">
        <v>880</v>
      </c>
    </row>
    <row r="233" spans="1:12" x14ac:dyDescent="0.2">
      <c r="A233" s="1504" t="s">
        <v>1090</v>
      </c>
      <c r="B233" s="614">
        <v>2120</v>
      </c>
      <c r="C233" s="616"/>
      <c r="D233" s="466">
        <v>15213</v>
      </c>
      <c r="E233" s="616"/>
      <c r="F233" s="616"/>
      <c r="G233" s="616"/>
      <c r="H233" s="616"/>
      <c r="I233" s="616"/>
      <c r="J233" s="616"/>
      <c r="K233" s="1671">
        <f t="shared" si="20"/>
        <v>15213</v>
      </c>
      <c r="L233" s="466">
        <v>14881</v>
      </c>
    </row>
    <row r="234" spans="1:12" x14ac:dyDescent="0.2">
      <c r="A234" s="1504" t="s">
        <v>198</v>
      </c>
      <c r="B234" s="614">
        <v>2130</v>
      </c>
      <c r="C234" s="616"/>
      <c r="D234" s="466">
        <v>11435</v>
      </c>
      <c r="E234" s="616"/>
      <c r="F234" s="616"/>
      <c r="G234" s="616"/>
      <c r="H234" s="616"/>
      <c r="I234" s="616"/>
      <c r="J234" s="616"/>
      <c r="K234" s="1671">
        <f t="shared" si="20"/>
        <v>11435</v>
      </c>
      <c r="L234" s="466">
        <v>11546</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28072</v>
      </c>
      <c r="E238" s="616"/>
      <c r="F238" s="616"/>
      <c r="G238" s="616"/>
      <c r="H238" s="616"/>
      <c r="I238" s="616"/>
      <c r="J238" s="616"/>
      <c r="K238" s="1670">
        <f>SUM(K232:K237)</f>
        <v>28072</v>
      </c>
      <c r="L238" s="1670">
        <f>SUM(L232:L237)</f>
        <v>27307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267</v>
      </c>
      <c r="E240" s="616"/>
      <c r="F240" s="616"/>
      <c r="G240" s="616"/>
      <c r="H240" s="616"/>
      <c r="I240" s="616"/>
      <c r="J240" s="616"/>
      <c r="K240" s="1672">
        <f>D240</f>
        <v>267</v>
      </c>
      <c r="L240" s="481">
        <v>309</v>
      </c>
    </row>
    <row r="241" spans="1:12" x14ac:dyDescent="0.2">
      <c r="A241" s="1504" t="s">
        <v>815</v>
      </c>
      <c r="B241" s="614">
        <v>2220</v>
      </c>
      <c r="C241" s="616"/>
      <c r="D241" s="466">
        <v>709</v>
      </c>
      <c r="E241" s="616"/>
      <c r="F241" s="616"/>
      <c r="G241" s="616"/>
      <c r="H241" s="616"/>
      <c r="I241" s="616"/>
      <c r="J241" s="616"/>
      <c r="K241" s="1672">
        <f>D241</f>
        <v>709</v>
      </c>
      <c r="L241" s="466">
        <v>698</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976</v>
      </c>
      <c r="E243" s="616"/>
      <c r="F243" s="616"/>
      <c r="G243" s="616"/>
      <c r="H243" s="616"/>
      <c r="I243" s="616"/>
      <c r="J243" s="616"/>
      <c r="K243" s="1670">
        <f>SUM(K240:K242)</f>
        <v>976</v>
      </c>
      <c r="L243" s="1670">
        <f>SUM(L240:L242)</f>
        <v>1007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862</v>
      </c>
      <c r="E245" s="616"/>
      <c r="F245" s="616"/>
      <c r="G245" s="616"/>
      <c r="H245" s="616"/>
      <c r="I245" s="616"/>
      <c r="J245" s="616"/>
      <c r="K245" s="1672">
        <f>D245</f>
        <v>862</v>
      </c>
      <c r="L245" s="481">
        <v>867</v>
      </c>
    </row>
    <row r="246" spans="1:12" x14ac:dyDescent="0.2">
      <c r="A246" s="1504" t="s">
        <v>818</v>
      </c>
      <c r="B246" s="614">
        <v>2320</v>
      </c>
      <c r="C246" s="616"/>
      <c r="D246" s="466">
        <v>2230</v>
      </c>
      <c r="E246" s="616"/>
      <c r="F246" s="616"/>
      <c r="G246" s="616"/>
      <c r="H246" s="616"/>
      <c r="I246" s="616"/>
      <c r="J246" s="616"/>
      <c r="K246" s="1672">
        <f t="shared" ref="K246:K256" si="21">D246</f>
        <v>2230</v>
      </c>
      <c r="L246" s="466">
        <v>11650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3092</v>
      </c>
      <c r="E257" s="616"/>
      <c r="F257" s="616"/>
      <c r="G257" s="616"/>
      <c r="H257" s="616"/>
      <c r="I257" s="616"/>
      <c r="J257" s="616"/>
      <c r="K257" s="1670">
        <f>SUM(K245:K256)</f>
        <v>3092</v>
      </c>
      <c r="L257" s="1670">
        <f>SUM(L245:L256)</f>
        <v>12517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39646</v>
      </c>
      <c r="E259" s="616"/>
      <c r="F259" s="616"/>
      <c r="G259" s="616"/>
      <c r="H259" s="616"/>
      <c r="I259" s="616"/>
      <c r="J259" s="616"/>
      <c r="K259" s="1672">
        <f>D259</f>
        <v>39646</v>
      </c>
      <c r="L259" s="481">
        <v>38781</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39646</v>
      </c>
      <c r="E261" s="616"/>
      <c r="F261" s="616"/>
      <c r="G261" s="616"/>
      <c r="H261" s="616"/>
      <c r="I261" s="616"/>
      <c r="J261" s="616"/>
      <c r="K261" s="1670">
        <f>SUM(K259:K260)</f>
        <v>39646</v>
      </c>
      <c r="L261" s="1670">
        <f>SUM(L259:L260)</f>
        <v>38781</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21988</v>
      </c>
      <c r="E264" s="616"/>
      <c r="F264" s="616"/>
      <c r="G264" s="616"/>
      <c r="H264" s="616"/>
      <c r="I264" s="616"/>
      <c r="J264" s="616"/>
      <c r="K264" s="1672">
        <f t="shared" ref="K264:K269" si="22">D264</f>
        <v>21988</v>
      </c>
      <c r="L264" s="466">
        <v>14215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43736</v>
      </c>
      <c r="E266" s="616"/>
      <c r="F266" s="616"/>
      <c r="G266" s="616"/>
      <c r="H266" s="616"/>
      <c r="I266" s="616"/>
      <c r="J266" s="616"/>
      <c r="K266" s="1672">
        <f t="shared" si="22"/>
        <v>43736</v>
      </c>
      <c r="L266" s="466">
        <v>44966</v>
      </c>
    </row>
    <row r="267" spans="1:14" x14ac:dyDescent="0.2">
      <c r="A267" s="1504" t="s">
        <v>953</v>
      </c>
      <c r="B267" s="614">
        <v>2550</v>
      </c>
      <c r="C267" s="616"/>
      <c r="D267" s="466">
        <v>44147</v>
      </c>
      <c r="E267" s="616"/>
      <c r="F267" s="616"/>
      <c r="G267" s="616"/>
      <c r="H267" s="616"/>
      <c r="I267" s="616"/>
      <c r="J267" s="616"/>
      <c r="K267" s="1672">
        <f t="shared" si="22"/>
        <v>44147</v>
      </c>
      <c r="L267" s="466">
        <v>49502</v>
      </c>
    </row>
    <row r="268" spans="1:14" x14ac:dyDescent="0.2">
      <c r="A268" s="1504" t="s">
        <v>100</v>
      </c>
      <c r="B268" s="614">
        <v>2560</v>
      </c>
      <c r="C268" s="616"/>
      <c r="D268" s="466">
        <v>20188</v>
      </c>
      <c r="E268" s="616"/>
      <c r="F268" s="616"/>
      <c r="G268" s="616"/>
      <c r="H268" s="616"/>
      <c r="I268" s="616"/>
      <c r="J268" s="616"/>
      <c r="K268" s="1672">
        <f t="shared" si="22"/>
        <v>20188</v>
      </c>
      <c r="L268" s="466">
        <v>18994</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130059</v>
      </c>
      <c r="E270" s="616"/>
      <c r="F270" s="616"/>
      <c r="G270" s="616"/>
      <c r="H270" s="616"/>
      <c r="I270" s="616"/>
      <c r="J270" s="616"/>
      <c r="K270" s="1670">
        <f>SUM(K263:K269)</f>
        <v>130059</v>
      </c>
      <c r="L270" s="1670">
        <f>SUM(L263:L269)</f>
        <v>127677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201845</v>
      </c>
      <c r="E279" s="616"/>
      <c r="F279" s="616"/>
      <c r="G279" s="616"/>
      <c r="H279" s="616"/>
      <c r="I279" s="616"/>
      <c r="J279" s="616"/>
      <c r="K279" s="1677">
        <f>SUM(K238,K243,K257,K261,K270,K277,K278)</f>
        <v>201845</v>
      </c>
      <c r="L279" s="1677">
        <f>SUM(L238,L243,L257,L261,L270,L277,L278)</f>
        <v>207289</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326817</v>
      </c>
      <c r="E295" s="616"/>
      <c r="F295" s="616"/>
      <c r="G295" s="616"/>
      <c r="H295" s="1670">
        <f>H293</f>
        <v>0</v>
      </c>
      <c r="I295" s="616"/>
      <c r="J295" s="616"/>
      <c r="K295" s="1670">
        <f>SUM(K229,K279,K280,K285,K293,K294)</f>
        <v>326817</v>
      </c>
      <c r="L295" s="1670">
        <f>SUM(L229,L279,L280,L285,L293,L294)</f>
        <v>317547</v>
      </c>
    </row>
    <row r="296" spans="1:14" ht="13.5" thickTop="1" x14ac:dyDescent="0.2">
      <c r="A296" s="2161" t="s">
        <v>996</v>
      </c>
      <c r="B296" s="2162"/>
      <c r="C296" s="616"/>
      <c r="D296" s="618"/>
      <c r="E296" s="616"/>
      <c r="F296" s="616"/>
      <c r="G296" s="616"/>
      <c r="H296" s="687"/>
      <c r="I296" s="616"/>
      <c r="J296" s="616"/>
      <c r="K296" s="1684">
        <f>'Revenues 9-14'!G268-'Expenditures 15-22'!K295</f>
        <v>-17656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82277</v>
      </c>
      <c r="F301" s="466"/>
      <c r="G301" s="466">
        <v>294202</v>
      </c>
      <c r="H301" s="466"/>
      <c r="I301" s="467"/>
      <c r="J301" s="467"/>
      <c r="K301" s="1671">
        <f>SUM(C301:J301)</f>
        <v>376479</v>
      </c>
      <c r="L301" s="467">
        <v>370860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82277</v>
      </c>
      <c r="F303" s="1677">
        <f t="shared" si="23"/>
        <v>0</v>
      </c>
      <c r="G303" s="1677">
        <f t="shared" si="23"/>
        <v>294202</v>
      </c>
      <c r="H303" s="1677">
        <f t="shared" si="23"/>
        <v>0</v>
      </c>
      <c r="I303" s="1677">
        <f t="shared" si="23"/>
        <v>0</v>
      </c>
      <c r="J303" s="1677">
        <f t="shared" si="23"/>
        <v>0</v>
      </c>
      <c r="K303" s="1677">
        <f t="shared" si="23"/>
        <v>376479</v>
      </c>
      <c r="L303" s="1677">
        <f t="shared" si="23"/>
        <v>370860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82277</v>
      </c>
      <c r="F312" s="1670">
        <f>SUM(F303)</f>
        <v>0</v>
      </c>
      <c r="G312" s="1670">
        <f>SUM(G303)</f>
        <v>294202</v>
      </c>
      <c r="H312" s="1670">
        <f>SUM(H303,H310)</f>
        <v>0</v>
      </c>
      <c r="I312" s="1670">
        <f>SUM(I303)</f>
        <v>0</v>
      </c>
      <c r="J312" s="1670">
        <f>SUM(J303)</f>
        <v>0</v>
      </c>
      <c r="K312" s="1670">
        <f>SUM(K303,K310,K311)</f>
        <v>376479</v>
      </c>
      <c r="L312" s="1670">
        <f>SUM(L303,L310,L311)</f>
        <v>370860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120609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42917</v>
      </c>
      <c r="F320" s="467"/>
      <c r="G320" s="467"/>
      <c r="H320" s="467"/>
      <c r="I320" s="467"/>
      <c r="J320" s="467"/>
      <c r="K320" s="1671">
        <f t="shared" ref="K320:K327" si="24">SUM(C320:J320)</f>
        <v>42917</v>
      </c>
      <c r="L320" s="467">
        <v>44350</v>
      </c>
      <c r="M320" s="665"/>
      <c r="N320" s="665"/>
    </row>
    <row r="321" spans="1:14" s="674" customFormat="1" x14ac:dyDescent="0.2">
      <c r="A321" s="1519" t="s">
        <v>300</v>
      </c>
      <c r="B321" s="697" t="s">
        <v>283</v>
      </c>
      <c r="C321" s="467"/>
      <c r="D321" s="467"/>
      <c r="E321" s="467">
        <v>12398</v>
      </c>
      <c r="F321" s="467"/>
      <c r="G321" s="467"/>
      <c r="H321" s="467"/>
      <c r="I321" s="467"/>
      <c r="J321" s="467"/>
      <c r="K321" s="1671">
        <f t="shared" si="24"/>
        <v>12398</v>
      </c>
      <c r="L321" s="467">
        <v>16275</v>
      </c>
      <c r="M321" s="665"/>
      <c r="N321" s="665"/>
    </row>
    <row r="322" spans="1:14" s="674" customFormat="1" x14ac:dyDescent="0.2">
      <c r="A322" s="1519" t="s">
        <v>238</v>
      </c>
      <c r="B322" s="697" t="s">
        <v>284</v>
      </c>
      <c r="C322" s="467"/>
      <c r="D322" s="467"/>
      <c r="E322" s="467">
        <v>82342</v>
      </c>
      <c r="F322" s="467"/>
      <c r="G322" s="467"/>
      <c r="H322" s="467"/>
      <c r="I322" s="467"/>
      <c r="J322" s="467"/>
      <c r="K322" s="1671">
        <f t="shared" si="24"/>
        <v>82342</v>
      </c>
      <c r="L322" s="467">
        <v>70750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v>25461</v>
      </c>
      <c r="F329" s="474"/>
      <c r="G329" s="474"/>
      <c r="H329" s="474"/>
      <c r="I329" s="474"/>
      <c r="J329" s="474"/>
      <c r="K329" s="1699">
        <f>SUM(C329:J329)</f>
        <v>25461</v>
      </c>
      <c r="L329" s="474">
        <v>22200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163118</v>
      </c>
      <c r="F330" s="1670">
        <f t="shared" si="25"/>
        <v>0</v>
      </c>
      <c r="G330" s="1670">
        <f t="shared" si="25"/>
        <v>0</v>
      </c>
      <c r="H330" s="1670">
        <f t="shared" si="25"/>
        <v>0</v>
      </c>
      <c r="I330" s="1670">
        <f t="shared" si="25"/>
        <v>0</v>
      </c>
      <c r="J330" s="1670">
        <f t="shared" si="25"/>
        <v>0</v>
      </c>
      <c r="K330" s="1670">
        <f>SUM(K319:K329)</f>
        <v>163118</v>
      </c>
      <c r="L330" s="1670">
        <f>SUM(L319:L329)</f>
        <v>153575</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163118</v>
      </c>
      <c r="F342" s="1670">
        <f>SUM(F330)</f>
        <v>0</v>
      </c>
      <c r="G342" s="1670">
        <f>SUM(G330)</f>
        <v>0</v>
      </c>
      <c r="H342" s="1670">
        <f>SUM(H330,H334,H340)</f>
        <v>0</v>
      </c>
      <c r="I342" s="1670">
        <f>SUM(I330)</f>
        <v>0</v>
      </c>
      <c r="J342" s="1670">
        <f>SUM(J330)</f>
        <v>0</v>
      </c>
      <c r="K342" s="1670">
        <f>SUM(K330,K334,K340)</f>
        <v>163118</v>
      </c>
      <c r="L342" s="1677">
        <f>SUM(L330,L334,L340,L341)</f>
        <v>153575</v>
      </c>
    </row>
    <row r="343" spans="1:14" ht="12.75" customHeight="1" thickTop="1" x14ac:dyDescent="0.2">
      <c r="A343" s="2174" t="s">
        <v>996</v>
      </c>
      <c r="B343" s="2175"/>
      <c r="C343" s="616"/>
      <c r="D343" s="616"/>
      <c r="E343" s="616"/>
      <c r="F343" s="616"/>
      <c r="G343" s="616"/>
      <c r="H343" s="616"/>
      <c r="I343" s="616"/>
      <c r="J343" s="616"/>
      <c r="K343" s="1684">
        <f>'Revenues 9-14'!J268-'Expenditures 15-22'!K342</f>
        <v>-83228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7400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7400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7400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7400</v>
      </c>
    </row>
    <row r="368" spans="1:14" ht="13.5" thickTop="1" x14ac:dyDescent="0.2">
      <c r="A368" s="2161" t="s">
        <v>996</v>
      </c>
      <c r="B368" s="2162"/>
      <c r="C368" s="654"/>
      <c r="D368" s="654"/>
      <c r="E368" s="626"/>
      <c r="F368" s="626"/>
      <c r="G368" s="626"/>
      <c r="H368" s="626"/>
      <c r="I368" s="626"/>
      <c r="J368" s="623"/>
      <c r="K368" s="1671">
        <f>'Revenues 9-14'!K268-'Expenditures 15-22'!K367</f>
        <v>1500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1949</v>
      </c>
      <c r="C2" s="714" t="s">
        <v>1950</v>
      </c>
      <c r="D2" s="714" t="s">
        <v>1951</v>
      </c>
      <c r="E2" s="714" t="s">
        <v>1952</v>
      </c>
      <c r="F2" s="714" t="s">
        <v>1953</v>
      </c>
    </row>
    <row r="3" spans="1:6" ht="12" customHeight="1" x14ac:dyDescent="0.2">
      <c r="A3" s="2189"/>
      <c r="B3" s="1525"/>
      <c r="C3" s="1526"/>
      <c r="D3" s="1527" t="s">
        <v>256</v>
      </c>
      <c r="E3" s="1526"/>
      <c r="F3" s="1527" t="s">
        <v>257</v>
      </c>
    </row>
    <row r="4" spans="1:6" ht="13.7" customHeight="1" x14ac:dyDescent="0.2">
      <c r="A4" s="715" t="s">
        <v>1155</v>
      </c>
      <c r="B4" s="1749">
        <f>'Revenues 9-14'!C5</f>
        <v>2502619</v>
      </c>
      <c r="C4" s="1524">
        <v>689216</v>
      </c>
      <c r="D4" s="1752">
        <f>B4-C4</f>
        <v>1813403</v>
      </c>
      <c r="E4" s="1524">
        <v>3772312</v>
      </c>
      <c r="F4" s="1752">
        <f>E4-C4</f>
        <v>3083096</v>
      </c>
    </row>
    <row r="5" spans="1:6" ht="13.7" customHeight="1" x14ac:dyDescent="0.2">
      <c r="A5" s="715" t="s">
        <v>870</v>
      </c>
      <c r="B5" s="1750">
        <f>'Revenues 9-14'!D5</f>
        <v>390054</v>
      </c>
      <c r="C5" s="585">
        <v>112485</v>
      </c>
      <c r="D5" s="1753">
        <f t="shared" ref="D5:D18" si="0">B5-C5</f>
        <v>277569</v>
      </c>
      <c r="E5" s="585">
        <v>615666</v>
      </c>
      <c r="F5" s="1753">
        <f>E5-C5</f>
        <v>503181</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175669</v>
      </c>
      <c r="C7" s="585">
        <v>50690</v>
      </c>
      <c r="D7" s="1753">
        <f t="shared" si="0"/>
        <v>124979</v>
      </c>
      <c r="E7" s="585">
        <v>277440</v>
      </c>
      <c r="F7" s="1753">
        <f t="shared" si="1"/>
        <v>226750</v>
      </c>
    </row>
    <row r="8" spans="1:6" ht="13.7" customHeight="1" x14ac:dyDescent="0.2">
      <c r="A8" s="715" t="s">
        <v>1179</v>
      </c>
      <c r="B8" s="1750">
        <f>'Revenues 9-14'!G5</f>
        <v>100381</v>
      </c>
      <c r="C8" s="585">
        <v>28930</v>
      </c>
      <c r="D8" s="1753">
        <f t="shared" si="0"/>
        <v>71451</v>
      </c>
      <c r="E8" s="585">
        <v>158347</v>
      </c>
      <c r="F8" s="1753">
        <f t="shared" si="1"/>
        <v>129417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79342</v>
      </c>
      <c r="C11" s="585">
        <v>22908</v>
      </c>
      <c r="D11" s="1753">
        <f t="shared" si="0"/>
        <v>56434</v>
      </c>
      <c r="E11" s="585">
        <v>125382</v>
      </c>
      <c r="F11" s="1753">
        <f t="shared" si="1"/>
        <v>102474</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58545</v>
      </c>
      <c r="C14" s="585">
        <v>16885</v>
      </c>
      <c r="D14" s="1753">
        <f t="shared" si="0"/>
        <v>41660</v>
      </c>
      <c r="E14" s="585">
        <v>92417</v>
      </c>
      <c r="F14" s="1753">
        <f t="shared" si="1"/>
        <v>75532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51438</v>
      </c>
      <c r="C16" s="585">
        <v>14865</v>
      </c>
      <c r="D16" s="1753">
        <f t="shared" si="0"/>
        <v>36573</v>
      </c>
      <c r="E16" s="585">
        <v>81365</v>
      </c>
      <c r="F16" s="1753">
        <f t="shared" si="1"/>
        <v>66500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3358048</v>
      </c>
      <c r="C19" s="1751">
        <f>SUM(C4:C18)</f>
        <v>935979</v>
      </c>
      <c r="D19" s="1751">
        <f>SUM(D4:D18)</f>
        <v>2422069</v>
      </c>
      <c r="E19" s="1751">
        <f>SUM(E4:E18)</f>
        <v>5122929</v>
      </c>
      <c r="F19" s="1751">
        <f>SUM(F4:F18)</f>
        <v>4186950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1802</v>
      </c>
      <c r="B2" s="2216"/>
      <c r="C2" s="1884" t="s">
        <v>1954</v>
      </c>
      <c r="D2" s="723" t="s">
        <v>1955</v>
      </c>
      <c r="E2" s="723" t="s">
        <v>1956</v>
      </c>
      <c r="F2" s="1884" t="s">
        <v>1957</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40532</v>
      </c>
      <c r="C31" s="734">
        <v>3770000</v>
      </c>
      <c r="D31" s="735">
        <v>6</v>
      </c>
      <c r="E31" s="734">
        <v>2940000</v>
      </c>
      <c r="F31" s="734"/>
      <c r="G31" s="734">
        <v>-2940000</v>
      </c>
      <c r="H31" s="734"/>
      <c r="I31" s="1756">
        <f>((E31+F31)-H31)+G31</f>
        <v>0</v>
      </c>
      <c r="J31" s="734"/>
      <c r="K31" s="736"/>
    </row>
    <row r="32" spans="1:11" ht="12" customHeight="1" x14ac:dyDescent="0.2">
      <c r="A32" s="732" t="s">
        <v>2084</v>
      </c>
      <c r="B32" s="733">
        <v>40532</v>
      </c>
      <c r="C32" s="734">
        <v>110000</v>
      </c>
      <c r="D32" s="735">
        <v>6</v>
      </c>
      <c r="E32" s="734">
        <v>110000</v>
      </c>
      <c r="F32" s="734"/>
      <c r="G32" s="734"/>
      <c r="H32" s="734"/>
      <c r="I32" s="1756">
        <f>((E32+F32)-H32)+G32</f>
        <v>110000</v>
      </c>
      <c r="J32" s="734">
        <v>95509</v>
      </c>
      <c r="K32" s="736"/>
    </row>
    <row r="33" spans="1:11" ht="12" customHeight="1" x14ac:dyDescent="0.2">
      <c r="A33" s="732" t="s">
        <v>2085</v>
      </c>
      <c r="B33" s="733">
        <v>40532</v>
      </c>
      <c r="C33" s="734">
        <v>120000</v>
      </c>
      <c r="D33" s="735">
        <v>6</v>
      </c>
      <c r="E33" s="734">
        <v>120000</v>
      </c>
      <c r="F33" s="734"/>
      <c r="G33" s="734"/>
      <c r="H33" s="734"/>
      <c r="I33" s="1756">
        <f t="shared" ref="I33:I48" si="1">((E33+F33)-H33)+G33</f>
        <v>120000</v>
      </c>
      <c r="J33" s="734">
        <v>120000</v>
      </c>
      <c r="K33" s="736"/>
    </row>
    <row r="34" spans="1:11" ht="12" customHeight="1" x14ac:dyDescent="0.2">
      <c r="A34" s="732" t="s">
        <v>2086</v>
      </c>
      <c r="B34" s="733">
        <v>42547</v>
      </c>
      <c r="C34" s="734">
        <v>1015000</v>
      </c>
      <c r="D34" s="735">
        <v>6</v>
      </c>
      <c r="E34" s="734">
        <v>1015000</v>
      </c>
      <c r="F34" s="734"/>
      <c r="G34" s="734"/>
      <c r="H34" s="734"/>
      <c r="I34" s="1756">
        <f t="shared" si="1"/>
        <v>1015000</v>
      </c>
      <c r="J34" s="734">
        <v>1015000</v>
      </c>
      <c r="K34" s="737"/>
    </row>
    <row r="35" spans="1:11" ht="12" customHeight="1" x14ac:dyDescent="0.2">
      <c r="A35" s="732" t="s">
        <v>2087</v>
      </c>
      <c r="B35" s="733">
        <v>43098</v>
      </c>
      <c r="C35" s="738">
        <v>2977000</v>
      </c>
      <c r="D35" s="735">
        <v>6</v>
      </c>
      <c r="E35" s="738"/>
      <c r="F35" s="738"/>
      <c r="G35" s="738">
        <v>2977000</v>
      </c>
      <c r="H35" s="738">
        <v>412000</v>
      </c>
      <c r="I35" s="1756">
        <f t="shared" si="1"/>
        <v>2565000</v>
      </c>
      <c r="J35" s="738">
        <v>2565000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7992000</v>
      </c>
      <c r="D49" s="745"/>
      <c r="E49" s="1756">
        <f t="shared" ref="E49:J49" si="2">SUM(E31:E48)</f>
        <v>4185000</v>
      </c>
      <c r="F49" s="1756">
        <f t="shared" si="2"/>
        <v>0</v>
      </c>
      <c r="G49" s="1756">
        <f t="shared" si="2"/>
        <v>37000</v>
      </c>
      <c r="H49" s="1756">
        <f t="shared" si="2"/>
        <v>412000</v>
      </c>
      <c r="I49" s="1756">
        <f t="shared" si="2"/>
        <v>3810000</v>
      </c>
      <c r="J49" s="1756">
        <f t="shared" si="2"/>
        <v>3795509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1812</v>
      </c>
      <c r="K2" s="762" t="s">
        <v>138</v>
      </c>
    </row>
    <row r="3" spans="1:11" x14ac:dyDescent="0.2">
      <c r="A3" s="2241" t="s">
        <v>1962</v>
      </c>
      <c r="B3" s="2242"/>
      <c r="C3" s="2242"/>
      <c r="D3" s="2242"/>
      <c r="E3" s="2243"/>
      <c r="F3" s="763"/>
      <c r="G3" s="764">
        <v>153725</v>
      </c>
      <c r="H3" s="764"/>
      <c r="I3" s="764"/>
      <c r="J3" s="765">
        <v>793695</v>
      </c>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58545</v>
      </c>
      <c r="I5" s="772"/>
      <c r="J5" s="773"/>
      <c r="K5" s="773"/>
    </row>
    <row r="6" spans="1:11" x14ac:dyDescent="0.2">
      <c r="A6" s="774" t="s">
        <v>720</v>
      </c>
      <c r="B6" s="775"/>
      <c r="C6" s="775"/>
      <c r="D6" s="775"/>
      <c r="E6" s="776"/>
      <c r="F6" s="777" t="s">
        <v>849</v>
      </c>
      <c r="G6" s="764"/>
      <c r="H6" s="764"/>
      <c r="I6" s="764"/>
      <c r="J6" s="765">
        <v>2945</v>
      </c>
      <c r="K6" s="765"/>
    </row>
    <row r="7" spans="1:11" x14ac:dyDescent="0.2">
      <c r="A7" s="778" t="s">
        <v>246</v>
      </c>
      <c r="B7" s="779"/>
      <c r="C7" s="779"/>
      <c r="D7" s="779"/>
      <c r="E7" s="780"/>
      <c r="F7" s="770" t="s">
        <v>850</v>
      </c>
      <c r="G7" s="767"/>
      <c r="H7" s="767"/>
      <c r="I7" s="767"/>
      <c r="J7" s="781"/>
      <c r="K7" s="765">
        <v>2391</v>
      </c>
    </row>
    <row r="8" spans="1:11" x14ac:dyDescent="0.2">
      <c r="A8" s="778" t="s">
        <v>345</v>
      </c>
      <c r="B8" s="779"/>
      <c r="C8" s="779"/>
      <c r="D8" s="779"/>
      <c r="E8" s="780"/>
      <c r="F8" s="770" t="s">
        <v>851</v>
      </c>
      <c r="G8" s="782"/>
      <c r="H8" s="782"/>
      <c r="I8" s="782"/>
      <c r="J8" s="765">
        <v>594143</v>
      </c>
      <c r="K8" s="769"/>
    </row>
    <row r="9" spans="1:11" x14ac:dyDescent="0.2">
      <c r="A9" s="778" t="s">
        <v>138</v>
      </c>
      <c r="B9" s="779"/>
      <c r="C9" s="779"/>
      <c r="D9" s="779"/>
      <c r="E9" s="780"/>
      <c r="F9" s="777" t="s">
        <v>853</v>
      </c>
      <c r="G9" s="782"/>
      <c r="H9" s="771"/>
      <c r="I9" s="771"/>
      <c r="J9" s="781"/>
      <c r="K9" s="765">
        <v>30830</v>
      </c>
    </row>
    <row r="10" spans="1:11" x14ac:dyDescent="0.2">
      <c r="A10" s="2222" t="s">
        <v>1813</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58545</v>
      </c>
      <c r="I12" s="1758">
        <f>SUM(I5:I11)</f>
        <v>0</v>
      </c>
      <c r="J12" s="1758">
        <f>SUM(J5:J11)</f>
        <v>597088</v>
      </c>
      <c r="K12" s="1758">
        <f>SUM(K5:K11)</f>
        <v>33221</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58545</v>
      </c>
      <c r="I14" s="771"/>
      <c r="J14" s="773"/>
      <c r="K14" s="765">
        <v>33221</v>
      </c>
    </row>
    <row r="15" spans="1:11" x14ac:dyDescent="0.2">
      <c r="A15" s="2223" t="s">
        <v>4</v>
      </c>
      <c r="B15" s="2223"/>
      <c r="C15" s="2223"/>
      <c r="D15" s="2223"/>
      <c r="E15" s="2224"/>
      <c r="F15" s="789" t="s">
        <v>855</v>
      </c>
      <c r="G15" s="771"/>
      <c r="H15" s="764"/>
      <c r="I15" s="764"/>
      <c r="J15" s="765">
        <v>376479</v>
      </c>
      <c r="K15" s="765"/>
    </row>
    <row r="16" spans="1:11" x14ac:dyDescent="0.2">
      <c r="A16" s="2223" t="s">
        <v>298</v>
      </c>
      <c r="B16" s="2223"/>
      <c r="C16" s="2223"/>
      <c r="D16" s="2223"/>
      <c r="E16" s="2224"/>
      <c r="F16" s="789" t="s">
        <v>923</v>
      </c>
      <c r="G16" s="772">
        <v>8513</v>
      </c>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31" t="s">
        <v>1809</v>
      </c>
      <c r="B19" s="2231"/>
      <c r="C19" s="2231"/>
      <c r="D19" s="2231"/>
      <c r="E19" s="2232"/>
      <c r="F19" s="789" t="s">
        <v>933</v>
      </c>
      <c r="G19" s="782"/>
      <c r="H19" s="782"/>
      <c r="I19" s="782"/>
      <c r="J19" s="765">
        <v>100000</v>
      </c>
      <c r="K19" s="795"/>
    </row>
    <row r="20" spans="1:11" x14ac:dyDescent="0.2">
      <c r="A20" s="2233" t="s">
        <v>1814</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100000</v>
      </c>
      <c r="K21" s="793"/>
    </row>
    <row r="22" spans="1:11" ht="13.5" thickTop="1" x14ac:dyDescent="0.2">
      <c r="A22" s="2223" t="s">
        <v>1815</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8513</v>
      </c>
      <c r="H23" s="1758">
        <f>SUM(H14:H16,H21,H22)</f>
        <v>58545</v>
      </c>
      <c r="I23" s="1758">
        <f>SUM(I14:I16,I21,I22)</f>
        <v>0</v>
      </c>
      <c r="J23" s="1758">
        <f>SUM(J14:J16,J21,J22)</f>
        <v>476479</v>
      </c>
      <c r="K23" s="1758">
        <f>SUM(K14:K16,K21,K22)</f>
        <v>33221</v>
      </c>
    </row>
    <row r="24" spans="1:11" ht="14.25" thickTop="1" thickBot="1" x14ac:dyDescent="0.25">
      <c r="A24" s="2253" t="s">
        <v>1963</v>
      </c>
      <c r="B24" s="2252"/>
      <c r="C24" s="2252"/>
      <c r="D24" s="2252"/>
      <c r="E24" s="2252"/>
      <c r="F24" s="1762"/>
      <c r="G24" s="1763">
        <f>SUM(G3,G12)-G23</f>
        <v>145212</v>
      </c>
      <c r="H24" s="1763">
        <f>SUM(H3,H12)-H23</f>
        <v>0</v>
      </c>
      <c r="I24" s="1763">
        <f>SUM(I3,I12)-I23</f>
        <v>0</v>
      </c>
      <c r="J24" s="1763">
        <f>SUM(J3,J12)-J23</f>
        <v>914304</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145212</v>
      </c>
      <c r="H26" s="1758">
        <f>H24-H25</f>
        <v>0</v>
      </c>
      <c r="I26" s="1758">
        <f>I24-I25</f>
        <v>0</v>
      </c>
      <c r="J26" s="1758">
        <f>J24-J25</f>
        <v>914304</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6"/>
      <c r="E1" s="827"/>
      <c r="F1" s="827"/>
      <c r="G1" s="828"/>
      <c r="H1" s="829"/>
      <c r="I1" s="830"/>
      <c r="J1" s="2256"/>
      <c r="K1" s="2257"/>
      <c r="L1" s="2257"/>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571049</v>
      </c>
      <c r="D5" s="841"/>
      <c r="E5" s="841"/>
      <c r="F5" s="1760">
        <f>(C5+D5)-E5</f>
        <v>571049</v>
      </c>
      <c r="G5" s="837"/>
      <c r="H5" s="842"/>
      <c r="I5" s="842"/>
      <c r="J5" s="842"/>
      <c r="K5" s="793"/>
      <c r="L5" s="1769">
        <f>F5-K5</f>
        <v>571049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18336468</v>
      </c>
      <c r="D8" s="844"/>
      <c r="E8" s="844"/>
      <c r="F8" s="1760">
        <f>(C8+D8)-E8</f>
        <v>18336468</v>
      </c>
      <c r="G8" s="843">
        <v>50</v>
      </c>
      <c r="H8" s="765">
        <v>6852570</v>
      </c>
      <c r="I8" s="765">
        <v>352945</v>
      </c>
      <c r="J8" s="765"/>
      <c r="K8" s="1769">
        <f>(H8+I8)-J8</f>
        <v>7205515</v>
      </c>
      <c r="L8" s="1769">
        <f>F8-K8</f>
        <v>11130953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1489961</v>
      </c>
      <c r="D10" s="846">
        <v>302716</v>
      </c>
      <c r="E10" s="846"/>
      <c r="F10" s="1764">
        <f>(C10+D10)-E10</f>
        <v>1792677</v>
      </c>
      <c r="G10" s="843">
        <v>20</v>
      </c>
      <c r="H10" s="847">
        <v>642284</v>
      </c>
      <c r="I10" s="847">
        <v>87262</v>
      </c>
      <c r="J10" s="847"/>
      <c r="K10" s="1769">
        <f>(H10+I10)-J10</f>
        <v>729546</v>
      </c>
      <c r="L10" s="1769">
        <f>F10-K10</f>
        <v>1063131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2764117</v>
      </c>
      <c r="D12" s="844">
        <v>80541</v>
      </c>
      <c r="E12" s="844"/>
      <c r="F12" s="1760">
        <f>(C12+D12)-E12</f>
        <v>2844658</v>
      </c>
      <c r="G12" s="843">
        <v>10</v>
      </c>
      <c r="H12" s="765">
        <v>2052228</v>
      </c>
      <c r="I12" s="765">
        <v>161408</v>
      </c>
      <c r="J12" s="765"/>
      <c r="K12" s="1769">
        <f>(H12+I12)-J12</f>
        <v>2213636</v>
      </c>
      <c r="L12" s="1769">
        <f>F12-K12</f>
        <v>631022</v>
      </c>
    </row>
    <row r="13" spans="1:14" ht="14.25" thickTop="1" thickBot="1" x14ac:dyDescent="0.25">
      <c r="A13" s="848" t="s">
        <v>1122</v>
      </c>
      <c r="B13" s="840">
        <v>252</v>
      </c>
      <c r="C13" s="844">
        <v>780031</v>
      </c>
      <c r="D13" s="844">
        <v>20003</v>
      </c>
      <c r="E13" s="844"/>
      <c r="F13" s="1760">
        <f>(C13+D13)-E13</f>
        <v>800034</v>
      </c>
      <c r="G13" s="843">
        <v>5</v>
      </c>
      <c r="H13" s="765">
        <v>629254</v>
      </c>
      <c r="I13" s="765">
        <v>90861</v>
      </c>
      <c r="J13" s="765"/>
      <c r="K13" s="1769">
        <f>(H13+I13)-J13</f>
        <v>720115</v>
      </c>
      <c r="L13" s="1769">
        <f>F13-K13</f>
        <v>79919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23941626</v>
      </c>
      <c r="D16" s="1760">
        <f>SUM(D3,D5:D6,D8:D10,D12:D15)</f>
        <v>403260</v>
      </c>
      <c r="E16" s="1760">
        <f>SUM(E3,E5:E6,E8:E10,E12:E15)</f>
        <v>0</v>
      </c>
      <c r="F16" s="1760">
        <f>SUM(F3,F5:F6,F8:F10,F12:F15)</f>
        <v>24344886</v>
      </c>
      <c r="G16" s="843"/>
      <c r="H16" s="1760">
        <f>SUM(H3,H6,H8:H10,H12:H14,)</f>
        <v>10176336</v>
      </c>
      <c r="I16" s="1760">
        <f>SUM(I3,I6,I8:I10,I12:I14,)</f>
        <v>692476</v>
      </c>
      <c r="J16" s="1760">
        <f>SUM(J3,J6,J8:J10,J12:J14,)</f>
        <v>0</v>
      </c>
      <c r="K16" s="1760">
        <f>(H16+I16)-J16</f>
        <v>10868812</v>
      </c>
      <c r="L16" s="1760">
        <f>F16-K16</f>
        <v>13476074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38554</v>
      </c>
      <c r="G17" s="837">
        <v>10</v>
      </c>
      <c r="H17" s="769"/>
      <c r="I17" s="1769">
        <f>F17/G17</f>
        <v>3855.4</v>
      </c>
      <c r="J17" s="769"/>
      <c r="K17" s="795"/>
      <c r="L17" s="795"/>
    </row>
    <row r="18" spans="1:12" ht="14.25" thickTop="1" thickBot="1" x14ac:dyDescent="0.25">
      <c r="A18" s="1767" t="s">
        <v>685</v>
      </c>
      <c r="B18" s="1768"/>
      <c r="C18" s="771"/>
      <c r="D18" s="771"/>
      <c r="E18" s="771"/>
      <c r="F18" s="850"/>
      <c r="G18" s="851"/>
      <c r="H18" s="773"/>
      <c r="I18" s="1760">
        <f>SUM(I16,I17)</f>
        <v>696331.4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1973</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8614746</v>
      </c>
      <c r="G8" s="865"/>
    </row>
    <row r="9" spans="1:7" x14ac:dyDescent="0.2">
      <c r="A9" s="869" t="s">
        <v>460</v>
      </c>
      <c r="B9" s="870" t="s">
        <v>1876</v>
      </c>
      <c r="C9" s="871"/>
      <c r="D9" s="869" t="s">
        <v>501</v>
      </c>
      <c r="E9" s="868"/>
      <c r="F9" s="1909">
        <f>'Expenditures 15-22'!K151</f>
        <v>761769</v>
      </c>
      <c r="G9" s="872"/>
    </row>
    <row r="10" spans="1:7" x14ac:dyDescent="0.2">
      <c r="A10" s="869" t="s">
        <v>499</v>
      </c>
      <c r="B10" s="870" t="s">
        <v>1877</v>
      </c>
      <c r="C10" s="871"/>
      <c r="D10" s="869" t="s">
        <v>501</v>
      </c>
      <c r="E10" s="868"/>
      <c r="F10" s="1909">
        <f>'Expenditures 15-22'!K174</f>
        <v>516536</v>
      </c>
      <c r="G10" s="872"/>
    </row>
    <row r="11" spans="1:7" x14ac:dyDescent="0.2">
      <c r="A11" s="869" t="s">
        <v>461</v>
      </c>
      <c r="B11" s="870" t="s">
        <v>1878</v>
      </c>
      <c r="C11" s="871"/>
      <c r="D11" s="869" t="s">
        <v>501</v>
      </c>
      <c r="E11" s="868"/>
      <c r="F11" s="1909">
        <f>'Expenditures 15-22'!K210</f>
        <v>456948</v>
      </c>
      <c r="G11" s="872"/>
    </row>
    <row r="12" spans="1:7" x14ac:dyDescent="0.2">
      <c r="A12" s="869" t="s">
        <v>462</v>
      </c>
      <c r="B12" s="870" t="s">
        <v>1879</v>
      </c>
      <c r="C12" s="871"/>
      <c r="D12" s="869" t="s">
        <v>501</v>
      </c>
      <c r="E12" s="868"/>
      <c r="F12" s="1909">
        <f>'Expenditures 15-22'!K295</f>
        <v>326817</v>
      </c>
      <c r="G12" s="872"/>
    </row>
    <row r="13" spans="1:7" x14ac:dyDescent="0.2">
      <c r="A13" s="869" t="s">
        <v>106</v>
      </c>
      <c r="B13" s="870" t="s">
        <v>1880</v>
      </c>
      <c r="C13" s="871"/>
      <c r="D13" s="869" t="s">
        <v>501</v>
      </c>
      <c r="E13" s="868"/>
      <c r="F13" s="1909">
        <f>'Expenditures 15-22'!K342</f>
        <v>163118</v>
      </c>
      <c r="G13" s="873"/>
    </row>
    <row r="14" spans="1:7" ht="12" customHeight="1" thickBot="1" x14ac:dyDescent="0.25">
      <c r="A14" s="1770"/>
      <c r="B14" s="1771"/>
      <c r="C14" s="1772"/>
      <c r="D14" s="1773" t="s">
        <v>501</v>
      </c>
      <c r="E14" s="1774" t="s">
        <v>958</v>
      </c>
      <c r="F14" s="1775">
        <f>SUM(F8:F13)</f>
        <v>10839934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34169</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1012188</v>
      </c>
      <c r="G53" s="865"/>
    </row>
    <row r="54" spans="1:7" x14ac:dyDescent="0.2">
      <c r="A54" s="869" t="s">
        <v>459</v>
      </c>
      <c r="B54" s="869" t="s">
        <v>1476</v>
      </c>
      <c r="C54" s="889" t="s">
        <v>982</v>
      </c>
      <c r="D54" s="885" t="s">
        <v>1095</v>
      </c>
      <c r="E54" s="868"/>
      <c r="F54" s="1913">
        <f>'Expenditures 15-22'!G114</f>
        <v>80541</v>
      </c>
      <c r="G54" s="865"/>
    </row>
    <row r="55" spans="1:7" x14ac:dyDescent="0.2">
      <c r="A55" s="869" t="s">
        <v>459</v>
      </c>
      <c r="B55" s="869" t="s">
        <v>1477</v>
      </c>
      <c r="C55" s="889" t="s">
        <v>982</v>
      </c>
      <c r="D55" s="885" t="s">
        <v>291</v>
      </c>
      <c r="E55" s="868"/>
      <c r="F55" s="1913">
        <f>'Expenditures 15-22'!I114</f>
        <v>34067</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8514</v>
      </c>
      <c r="G58" s="865"/>
    </row>
    <row r="59" spans="1:7" x14ac:dyDescent="0.2">
      <c r="A59" s="893" t="s">
        <v>460</v>
      </c>
      <c r="B59" s="856" t="s">
        <v>1883</v>
      </c>
      <c r="C59" s="894" t="s">
        <v>982</v>
      </c>
      <c r="D59" s="856" t="s">
        <v>291</v>
      </c>
      <c r="F59" s="1916">
        <f>'Expenditures 15-22'!I151</f>
        <v>1607</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412000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20003</v>
      </c>
      <c r="G65" s="865"/>
    </row>
    <row r="66" spans="1:8" x14ac:dyDescent="0.2">
      <c r="A66" s="869" t="s">
        <v>461</v>
      </c>
      <c r="B66" s="869" t="s">
        <v>1890</v>
      </c>
      <c r="C66" s="886" t="s">
        <v>982</v>
      </c>
      <c r="D66" s="885" t="s">
        <v>291</v>
      </c>
      <c r="E66" s="868"/>
      <c r="F66" s="1913">
        <f>'Expenditures 15-22'!I210</f>
        <v>2880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592</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1606561</v>
      </c>
      <c r="G76" s="865"/>
    </row>
    <row r="77" spans="1:8" s="893" customFormat="1" ht="12" customHeight="1" thickTop="1" thickBot="1" x14ac:dyDescent="0.25">
      <c r="A77" s="1779"/>
      <c r="B77" s="1776"/>
      <c r="C77" s="1772"/>
      <c r="D77" s="1777" t="s">
        <v>1899</v>
      </c>
      <c r="E77" s="1774"/>
      <c r="F77" s="1780">
        <f>(F14-F76)</f>
        <v>9233373</v>
      </c>
      <c r="G77" s="869"/>
    </row>
    <row r="78" spans="1:8" s="893" customFormat="1" ht="12" customHeight="1" thickTop="1" x14ac:dyDescent="0.2">
      <c r="A78" s="1781"/>
      <c r="B78" s="1776"/>
      <c r="C78" s="1772"/>
      <c r="D78" s="1777" t="s">
        <v>2060</v>
      </c>
      <c r="E78" s="1774"/>
      <c r="F78" s="898">
        <v>619.79999999999995</v>
      </c>
      <c r="G78" s="899"/>
      <c r="H78" s="869"/>
    </row>
    <row r="79" spans="1:8" s="893" customFormat="1" ht="12" customHeight="1" thickBot="1" x14ac:dyDescent="0.25">
      <c r="A79" s="1782"/>
      <c r="B79" s="1776"/>
      <c r="C79" s="1772"/>
      <c r="D79" s="1777" t="s">
        <v>1900</v>
      </c>
      <c r="E79" s="1774" t="s">
        <v>958</v>
      </c>
      <c r="F79" s="1783">
        <f>IF(F78&gt;0,F77/F78," Complete Line 78")</f>
        <v>14897.342691190708</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62940</v>
      </c>
      <c r="G94" s="912"/>
    </row>
    <row r="95" spans="1:7" x14ac:dyDescent="0.2">
      <c r="A95" s="908" t="s">
        <v>140</v>
      </c>
      <c r="B95" s="908" t="s">
        <v>175</v>
      </c>
      <c r="C95" s="910">
        <v>1700</v>
      </c>
      <c r="D95" s="918" t="str">
        <f>'Revenues 9-14'!A82</f>
        <v>Total District/School Activity Income</v>
      </c>
      <c r="E95" s="906"/>
      <c r="F95" s="1789">
        <f>SUM('Revenues 9-14'!C82,'Revenues 9-14'!D82)</f>
        <v>29054</v>
      </c>
      <c r="G95" s="912"/>
    </row>
    <row r="96" spans="1:7" x14ac:dyDescent="0.2">
      <c r="A96" s="908" t="s">
        <v>459</v>
      </c>
      <c r="B96" s="908" t="s">
        <v>176</v>
      </c>
      <c r="C96" s="910">
        <f>'Revenues 9-14'!B84</f>
        <v>1811</v>
      </c>
      <c r="D96" s="911" t="str">
        <f>'Revenues 9-14'!A84</f>
        <v>Rentals - Regular Textbooks</v>
      </c>
      <c r="E96" s="906"/>
      <c r="F96" s="1789">
        <f>'Revenues 9-14'!C84</f>
        <v>11345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545</v>
      </c>
      <c r="G99" s="912"/>
    </row>
    <row r="100" spans="1:7" x14ac:dyDescent="0.2">
      <c r="A100" s="908" t="s">
        <v>459</v>
      </c>
      <c r="B100" s="908" t="s">
        <v>180</v>
      </c>
      <c r="C100" s="910">
        <f>'Revenues 9-14'!B92</f>
        <v>1890</v>
      </c>
      <c r="D100" s="911" t="str">
        <f>'Revenues 9-14'!A92</f>
        <v>Other (Describe &amp; Itemize)</v>
      </c>
      <c r="E100" s="906"/>
      <c r="F100" s="1789">
        <f>'Revenues 9-14'!C92</f>
        <v>1704</v>
      </c>
      <c r="G100" s="912"/>
    </row>
    <row r="101" spans="1:7" x14ac:dyDescent="0.2">
      <c r="A101" s="908" t="s">
        <v>140</v>
      </c>
      <c r="B101" s="908" t="s">
        <v>181</v>
      </c>
      <c r="C101" s="910">
        <f>'Revenues 9-14'!B95</f>
        <v>1910</v>
      </c>
      <c r="D101" s="911" t="str">
        <f>'Revenues 9-14'!A95</f>
        <v>Rentals</v>
      </c>
      <c r="E101" s="906"/>
      <c r="F101" s="1789">
        <f>SUM('Revenues 9-14'!C95:D95)</f>
        <v>1800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6441</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285750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41649</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3814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30830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246233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28519</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216653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264770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1628</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4218</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18748</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18748</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41343</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10281</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9868</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1318133</v>
      </c>
    </row>
    <row r="175" spans="1:7" ht="12" customHeight="1" x14ac:dyDescent="0.2">
      <c r="A175" s="1770"/>
      <c r="B175" s="1784"/>
      <c r="C175" s="1785"/>
      <c r="D175" s="1786" t="s">
        <v>2055</v>
      </c>
      <c r="E175" s="1787"/>
      <c r="F175" s="1789">
        <f>'PCTC-OEPP 27-28'!F77-F174</f>
        <v>7915240</v>
      </c>
    </row>
    <row r="176" spans="1:7" ht="12" customHeight="1" x14ac:dyDescent="0.2">
      <c r="A176" s="1770"/>
      <c r="B176" s="1784"/>
      <c r="C176" s="1785"/>
      <c r="D176" s="1786" t="s">
        <v>1817</v>
      </c>
      <c r="E176" s="1787"/>
      <c r="F176" s="1789">
        <f>'Cap Outlay Deprec 26'!I18</f>
        <v>696331.4</v>
      </c>
    </row>
    <row r="177" spans="1:7" ht="12" customHeight="1" x14ac:dyDescent="0.2">
      <c r="A177" s="1770"/>
      <c r="B177" s="1784"/>
      <c r="C177" s="1785"/>
      <c r="D177" s="1786" t="s">
        <v>2056</v>
      </c>
      <c r="E177" s="1787"/>
      <c r="F177" s="1789">
        <f>F175+F176</f>
        <v>8611571.4000000004</v>
      </c>
    </row>
    <row r="178" spans="1:7" ht="12" customHeight="1" x14ac:dyDescent="0.2">
      <c r="A178" s="1770"/>
      <c r="B178" s="1790"/>
      <c r="C178" s="1785"/>
      <c r="D178" s="1786" t="str">
        <f>D78</f>
        <v>9 Month ADA from District Average Daily Attendance/Prior General State Aid Inquiry 2018-2019</v>
      </c>
      <c r="E178" s="1787"/>
      <c r="F178" s="1791">
        <f>'PCTC-OEPP 27-28'!F78</f>
        <v>619.79999999999995</v>
      </c>
      <c r="G178" s="930"/>
    </row>
    <row r="179" spans="1:7" ht="12" customHeight="1" thickBot="1" x14ac:dyDescent="0.25">
      <c r="A179" s="1770"/>
      <c r="B179" s="1790"/>
      <c r="C179" s="1785"/>
      <c r="D179" s="1786" t="s">
        <v>2057</v>
      </c>
      <c r="E179" s="1787" t="s">
        <v>1545</v>
      </c>
      <c r="F179" s="1792">
        <f>F177/F178</f>
        <v>13894.113262342693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1" t="s">
        <v>1931</v>
      </c>
      <c r="B8" s="2282"/>
      <c r="C8" s="2282"/>
      <c r="D8" s="2282"/>
      <c r="E8" s="2282"/>
      <c r="F8" s="2282"/>
      <c r="G8" s="2283"/>
    </row>
    <row r="9" spans="1:7" ht="15.75" customHeight="1" x14ac:dyDescent="0.25">
      <c r="A9" s="2284" t="s">
        <v>1906</v>
      </c>
      <c r="B9" s="2285"/>
      <c r="C9" s="2285"/>
      <c r="D9" s="2285"/>
      <c r="E9" s="2285"/>
      <c r="F9" s="2285"/>
      <c r="G9" s="2286"/>
    </row>
    <row r="10" spans="1:7" ht="35.25" customHeight="1" x14ac:dyDescent="0.25">
      <c r="A10" s="2281" t="s">
        <v>2063</v>
      </c>
      <c r="B10" s="2282"/>
      <c r="C10" s="2282"/>
      <c r="D10" s="2282"/>
      <c r="E10" s="2282"/>
      <c r="F10" s="2282"/>
      <c r="G10" s="2283"/>
    </row>
    <row r="11" spans="1:7" ht="15" customHeight="1" x14ac:dyDescent="0.25">
      <c r="A11" s="1537" t="s">
        <v>1820</v>
      </c>
      <c r="B11" s="1538"/>
      <c r="C11" s="1538"/>
      <c r="D11" s="1538"/>
      <c r="E11" s="1538"/>
      <c r="F11" s="1538"/>
      <c r="G11" s="1539"/>
    </row>
    <row r="12" spans="1:7" ht="17.25" customHeight="1" x14ac:dyDescent="0.25">
      <c r="A12" s="2281" t="s">
        <v>1933</v>
      </c>
      <c r="B12" s="2282"/>
      <c r="C12" s="2282"/>
      <c r="D12" s="2282"/>
      <c r="E12" s="2282"/>
      <c r="F12" s="2282"/>
      <c r="G12" s="2283"/>
    </row>
    <row r="13" spans="1:7" ht="15" customHeight="1" x14ac:dyDescent="0.25">
      <c r="A13" s="1537" t="s">
        <v>1825</v>
      </c>
      <c r="B13" s="1538"/>
      <c r="C13" s="1538"/>
      <c r="D13" s="1538"/>
      <c r="E13" s="1538"/>
      <c r="F13" s="1538"/>
      <c r="G13" s="1539"/>
    </row>
    <row r="14" spans="1:7" ht="32.25" customHeight="1" x14ac:dyDescent="0.25">
      <c r="A14" s="2272" t="s">
        <v>1974</v>
      </c>
      <c r="B14" s="2273"/>
      <c r="C14" s="2273"/>
      <c r="D14" s="2273"/>
      <c r="E14" s="2273"/>
      <c r="F14" s="2273"/>
      <c r="G14" s="2274"/>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2088</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146309</v>
      </c>
      <c r="F10" s="974"/>
      <c r="G10" s="975"/>
      <c r="H10" s="162"/>
      <c r="I10" s="162"/>
    </row>
    <row r="11" spans="1:9" s="668" customFormat="1" ht="22.5" customHeight="1" x14ac:dyDescent="0.2">
      <c r="A11" s="2292" t="s">
        <v>1975</v>
      </c>
      <c r="B11" s="2293"/>
      <c r="C11" s="2293"/>
      <c r="D11" s="229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5475920</v>
      </c>
      <c r="F19" s="1799"/>
      <c r="G19" s="1801">
        <f>'Expenditures 15-22'!K33-SUM('Expenditures 15-22'!G33,'Expenditures 15-22'!I33)+'Expenditures 15-22'!D229</f>
        <v>5475920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602885</v>
      </c>
      <c r="F21" s="1802"/>
      <c r="G21" s="1805">
        <f>'Expenditures 15-22'!K42-SUM('Expenditures 15-22'!G42,'Expenditures 15-22'!I42)+'Expenditures 15-22'!K120-SUM('Expenditures 15-22'!G120,'Expenditures 15-22'!I120)+'Expenditures 15-22'!K180-SUM('Expenditures 15-22'!G180,'Expenditures 15-22'!I180)+'Expenditures 15-22'!D238</f>
        <v>602885</v>
      </c>
      <c r="H21" s="987"/>
      <c r="I21" s="162"/>
    </row>
    <row r="22" spans="1:9" s="668" customFormat="1" ht="12" customHeight="1" x14ac:dyDescent="0.2">
      <c r="A22" s="994" t="s">
        <v>564</v>
      </c>
      <c r="B22" s="995"/>
      <c r="C22" s="993">
        <v>2200</v>
      </c>
      <c r="D22" s="1802"/>
      <c r="E22" s="1804">
        <f>'Expenditures 15-22'!K47-SUM('Expenditures 15-22'!G47,'Expenditures 15-22'!I47)+'Expenditures 15-22'!D243</f>
        <v>170987</v>
      </c>
      <c r="F22" s="1802"/>
      <c r="G22" s="1805">
        <f>'Expenditures 15-22'!K47-SUM('Expenditures 15-22'!G47,'Expenditures 15-22'!I47)+'Expenditures 15-22'!D243</f>
        <v>170987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470790</v>
      </c>
      <c r="F23" s="1802"/>
      <c r="G23" s="1804">
        <f>'Expenditures 15-22'!K53-SUM('Expenditures 15-22'!G53,'Expenditures 15-22'!I53)+'Expenditures 15-22'!D257+'Expenditures 15-22'!K330-SUM('Expenditures 15-22'!G330,'Expenditures 15-22'!I330)</f>
        <v>470790</v>
      </c>
      <c r="H23" s="987"/>
      <c r="I23" s="162"/>
    </row>
    <row r="24" spans="1:9" s="668" customFormat="1" ht="12" customHeight="1" x14ac:dyDescent="0.2">
      <c r="A24" s="994" t="s">
        <v>566</v>
      </c>
      <c r="B24" s="995"/>
      <c r="C24" s="993">
        <v>2400</v>
      </c>
      <c r="D24" s="1802"/>
      <c r="E24" s="1804">
        <f>'Expenditures 15-22'!K57-SUM('Expenditures 15-22'!G57,'Expenditures 15-22'!I57)+'Expenditures 15-22'!D261</f>
        <v>700533</v>
      </c>
      <c r="F24" s="1802"/>
      <c r="G24" s="1805">
        <f>'Expenditures 15-22'!K57-SUM('Expenditures 15-22'!G57,'Expenditures 15-22'!I57)+'Expenditures 15-22'!D261</f>
        <v>700533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101397</v>
      </c>
      <c r="E27" s="1804">
        <f>E8</f>
        <v>0</v>
      </c>
      <c r="F27" s="1804">
        <f>'Expenditures 15-22'!K60-SUM('Expenditures 15-22'!G60,'Expenditures 15-22'!I60)+'Expenditures 15-22'!D264-E8</f>
        <v>101397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810500</v>
      </c>
      <c r="F28" s="1806">
        <f>'Expenditures 15-22'!K61-SUM('Expenditures 15-22'!G61,'Expenditures 15-22'!I61)+'Expenditures 15-22'!K124-SUM('Expenditures 15-22'!G124,'Expenditures 15-22'!I124)+'Expenditures 15-22'!D266-E9</f>
        <v>810500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478212</v>
      </c>
      <c r="F29" s="1802"/>
      <c r="G29" s="1805">
        <f>'Expenditures 15-22'!K62-SUM('Expenditures 15-22'!G62,'Expenditures 15-22'!I62)+'Expenditures 15-22'!K125-SUM('Expenditures 15-22'!G125,'Expenditures 15-22'!I125)+'Expenditures 15-22'!K182-SUM('Expenditures 15-22'!G182,'Expenditures 15-22'!I182)+'Expenditures 15-22'!D267</f>
        <v>478212</v>
      </c>
      <c r="H29" s="985"/>
    </row>
    <row r="30" spans="1:9" ht="12" customHeight="1" x14ac:dyDescent="0.2">
      <c r="A30" s="994" t="s">
        <v>100</v>
      </c>
      <c r="B30" s="997"/>
      <c r="C30" s="993">
        <v>2560</v>
      </c>
      <c r="D30" s="1802"/>
      <c r="E30" s="1804">
        <f>'Expenditures 15-22'!K63-SUM('Expenditures 15-22'!G63,'Expenditures 15-22'!I63)+'Expenditures 15-22'!D268-E10</f>
        <v>146578</v>
      </c>
      <c r="F30" s="1802"/>
      <c r="G30" s="1804">
        <f>'Expenditures 15-22'!K63-SUM('Expenditures 15-22'!G63,'Expenditures 15-22'!I63)+'Expenditures 15-22'!D268-E10</f>
        <v>146578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1082</v>
      </c>
      <c r="E37" s="1804">
        <f>E14</f>
        <v>0</v>
      </c>
      <c r="F37" s="1804">
        <f>'Expenditures 15-22'!K71-SUM('Expenditures 15-22'!G71,'Expenditures 15-22'!I71)+'Expenditures 15-22'!D276-E14</f>
        <v>1082</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58405</v>
      </c>
      <c r="F38" s="1802"/>
      <c r="G38" s="1804">
        <f>'Expenditures 15-22'!K73-SUM('Expenditures 15-22'!G73,'Expenditures 15-22'!I73)+'Expenditures 15-22'!K128-SUM('Expenditures 15-22'!G128,'Expenditures 15-22'!I128)+'Expenditures 15-22'!K183-SUM('Expenditures 15-22'!G183,'Expenditures 15-22'!I183)+'Expenditures 15-22'!D278</f>
        <v>58405</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102479</v>
      </c>
      <c r="E41" s="1806">
        <f>SUM(E19:E40)</f>
        <v>8914810</v>
      </c>
      <c r="F41" s="1806">
        <f>SUM(F19:F39)</f>
        <v>912979</v>
      </c>
      <c r="G41" s="1806">
        <f>SUM(G19:G40)</f>
        <v>8104310</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102479</v>
      </c>
      <c r="F43" s="1807" t="s">
        <v>473</v>
      </c>
      <c r="G43" s="1808">
        <f>F41</f>
        <v>912979</v>
      </c>
    </row>
    <row r="44" spans="1:7" ht="12" customHeight="1" x14ac:dyDescent="0.2">
      <c r="A44" s="987"/>
      <c r="B44" s="162"/>
      <c r="C44" s="1001"/>
      <c r="D44" s="1807" t="s">
        <v>474</v>
      </c>
      <c r="E44" s="1808">
        <f>E41</f>
        <v>8914810</v>
      </c>
      <c r="F44" s="1807" t="s">
        <v>474</v>
      </c>
      <c r="G44" s="1808">
        <f>G41</f>
        <v>8104310</v>
      </c>
    </row>
    <row r="45" spans="1:7" ht="12" customHeight="1" x14ac:dyDescent="0.2">
      <c r="A45" s="987"/>
      <c r="B45" s="162"/>
      <c r="C45" s="162"/>
      <c r="D45" s="1809" t="s">
        <v>1006</v>
      </c>
      <c r="E45" s="1810">
        <f>(E43/E44)</f>
        <v>1.1495365577056606E-2</v>
      </c>
      <c r="F45" s="1809" t="s">
        <v>1006</v>
      </c>
      <c r="G45" s="1810">
        <f>(G43/G44)</f>
        <v>0.11265351399440544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Rantoul Township HSD 193</v>
      </c>
      <c r="D6" s="2313"/>
      <c r="E6" s="2313"/>
      <c r="F6" s="1852"/>
    </row>
    <row r="7" spans="1:10" ht="11.25" customHeight="1" thickBot="1" x14ac:dyDescent="0.3">
      <c r="A7" s="1850"/>
      <c r="B7" s="1851"/>
      <c r="C7" s="2314">
        <f>COVER!A13</f>
        <v>9010193017</v>
      </c>
      <c r="D7" s="2314"/>
      <c r="E7" s="2314"/>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2073</v>
      </c>
      <c r="D15" s="1865" t="s">
        <v>2073</v>
      </c>
      <c r="E15" s="1868" t="s">
        <v>2073</v>
      </c>
      <c r="F15" s="1867" t="s">
        <v>2089</v>
      </c>
      <c r="H15" s="1878">
        <f t="shared" si="0"/>
        <v>5</v>
      </c>
      <c r="I15" s="1878">
        <f t="shared" si="1"/>
        <v>5</v>
      </c>
      <c r="J15" s="1878">
        <f t="shared" si="2"/>
        <v>5</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2090</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2091</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Rantoul Township HSD 193</v>
      </c>
      <c r="J6" s="2323"/>
      <c r="Q6" s="1664"/>
    </row>
    <row r="7" spans="1:17" x14ac:dyDescent="0.2">
      <c r="A7" s="2324" t="s">
        <v>869</v>
      </c>
      <c r="B7" s="2325"/>
      <c r="C7" s="2325"/>
      <c r="D7" s="2325"/>
      <c r="E7" s="2326"/>
      <c r="F7" s="1017"/>
      <c r="G7" s="1009"/>
      <c r="H7" s="1016" t="s">
        <v>372</v>
      </c>
      <c r="I7" s="2327">
        <f>COVER!A13</f>
        <v>9010193017</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238392</v>
      </c>
      <c r="F12" s="1039"/>
      <c r="G12" s="1811">
        <f t="shared" ref="G12:G18" si="0">SUM(E12:F12)</f>
        <v>238392</v>
      </c>
      <c r="H12" s="1040">
        <v>265731</v>
      </c>
      <c r="I12" s="1039"/>
      <c r="J12" s="1811">
        <f t="shared" ref="J12:J18" si="1">SUM(H12:I12)</f>
        <v>265731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238392</v>
      </c>
      <c r="F19" s="1813">
        <f t="shared" si="2"/>
        <v>0</v>
      </c>
      <c r="G19" s="1813">
        <f t="shared" si="2"/>
        <v>238392</v>
      </c>
      <c r="H19" s="1813">
        <f t="shared" si="2"/>
        <v>265731</v>
      </c>
      <c r="I19" s="1813">
        <f t="shared" si="2"/>
        <v>0</v>
      </c>
      <c r="J19" s="1813">
        <f t="shared" si="2"/>
        <v>265731</v>
      </c>
    </row>
    <row r="20" spans="1:10" ht="13.5" thickTop="1" x14ac:dyDescent="0.2">
      <c r="A20" s="1035">
        <v>9</v>
      </c>
      <c r="B20" s="2334" t="s">
        <v>1979</v>
      </c>
      <c r="C20" s="2334"/>
      <c r="D20" s="2335"/>
      <c r="E20" s="1046"/>
      <c r="F20" s="1046"/>
      <c r="G20" s="1046"/>
      <c r="H20" s="1046"/>
      <c r="I20" s="1046"/>
      <c r="J20" s="1814">
        <f>IF(AND(G19&gt;0,J19&gt;0),(((J19-G19)/G19)),"Enter Budget Data")</f>
        <v>0.11468086177388503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1981</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2092</v>
      </c>
    </row>
    <row r="6" spans="1:2" x14ac:dyDescent="0.2">
      <c r="A6" s="1068"/>
      <c r="B6" s="1944" t="s">
        <v>2093</v>
      </c>
    </row>
    <row r="7" spans="1:2" x14ac:dyDescent="0.2">
      <c r="A7" s="1068"/>
      <c r="B7" s="329" t="s">
        <v>2094</v>
      </c>
    </row>
    <row r="8" spans="1:2" x14ac:dyDescent="0.2">
      <c r="A8" s="1068"/>
      <c r="B8" s="329" t="s">
        <v>2095</v>
      </c>
    </row>
    <row r="9" spans="1:2" x14ac:dyDescent="0.2">
      <c r="A9" s="1069"/>
    </row>
    <row r="10" spans="1:2" x14ac:dyDescent="0.2">
      <c r="A10" s="1069">
        <v>2</v>
      </c>
      <c r="B10" s="1943" t="s">
        <v>2096</v>
      </c>
    </row>
    <row r="11" spans="1:2" x14ac:dyDescent="0.2">
      <c r="A11" s="1069"/>
      <c r="B11" s="1944" t="s">
        <v>2097</v>
      </c>
    </row>
    <row r="12" spans="1:2" x14ac:dyDescent="0.2">
      <c r="A12" s="1069"/>
      <c r="B12" s="1942" t="s">
        <v>2121</v>
      </c>
    </row>
    <row r="13" spans="1:2" x14ac:dyDescent="0.2">
      <c r="A13" s="1069"/>
      <c r="B13" s="597"/>
    </row>
    <row r="14" spans="1:2" x14ac:dyDescent="0.2">
      <c r="A14" s="1069">
        <v>3</v>
      </c>
      <c r="B14" s="1943" t="s">
        <v>2098</v>
      </c>
    </row>
    <row r="15" spans="1:2" x14ac:dyDescent="0.2">
      <c r="A15" s="1069"/>
      <c r="B15" s="1944" t="s">
        <v>2099</v>
      </c>
    </row>
    <row r="16" spans="1:2" x14ac:dyDescent="0.2">
      <c r="A16" s="1069"/>
      <c r="B16" s="329" t="s">
        <v>2100</v>
      </c>
    </row>
    <row r="17" spans="1:2" x14ac:dyDescent="0.2">
      <c r="A17" s="1069"/>
    </row>
    <row r="18" spans="1:2" x14ac:dyDescent="0.2">
      <c r="A18" s="1069">
        <v>4</v>
      </c>
      <c r="B18" s="1943" t="s">
        <v>2101</v>
      </c>
    </row>
    <row r="19" spans="1:2" x14ac:dyDescent="0.2">
      <c r="A19" s="1069"/>
      <c r="B19" s="1944" t="s">
        <v>2099</v>
      </c>
    </row>
    <row r="20" spans="1:2" x14ac:dyDescent="0.2">
      <c r="A20" s="1069"/>
      <c r="B20" s="329" t="s">
        <v>2102</v>
      </c>
    </row>
    <row r="21" spans="1:2" x14ac:dyDescent="0.2">
      <c r="A21" s="1069"/>
    </row>
    <row r="22" spans="1:2" x14ac:dyDescent="0.2">
      <c r="A22" s="1069">
        <v>5</v>
      </c>
      <c r="B22" s="1943" t="s">
        <v>2103</v>
      </c>
    </row>
    <row r="23" spans="1:2" x14ac:dyDescent="0.2">
      <c r="A23" s="1069"/>
      <c r="B23" s="1944" t="s">
        <v>2099</v>
      </c>
    </row>
    <row r="24" spans="1:2" x14ac:dyDescent="0.2">
      <c r="A24" s="1069"/>
      <c r="B24" s="329" t="s">
        <v>2104</v>
      </c>
    </row>
    <row r="25" spans="1:2" x14ac:dyDescent="0.2">
      <c r="A25" s="1069"/>
    </row>
    <row r="26" spans="1:2" x14ac:dyDescent="0.2">
      <c r="A26" s="1069">
        <v>6</v>
      </c>
      <c r="B26" s="1943" t="s">
        <v>2105</v>
      </c>
    </row>
    <row r="27" spans="1:2" x14ac:dyDescent="0.2">
      <c r="A27" s="1069"/>
      <c r="B27" s="1944" t="s">
        <v>2099</v>
      </c>
    </row>
    <row r="28" spans="1:2" x14ac:dyDescent="0.2">
      <c r="A28" s="1069"/>
      <c r="B28" s="329" t="s">
        <v>2106</v>
      </c>
    </row>
    <row r="29" spans="1:2" x14ac:dyDescent="0.2">
      <c r="A29" s="1069"/>
      <c r="B29" s="329" t="s">
        <v>2107</v>
      </c>
    </row>
    <row r="30" spans="1:2" x14ac:dyDescent="0.2">
      <c r="A30" s="1069"/>
    </row>
    <row r="31" spans="1:2" x14ac:dyDescent="0.2">
      <c r="A31" s="1069">
        <v>7</v>
      </c>
      <c r="B31" s="1943" t="s">
        <v>2108</v>
      </c>
    </row>
    <row r="32" spans="1:2" x14ac:dyDescent="0.2">
      <c r="A32" s="1069"/>
      <c r="B32" s="1944" t="s">
        <v>2109</v>
      </c>
    </row>
    <row r="33" spans="1:2" x14ac:dyDescent="0.2">
      <c r="A33" s="1069"/>
      <c r="B33" s="329" t="s">
        <v>2110</v>
      </c>
    </row>
    <row r="34" spans="1:2" x14ac:dyDescent="0.2">
      <c r="A34" s="1069"/>
    </row>
    <row r="35" spans="1:2" x14ac:dyDescent="0.2">
      <c r="A35" s="1069">
        <v>8</v>
      </c>
      <c r="B35" s="1943" t="s">
        <v>2112</v>
      </c>
    </row>
    <row r="36" spans="1:2" x14ac:dyDescent="0.2">
      <c r="A36" s="1069"/>
      <c r="B36" s="329" t="s">
        <v>2111</v>
      </c>
    </row>
    <row r="37" spans="1:2" x14ac:dyDescent="0.2">
      <c r="A37" s="1069"/>
    </row>
    <row r="38" spans="1:2" x14ac:dyDescent="0.2">
      <c r="A38" s="1069">
        <v>9</v>
      </c>
      <c r="B38" s="1943" t="s">
        <v>2113</v>
      </c>
    </row>
    <row r="39" spans="1:2" x14ac:dyDescent="0.2">
      <c r="A39" s="1069"/>
      <c r="B39" s="329" t="s">
        <v>2114</v>
      </c>
    </row>
    <row r="40" spans="1:2" x14ac:dyDescent="0.2">
      <c r="A40" s="1069"/>
    </row>
    <row r="41" spans="1:2" x14ac:dyDescent="0.2">
      <c r="A41" s="1069">
        <v>10</v>
      </c>
      <c r="B41" s="1943" t="s">
        <v>2115</v>
      </c>
    </row>
    <row r="42" spans="1:2" x14ac:dyDescent="0.2">
      <c r="A42" s="1069"/>
      <c r="B42" s="329" t="s">
        <v>2116</v>
      </c>
    </row>
    <row r="43" spans="1:2" x14ac:dyDescent="0.2">
      <c r="A43" s="1069"/>
    </row>
    <row r="44" spans="1:2" x14ac:dyDescent="0.2">
      <c r="A44" s="1069">
        <v>11</v>
      </c>
      <c r="B44" s="1943" t="s">
        <v>2120</v>
      </c>
    </row>
    <row r="45" spans="1:2" x14ac:dyDescent="0.2">
      <c r="A45" s="1069"/>
      <c r="B45" s="329" t="s">
        <v>2117</v>
      </c>
    </row>
    <row r="46" spans="1:2" x14ac:dyDescent="0.2">
      <c r="A46" s="1069"/>
    </row>
    <row r="47" spans="1:2" x14ac:dyDescent="0.2">
      <c r="A47" s="1069">
        <v>12</v>
      </c>
      <c r="B47" s="1943" t="s">
        <v>2118</v>
      </c>
    </row>
    <row r="48" spans="1:2" x14ac:dyDescent="0.2">
      <c r="A48" s="1069"/>
      <c r="B48" s="329" t="s">
        <v>2119</v>
      </c>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Rantoul Township HSD 193</v>
      </c>
    </row>
    <row r="64" spans="1:2" x14ac:dyDescent="0.2">
      <c r="B64" s="1070">
        <f>COVER!A13</f>
        <v>9010193017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266700</xdr:colOff>
                <xdr:row>2</xdr:row>
                <xdr:rowOff>95250</xdr:rowOff>
              </from>
              <to>
                <xdr:col>1</xdr:col>
                <xdr:colOff>1181100</xdr:colOff>
                <xdr:row>6</xdr:row>
                <xdr:rowOff>133350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1985</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1986</v>
      </c>
      <c r="B4" s="2362"/>
      <c r="C4" s="2362"/>
      <c r="D4" s="2362"/>
      <c r="E4" s="2362"/>
      <c r="F4" s="2363"/>
      <c r="G4" s="1074"/>
      <c r="H4" s="1074"/>
    </row>
    <row r="5" spans="1:8" ht="14.25" customHeight="1" x14ac:dyDescent="0.2">
      <c r="A5" s="2364" t="s">
        <v>1982</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8277293</v>
      </c>
      <c r="C8" s="1815">
        <f>'Acct Summary 7-8'!D8</f>
        <v>639635</v>
      </c>
      <c r="D8" s="1815">
        <f>'Acct Summary 7-8'!F8</f>
        <v>431246</v>
      </c>
      <c r="E8" s="1815">
        <f>'Acct Summary 7-8'!I8</f>
        <v>11221</v>
      </c>
      <c r="F8" s="1815">
        <f>SUM(B8:E8)</f>
        <v>9359395</v>
      </c>
    </row>
    <row r="9" spans="1:8" s="1079" customFormat="1" ht="14.25" customHeight="1" thickBot="1" x14ac:dyDescent="0.25">
      <c r="A9" s="1078" t="s">
        <v>1369</v>
      </c>
      <c r="B9" s="1816">
        <f>'Acct Summary 7-8'!C17</f>
        <v>8614746</v>
      </c>
      <c r="C9" s="1816">
        <f>'Acct Summary 7-8'!D17</f>
        <v>761769</v>
      </c>
      <c r="D9" s="1816">
        <f>'Acct Summary 7-8'!F17</f>
        <v>456948</v>
      </c>
      <c r="E9" s="1815"/>
      <c r="F9" s="1815">
        <f>SUM(B9:E9)</f>
        <v>9833463</v>
      </c>
    </row>
    <row r="10" spans="1:8" s="1079" customFormat="1" ht="14.25" thickTop="1" thickBot="1" x14ac:dyDescent="0.25">
      <c r="A10" s="1080" t="s">
        <v>1370</v>
      </c>
      <c r="B10" s="1817">
        <f>(B8-B9)</f>
        <v>-337453</v>
      </c>
      <c r="C10" s="1817">
        <f>(C8-C9)</f>
        <v>-122134</v>
      </c>
      <c r="D10" s="1817">
        <f>(D8-D9)</f>
        <v>-25702</v>
      </c>
      <c r="E10" s="1816">
        <f>(E8-E9)</f>
        <v>11221</v>
      </c>
      <c r="F10" s="1818">
        <f>SUM(F8-F9)</f>
        <v>-474068</v>
      </c>
    </row>
    <row r="11" spans="1:8" s="1079" customFormat="1" ht="14.25" thickTop="1" thickBot="1" x14ac:dyDescent="0.25">
      <c r="A11" s="1081" t="s">
        <v>1983</v>
      </c>
      <c r="B11" s="1819">
        <f>'Acct Summary 7-8'!C81</f>
        <v>7142591</v>
      </c>
      <c r="C11" s="1819">
        <f>'Acct Summary 7-8'!D81</f>
        <v>1057544</v>
      </c>
      <c r="D11" s="1819">
        <f>'Acct Summary 7-8'!F81</f>
        <v>391897</v>
      </c>
      <c r="E11" s="1819">
        <f>'Acct Summary 7-8'!I81</f>
        <v>1418664</v>
      </c>
      <c r="F11" s="1820">
        <f>SUM(B11:E11)</f>
        <v>10010696</v>
      </c>
    </row>
    <row r="12" spans="1:8" ht="16.5" customHeight="1" thickTop="1" x14ac:dyDescent="0.2">
      <c r="A12" s="1082"/>
      <c r="B12" s="1083"/>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9010193017</v>
      </c>
    </row>
    <row r="3" spans="1:2" x14ac:dyDescent="0.2">
      <c r="A3" t="s">
        <v>956</v>
      </c>
      <c r="B3" s="138" t="str">
        <f>COVER!A15</f>
        <v>CHAMPAIGN</v>
      </c>
    </row>
    <row r="4" spans="1:2" x14ac:dyDescent="0.2">
      <c r="A4" t="s">
        <v>1007</v>
      </c>
      <c r="B4" s="138" t="str">
        <f>COVER!A17</f>
        <v>Rantoul Township HSD 193</v>
      </c>
    </row>
    <row r="5" spans="1:2" x14ac:dyDescent="0.2">
      <c r="A5" t="s">
        <v>704</v>
      </c>
      <c r="B5" s="138" t="str">
        <f>COVER!A38</f>
        <v>Scott Amerio</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4900000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7142591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7092591</v>
      </c>
      <c r="D92" s="2" t="str">
        <f t="shared" si="0"/>
        <v>Error?</v>
      </c>
    </row>
    <row r="93" spans="1:4" x14ac:dyDescent="0.2">
      <c r="A93" s="5">
        <v>32</v>
      </c>
      <c r="B93" s="138">
        <f>'Assets-Liab 5-6'!C41</f>
        <v>7142591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1057544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912332</v>
      </c>
      <c r="D123" s="2" t="str">
        <f t="shared" si="0"/>
        <v>Error?</v>
      </c>
    </row>
    <row r="124" spans="1:4" x14ac:dyDescent="0.2">
      <c r="A124" s="5">
        <v>63</v>
      </c>
      <c r="B124" s="138">
        <f>'Assets-Liab 5-6'!D41</f>
        <v>1057544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14491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14491</v>
      </c>
      <c r="D140" s="2" t="str">
        <f t="shared" si="1"/>
        <v>Error?</v>
      </c>
    </row>
    <row r="141" spans="1:4" x14ac:dyDescent="0.2">
      <c r="A141" s="5">
        <v>80</v>
      </c>
      <c r="B141" s="138">
        <f>'Assets-Liab 5-6'!E41</f>
        <v>14491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391897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391897</v>
      </c>
      <c r="D170" s="2" t="str">
        <f t="shared" si="1"/>
        <v>Error?</v>
      </c>
    </row>
    <row r="171" spans="1:4" x14ac:dyDescent="0.2">
      <c r="A171" s="5">
        <v>110</v>
      </c>
      <c r="B171" s="138">
        <f>'Assets-Liab 5-6'!F41</f>
        <v>391897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395193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395193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914304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914304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571049</v>
      </c>
      <c r="D273" s="2" t="str">
        <f t="shared" si="3"/>
        <v>Error?</v>
      </c>
    </row>
    <row r="274" spans="1:4" x14ac:dyDescent="0.2">
      <c r="A274" s="5">
        <v>213</v>
      </c>
      <c r="B274" s="138">
        <f>'Assets-Liab 5-6'!M17</f>
        <v>18336468</v>
      </c>
      <c r="D274" s="2" t="str">
        <f t="shared" si="3"/>
        <v>Error?</v>
      </c>
    </row>
    <row r="275" spans="1:4" x14ac:dyDescent="0.2">
      <c r="A275" s="5">
        <v>214</v>
      </c>
      <c r="B275" s="138">
        <f>'Assets-Liab 5-6'!M18</f>
        <v>1792677</v>
      </c>
      <c r="D275" s="2" t="str">
        <f t="shared" si="3"/>
        <v>Error?</v>
      </c>
    </row>
    <row r="276" spans="1:4" x14ac:dyDescent="0.2">
      <c r="A276" s="5">
        <v>215</v>
      </c>
      <c r="B276" s="138">
        <f>'Assets-Liab 5-6'!M19</f>
        <v>3644692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24344886</v>
      </c>
      <c r="C279" s="2" t="s">
        <v>573</v>
      </c>
      <c r="D279" s="2" t="str">
        <f t="shared" si="3"/>
        <v>Error?</v>
      </c>
    </row>
    <row r="280" spans="1:4" x14ac:dyDescent="0.2">
      <c r="A280" s="5">
        <v>219</v>
      </c>
      <c r="B280" s="138">
        <f>'Assets-Liab 5-6'!M40</f>
        <v>24344886</v>
      </c>
      <c r="D280" s="2" t="str">
        <f t="shared" si="3"/>
        <v>Error?</v>
      </c>
    </row>
    <row r="281" spans="1:4" x14ac:dyDescent="0.2">
      <c r="A281" s="5">
        <v>220</v>
      </c>
      <c r="B281" s="138">
        <f>'Assets-Liab 5-6'!M41</f>
        <v>24344886</v>
      </c>
      <c r="C281" s="2" t="s">
        <v>573</v>
      </c>
      <c r="D281" s="2" t="str">
        <f t="shared" si="3"/>
        <v>Error?</v>
      </c>
    </row>
    <row r="282" spans="1:4" x14ac:dyDescent="0.2">
      <c r="A282" s="5">
        <v>221</v>
      </c>
      <c r="B282" s="138">
        <f>'Assets-Liab 5-6'!N21</f>
        <v>14491</v>
      </c>
      <c r="D282" s="2" t="str">
        <f t="shared" si="3"/>
        <v>Error?</v>
      </c>
    </row>
    <row r="283" spans="1:4" x14ac:dyDescent="0.2">
      <c r="A283" s="5">
        <v>222</v>
      </c>
      <c r="B283" s="138">
        <f>'Assets-Liab 5-6'!N22</f>
        <v>3795509</v>
      </c>
      <c r="D283" s="2" t="str">
        <f t="shared" si="3"/>
        <v>Error?</v>
      </c>
    </row>
    <row r="284" spans="1:4" x14ac:dyDescent="0.2">
      <c r="A284" s="5">
        <v>223</v>
      </c>
      <c r="B284" s="138">
        <f>'Assets-Liab 5-6'!N23</f>
        <v>3810000</v>
      </c>
      <c r="C284" s="2" t="s">
        <v>573</v>
      </c>
      <c r="D284" s="2" t="str">
        <f t="shared" si="3"/>
        <v>Error?</v>
      </c>
    </row>
    <row r="285" spans="1:4" x14ac:dyDescent="0.2">
      <c r="A285" s="5">
        <v>224</v>
      </c>
      <c r="B285" s="138">
        <f>'Assets-Liab 5-6'!N36</f>
        <v>3810000</v>
      </c>
      <c r="D285" s="2" t="str">
        <f t="shared" si="3"/>
        <v>Error?</v>
      </c>
    </row>
    <row r="286" spans="1:4" x14ac:dyDescent="0.2">
      <c r="A286" s="10">
        <v>225</v>
      </c>
      <c r="D286" s="2" t="str">
        <f t="shared" si="3"/>
        <v>OK</v>
      </c>
    </row>
    <row r="287" spans="1:4" x14ac:dyDescent="0.2">
      <c r="A287" s="5">
        <v>226</v>
      </c>
      <c r="B287" s="138">
        <f>'Assets-Liab 5-6'!N37</f>
        <v>3810000</v>
      </c>
      <c r="C287" s="2" t="s">
        <v>573</v>
      </c>
      <c r="D287" s="2" t="str">
        <f t="shared" si="3"/>
        <v>Error?</v>
      </c>
    </row>
    <row r="288" spans="1:4" x14ac:dyDescent="0.2">
      <c r="A288" s="5">
        <v>227</v>
      </c>
      <c r="B288" s="138">
        <f>'Assets-Liab 5-6'!N41</f>
        <v>3810000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1999604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379727</v>
      </c>
      <c r="D717" s="2" t="str">
        <f t="shared" si="10"/>
        <v>Error?</v>
      </c>
    </row>
    <row r="718" spans="1:4" x14ac:dyDescent="0.2">
      <c r="A718" s="5">
        <v>657</v>
      </c>
      <c r="B718" s="138">
        <f>'Expenditures 15-22'!C14</f>
        <v>229484</v>
      </c>
      <c r="D718" s="2" t="str">
        <f t="shared" si="10"/>
        <v>Error?</v>
      </c>
    </row>
    <row r="719" spans="1:4" x14ac:dyDescent="0.2">
      <c r="A719" s="5">
        <v>658</v>
      </c>
      <c r="B719" s="138">
        <f>'Expenditures 15-22'!C15</f>
        <v>28405</v>
      </c>
      <c r="D719" s="2" t="str">
        <f t="shared" si="10"/>
        <v>Error?</v>
      </c>
    </row>
    <row r="720" spans="1:4" x14ac:dyDescent="0.2">
      <c r="A720" s="5">
        <v>659</v>
      </c>
      <c r="B720" s="138">
        <f>'Expenditures 15-22'!C33</f>
        <v>3881699</v>
      </c>
      <c r="C720" s="2" t="s">
        <v>573</v>
      </c>
      <c r="D720" s="2" t="str">
        <f t="shared" si="10"/>
        <v>Error?</v>
      </c>
    </row>
    <row r="721" spans="1:4" x14ac:dyDescent="0.2">
      <c r="A721" s="5">
        <v>660</v>
      </c>
      <c r="B721" s="138">
        <f>'Expenditures 15-22'!C36</f>
        <v>103736</v>
      </c>
      <c r="D721" s="2" t="str">
        <f t="shared" si="10"/>
        <v>Error?</v>
      </c>
    </row>
    <row r="722" spans="1:4" x14ac:dyDescent="0.2">
      <c r="A722" s="5">
        <v>661</v>
      </c>
      <c r="B722" s="138">
        <f>'Expenditures 15-22'!C37</f>
        <v>239041</v>
      </c>
      <c r="D722" s="2" t="str">
        <f t="shared" si="10"/>
        <v>Error?</v>
      </c>
    </row>
    <row r="723" spans="1:4" x14ac:dyDescent="0.2">
      <c r="A723" s="5">
        <v>662</v>
      </c>
      <c r="B723" s="138">
        <f>'Expenditures 15-22'!C38</f>
        <v>57915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400692</v>
      </c>
      <c r="C727" s="2" t="s">
        <v>573</v>
      </c>
      <c r="D727" s="2" t="str">
        <f t="shared" si="10"/>
        <v>Error?</v>
      </c>
    </row>
    <row r="728" spans="1:4" x14ac:dyDescent="0.2">
      <c r="A728" s="5">
        <v>667</v>
      </c>
      <c r="B728" s="138">
        <f>'Expenditures 15-22'!C44</f>
        <v>19143</v>
      </c>
      <c r="D728" s="2" t="str">
        <f t="shared" si="10"/>
        <v>Error?</v>
      </c>
    </row>
    <row r="729" spans="1:4" x14ac:dyDescent="0.2">
      <c r="A729" s="5">
        <v>668</v>
      </c>
      <c r="B729" s="138">
        <f>'Expenditures 15-22'!C45</f>
        <v>52436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71579</v>
      </c>
      <c r="C731" s="2" t="s">
        <v>573</v>
      </c>
      <c r="D731" s="2" t="str">
        <f t="shared" si="10"/>
        <v>Error?</v>
      </c>
    </row>
    <row r="732" spans="1:4" x14ac:dyDescent="0.2">
      <c r="A732" s="5">
        <v>671</v>
      </c>
      <c r="B732" s="138">
        <f>'Expenditures 15-22'!C49</f>
        <v>9000</v>
      </c>
      <c r="D732" s="2" t="str">
        <f t="shared" si="10"/>
        <v>Error?</v>
      </c>
    </row>
    <row r="733" spans="1:4" x14ac:dyDescent="0.2">
      <c r="A733" s="5">
        <v>672</v>
      </c>
      <c r="B733" s="138">
        <f>'Expenditures 15-22'!C50</f>
        <v>173869</v>
      </c>
      <c r="D733" s="2" t="str">
        <f t="shared" si="10"/>
        <v>Error?</v>
      </c>
    </row>
    <row r="734" spans="1:4" x14ac:dyDescent="0.2">
      <c r="A734" s="5">
        <v>673</v>
      </c>
      <c r="B734" s="138">
        <f>'Expenditures 15-22'!C53</f>
        <v>182869</v>
      </c>
      <c r="C734" s="2" t="s">
        <v>573</v>
      </c>
      <c r="D734" s="2" t="str">
        <f t="shared" si="10"/>
        <v>Error?</v>
      </c>
    </row>
    <row r="735" spans="1:4" x14ac:dyDescent="0.2">
      <c r="A735" s="5">
        <v>674</v>
      </c>
      <c r="B735" s="138">
        <f>'Expenditures 15-22'!C55</f>
        <v>488197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488197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70197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109914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180111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1323448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5205147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494970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97715</v>
      </c>
      <c r="D775" s="2" t="str">
        <f t="shared" si="11"/>
        <v>Error?</v>
      </c>
    </row>
    <row r="776" spans="1:4" x14ac:dyDescent="0.2">
      <c r="A776" s="5">
        <v>715</v>
      </c>
      <c r="B776" s="138">
        <f>'Expenditures 15-22'!D14</f>
        <v>21802</v>
      </c>
      <c r="D776" s="2" t="str">
        <f t="shared" si="11"/>
        <v>Error?</v>
      </c>
    </row>
    <row r="777" spans="1:4" x14ac:dyDescent="0.2">
      <c r="A777" s="5">
        <v>716</v>
      </c>
      <c r="B777" s="138">
        <f>'Expenditures 15-22'!D15</f>
        <v>3533</v>
      </c>
      <c r="D777" s="2" t="str">
        <f t="shared" si="11"/>
        <v>Error?</v>
      </c>
    </row>
    <row r="778" spans="1:4" x14ac:dyDescent="0.2">
      <c r="A778" s="5">
        <v>717</v>
      </c>
      <c r="B778" s="138">
        <f>'Expenditures 15-22'!D33</f>
        <v>934381</v>
      </c>
      <c r="C778" s="2" t="s">
        <v>573</v>
      </c>
      <c r="D778" s="2" t="str">
        <f t="shared" si="11"/>
        <v>Error?</v>
      </c>
    </row>
    <row r="779" spans="1:4" x14ac:dyDescent="0.2">
      <c r="A779" s="5">
        <v>718</v>
      </c>
      <c r="B779" s="138">
        <f>'Expenditures 15-22'!D36</f>
        <v>25858</v>
      </c>
      <c r="D779" s="2" t="str">
        <f t="shared" si="11"/>
        <v>Error?</v>
      </c>
    </row>
    <row r="780" spans="1:4" x14ac:dyDescent="0.2">
      <c r="A780" s="5">
        <v>719</v>
      </c>
      <c r="B780" s="138">
        <f>'Expenditures 15-22'!D37</f>
        <v>47177</v>
      </c>
      <c r="D780" s="2" t="str">
        <f t="shared" si="11"/>
        <v>Error?</v>
      </c>
    </row>
    <row r="781" spans="1:4" x14ac:dyDescent="0.2">
      <c r="A781" s="5">
        <v>720</v>
      </c>
      <c r="B781" s="138">
        <f>'Expenditures 15-22'!D38</f>
        <v>5858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78893</v>
      </c>
      <c r="C785" s="2" t="s">
        <v>573</v>
      </c>
      <c r="D785" s="2" t="str">
        <f t="shared" si="11"/>
        <v>Error?</v>
      </c>
    </row>
    <row r="786" spans="1:4" x14ac:dyDescent="0.2">
      <c r="A786" s="5">
        <v>725</v>
      </c>
      <c r="B786" s="138">
        <f>'Expenditures 15-22'!D44</f>
        <v>4547</v>
      </c>
      <c r="D786" s="2" t="str">
        <f t="shared" si="11"/>
        <v>Error?</v>
      </c>
    </row>
    <row r="787" spans="1:4" x14ac:dyDescent="0.2">
      <c r="A787" s="5">
        <v>726</v>
      </c>
      <c r="B787" s="138">
        <f>'Expenditures 15-22'!D45</f>
        <v>12952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17499</v>
      </c>
      <c r="C789" s="2" t="s">
        <v>573</v>
      </c>
      <c r="D789" s="2" t="str">
        <f t="shared" si="11"/>
        <v>Error?</v>
      </c>
    </row>
    <row r="790" spans="1:4" x14ac:dyDescent="0.2">
      <c r="A790" s="5">
        <v>729</v>
      </c>
      <c r="B790" s="138">
        <f>'Expenditures 15-22'!D49</f>
        <v>1186</v>
      </c>
      <c r="D790" s="2" t="str">
        <f t="shared" si="11"/>
        <v>Error?</v>
      </c>
    </row>
    <row r="791" spans="1:4" x14ac:dyDescent="0.2">
      <c r="A791" s="5">
        <v>730</v>
      </c>
      <c r="B791" s="138">
        <f>'Expenditures 15-22'!D50</f>
        <v>41237</v>
      </c>
      <c r="D791" s="2" t="str">
        <f t="shared" si="11"/>
        <v>Error?</v>
      </c>
    </row>
    <row r="792" spans="1:4" x14ac:dyDescent="0.2">
      <c r="A792" s="5">
        <v>731</v>
      </c>
      <c r="B792" s="138">
        <f>'Expenditures 15-22'!D53</f>
        <v>42423</v>
      </c>
      <c r="C792" s="2" t="s">
        <v>573</v>
      </c>
      <c r="D792" s="2" t="str">
        <f t="shared" si="11"/>
        <v>Error?</v>
      </c>
    </row>
    <row r="793" spans="1:4" x14ac:dyDescent="0.2">
      <c r="A793" s="5">
        <v>732</v>
      </c>
      <c r="B793" s="138">
        <f>'Expenditures 15-22'!D55</f>
        <v>98814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98814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8554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16476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25030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262659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1197040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145387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37679</v>
      </c>
      <c r="D833" s="2" t="str">
        <f t="shared" si="12"/>
        <v>Error?</v>
      </c>
    </row>
    <row r="834" spans="1:4" x14ac:dyDescent="0.2">
      <c r="A834" s="5">
        <v>773</v>
      </c>
      <c r="B834" s="138">
        <f>'Expenditures 15-22'!E14</f>
        <v>49169</v>
      </c>
      <c r="D834" s="2" t="str">
        <f t="shared" si="12"/>
        <v>Error?</v>
      </c>
    </row>
    <row r="835" spans="1:4" x14ac:dyDescent="0.2">
      <c r="A835" s="5">
        <v>774</v>
      </c>
      <c r="B835" s="138">
        <f>'Expenditures 15-22'!E15</f>
        <v>1000</v>
      </c>
      <c r="D835" s="2" t="str">
        <f t="shared" si="12"/>
        <v>Error?</v>
      </c>
    </row>
    <row r="836" spans="1:4" x14ac:dyDescent="0.2">
      <c r="A836" s="5">
        <v>775</v>
      </c>
      <c r="B836" s="138">
        <f>'Expenditures 15-22'!E33</f>
        <v>302994</v>
      </c>
      <c r="C836" s="2" t="s">
        <v>573</v>
      </c>
      <c r="D836" s="2" t="str">
        <f t="shared" si="12"/>
        <v>Error?</v>
      </c>
    </row>
    <row r="837" spans="1:4" x14ac:dyDescent="0.2">
      <c r="A837" s="5">
        <v>776</v>
      </c>
      <c r="B837" s="138">
        <f>'Expenditures 15-22'!E36</f>
        <v>843</v>
      </c>
      <c r="D837" s="2" t="str">
        <f t="shared" si="12"/>
        <v>Error?</v>
      </c>
    </row>
    <row r="838" spans="1:4" x14ac:dyDescent="0.2">
      <c r="A838" s="5">
        <v>777</v>
      </c>
      <c r="B838" s="138">
        <f>'Expenditures 15-22'!E37</f>
        <v>4022</v>
      </c>
      <c r="D838" s="2" t="str">
        <f t="shared" si="12"/>
        <v>Error?</v>
      </c>
    </row>
    <row r="839" spans="1:4" x14ac:dyDescent="0.2">
      <c r="A839" s="5">
        <v>778</v>
      </c>
      <c r="B839" s="138">
        <f>'Expenditures 15-22'!E38</f>
        <v>1814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79797</v>
      </c>
      <c r="D841" s="2" t="str">
        <f t="shared" si="12"/>
        <v>Error?</v>
      </c>
    </row>
    <row r="842" spans="1:4" x14ac:dyDescent="0.2">
      <c r="A842" s="5">
        <v>781</v>
      </c>
      <c r="B842" s="138">
        <f>'Expenditures 15-22'!E41</f>
        <v>92</v>
      </c>
      <c r="D842" s="2" t="str">
        <f t="shared" si="12"/>
        <v>Error?</v>
      </c>
    </row>
    <row r="843" spans="1:4" x14ac:dyDescent="0.2">
      <c r="A843" s="5">
        <v>782</v>
      </c>
      <c r="B843" s="138">
        <f>'Expenditures 15-22'!E42</f>
        <v>86568</v>
      </c>
      <c r="C843" s="2" t="s">
        <v>573</v>
      </c>
      <c r="D843" s="2" t="str">
        <f t="shared" si="12"/>
        <v>Error?</v>
      </c>
    </row>
    <row r="844" spans="1:4" x14ac:dyDescent="0.2">
      <c r="A844" s="5">
        <v>783</v>
      </c>
      <c r="B844" s="138">
        <f>'Expenditures 15-22'!E44</f>
        <v>42610</v>
      </c>
      <c r="D844" s="2" t="str">
        <f t="shared" si="12"/>
        <v>Error?</v>
      </c>
    </row>
    <row r="845" spans="1:4" x14ac:dyDescent="0.2">
      <c r="A845" s="5">
        <v>784</v>
      </c>
      <c r="B845" s="138">
        <f>'Expenditures 15-22'!E45</f>
        <v>5300</v>
      </c>
      <c r="D845" s="2" t="str">
        <f t="shared" si="12"/>
        <v>Error?</v>
      </c>
    </row>
    <row r="846" spans="1:4" x14ac:dyDescent="0.2">
      <c r="A846" s="5">
        <v>785</v>
      </c>
      <c r="B846" s="138">
        <f>'Expenditures 15-22'!E46</f>
        <v>12547</v>
      </c>
      <c r="D846" s="2" t="str">
        <f t="shared" si="12"/>
        <v>Error?</v>
      </c>
    </row>
    <row r="847" spans="1:4" x14ac:dyDescent="0.2">
      <c r="A847" s="5">
        <v>786</v>
      </c>
      <c r="B847" s="138">
        <f>'Expenditures 15-22'!E47</f>
        <v>60457</v>
      </c>
      <c r="C847" s="2" t="s">
        <v>573</v>
      </c>
      <c r="D847" s="2" t="str">
        <f t="shared" si="12"/>
        <v>Error?</v>
      </c>
    </row>
    <row r="848" spans="1:4" x14ac:dyDescent="0.2">
      <c r="A848" s="5">
        <v>787</v>
      </c>
      <c r="B848" s="138">
        <f>'Expenditures 15-22'!E49</f>
        <v>35543</v>
      </c>
      <c r="D848" s="2" t="str">
        <f t="shared" si="12"/>
        <v>Error?</v>
      </c>
    </row>
    <row r="849" spans="1:4" x14ac:dyDescent="0.2">
      <c r="A849" s="5">
        <v>788</v>
      </c>
      <c r="B849" s="138">
        <f>'Expenditures 15-22'!E50</f>
        <v>12484</v>
      </c>
      <c r="D849" s="2" t="str">
        <f t="shared" si="12"/>
        <v>Error?</v>
      </c>
    </row>
    <row r="850" spans="1:4" x14ac:dyDescent="0.2">
      <c r="A850" s="5">
        <v>789</v>
      </c>
      <c r="B850" s="138">
        <f>'Expenditures 15-22'!E53</f>
        <v>48027</v>
      </c>
      <c r="C850" s="2" t="s">
        <v>573</v>
      </c>
      <c r="D850" s="2" t="str">
        <f t="shared" si="12"/>
        <v>Error?</v>
      </c>
    </row>
    <row r="851" spans="1:4" x14ac:dyDescent="0.2">
      <c r="A851" s="5">
        <v>790</v>
      </c>
      <c r="B851" s="138">
        <f>'Expenditures 15-22'!E55</f>
        <v>48192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48192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658</v>
      </c>
      <c r="D855" s="2" t="str">
        <f t="shared" si="12"/>
        <v>Error?</v>
      </c>
    </row>
    <row r="856" spans="1:4" x14ac:dyDescent="0.2">
      <c r="A856" s="5">
        <v>795</v>
      </c>
      <c r="B856" s="138">
        <f>'Expenditures 15-22'!E61</f>
        <v>15116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16971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58405</v>
      </c>
      <c r="D870" s="2" t="str">
        <f t="shared" si="12"/>
        <v>Error?</v>
      </c>
    </row>
    <row r="871" spans="1:4" x14ac:dyDescent="0.2">
      <c r="A871" s="5">
        <v>810</v>
      </c>
      <c r="B871" s="138">
        <f>'Expenditures 15-22'!E74</f>
        <v>318620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661914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106344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12932</v>
      </c>
      <c r="D891" s="2" t="str">
        <f t="shared" si="12"/>
        <v>Error?</v>
      </c>
    </row>
    <row r="892" spans="1:4" x14ac:dyDescent="0.2">
      <c r="A892" s="5">
        <v>831</v>
      </c>
      <c r="B892" s="138">
        <f>'Expenditures 15-22'!F14</f>
        <v>48511</v>
      </c>
      <c r="D892" s="2" t="str">
        <f t="shared" si="12"/>
        <v>Error?</v>
      </c>
    </row>
    <row r="893" spans="1:4" x14ac:dyDescent="0.2">
      <c r="A893" s="5">
        <v>832</v>
      </c>
      <c r="B893" s="138">
        <f>'Expenditures 15-22'!F15</f>
        <v>1231</v>
      </c>
      <c r="D893" s="2" t="str">
        <f t="shared" si="12"/>
        <v>Error?</v>
      </c>
    </row>
    <row r="894" spans="1:4" x14ac:dyDescent="0.2">
      <c r="A894" s="5">
        <v>833</v>
      </c>
      <c r="B894" s="138">
        <f>'Expenditures 15-22'!F33</f>
        <v>222277</v>
      </c>
      <c r="C894" s="2" t="s">
        <v>573</v>
      </c>
      <c r="D894" s="2" t="str">
        <f t="shared" si="12"/>
        <v>Error?</v>
      </c>
    </row>
    <row r="895" spans="1:4" x14ac:dyDescent="0.2">
      <c r="A895" s="5">
        <v>834</v>
      </c>
      <c r="B895" s="138">
        <f>'Expenditures 15-22'!F36</f>
        <v>56</v>
      </c>
      <c r="D895" s="2" t="str">
        <f t="shared" ref="D895:D958" si="13">IF(ISBLANK(B895),"OK",IF(A895-B895=0,"OK","Error?"))</f>
        <v>Error?</v>
      </c>
    </row>
    <row r="896" spans="1:4" x14ac:dyDescent="0.2">
      <c r="A896" s="5">
        <v>835</v>
      </c>
      <c r="B896" s="138">
        <f>'Expenditures 15-22'!F37</f>
        <v>2700</v>
      </c>
      <c r="D896" s="2" t="str">
        <f t="shared" si="13"/>
        <v>Error?</v>
      </c>
    </row>
    <row r="897" spans="1:4" x14ac:dyDescent="0.2">
      <c r="A897" s="5">
        <v>836</v>
      </c>
      <c r="B897" s="138">
        <f>'Expenditures 15-22'!F38</f>
        <v>3189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2715</v>
      </c>
      <c r="D900" s="2" t="str">
        <f t="shared" si="13"/>
        <v>Error?</v>
      </c>
    </row>
    <row r="901" spans="1:4" x14ac:dyDescent="0.2">
      <c r="A901" s="5">
        <v>840</v>
      </c>
      <c r="B901" s="138">
        <f>'Expenditures 15-22'!F42</f>
        <v>8660</v>
      </c>
      <c r="C901" s="2" t="s">
        <v>573</v>
      </c>
      <c r="D901" s="2" t="str">
        <f t="shared" si="13"/>
        <v>Error?</v>
      </c>
    </row>
    <row r="902" spans="1:4" x14ac:dyDescent="0.2">
      <c r="A902" s="5">
        <v>841</v>
      </c>
      <c r="B902" s="138">
        <f>'Expenditures 15-22'!F44</f>
        <v>1842</v>
      </c>
      <c r="D902" s="2" t="str">
        <f t="shared" si="13"/>
        <v>Error?</v>
      </c>
    </row>
    <row r="903" spans="1:4" x14ac:dyDescent="0.2">
      <c r="A903" s="5">
        <v>842</v>
      </c>
      <c r="B903" s="138">
        <f>'Expenditures 15-22'!F45</f>
        <v>18634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20476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2561</v>
      </c>
      <c r="D907" s="2" t="str">
        <f t="shared" si="13"/>
        <v>Error?</v>
      </c>
    </row>
    <row r="908" spans="1:4" x14ac:dyDescent="0.2">
      <c r="A908" s="5">
        <v>847</v>
      </c>
      <c r="B908" s="138">
        <f>'Expenditures 15-22'!F53</f>
        <v>2561</v>
      </c>
      <c r="C908" s="2" t="s">
        <v>573</v>
      </c>
      <c r="D908" s="2" t="str">
        <f t="shared" si="13"/>
        <v>Error?</v>
      </c>
    </row>
    <row r="909" spans="1:4" x14ac:dyDescent="0.2">
      <c r="A909" s="5">
        <v>848</v>
      </c>
      <c r="B909" s="138">
        <f>'Expenditures 15-22'!F55</f>
        <v>23366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23366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145112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145112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1082</v>
      </c>
      <c r="D925" s="2" t="str">
        <f t="shared" si="13"/>
        <v>Error?</v>
      </c>
    </row>
    <row r="926" spans="1:4" x14ac:dyDescent="0.2">
      <c r="A926" s="10">
        <v>865</v>
      </c>
      <c r="D926" s="2" t="str">
        <f t="shared" si="13"/>
        <v>OK</v>
      </c>
    </row>
    <row r="927" spans="1:4" x14ac:dyDescent="0.2">
      <c r="A927" s="5">
        <v>866</v>
      </c>
      <c r="B927" s="138">
        <f>'Expenditures 15-22'!F72</f>
        <v>1082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201257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423534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16826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3445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42465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1700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1700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17000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17000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6291</v>
      </c>
      <c r="D965" s="2" t="str">
        <f t="shared" si="14"/>
        <v>Error?</v>
      </c>
    </row>
    <row r="966" spans="1:4" x14ac:dyDescent="0.2">
      <c r="A966" s="5">
        <v>905</v>
      </c>
      <c r="B966" s="138">
        <f>'Expenditures 15-22'!G53</f>
        <v>6291</v>
      </c>
      <c r="C966" s="2" t="s">
        <v>573</v>
      </c>
      <c r="D966" s="2" t="str">
        <f t="shared" si="14"/>
        <v>Error?</v>
      </c>
    </row>
    <row r="967" spans="1:4" x14ac:dyDescent="0.2">
      <c r="A967" s="5">
        <v>906</v>
      </c>
      <c r="B967" s="138">
        <f>'Expenditures 15-22'!G55</f>
        <v>4564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4564</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5110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3411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8521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38076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80541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9597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9597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28700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28700</v>
      </c>
      <c r="C1024" s="2" t="s">
        <v>573</v>
      </c>
      <c r="D1024" s="2" t="str">
        <f t="shared" si="15"/>
        <v>Error?</v>
      </c>
    </row>
    <row r="1025" spans="1:4" x14ac:dyDescent="0.2">
      <c r="A1025" s="5">
        <v>964</v>
      </c>
      <c r="B1025" s="138">
        <f>'Expenditures 15-22'!H55</f>
        <v>2318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2318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31018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971888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1012503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2778804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531498</v>
      </c>
      <c r="C1105" s="2" t="s">
        <v>573</v>
      </c>
      <c r="D1105" s="2" t="str">
        <f t="shared" si="16"/>
        <v>Error?</v>
      </c>
    </row>
    <row r="1106" spans="1:4" x14ac:dyDescent="0.2">
      <c r="A1106" s="5">
        <v>1045</v>
      </c>
      <c r="B1106" s="138">
        <f>'Expenditures 15-22'!K14</f>
        <v>362690</v>
      </c>
      <c r="C1106" s="2" t="s">
        <v>573</v>
      </c>
      <c r="D1106" s="2" t="str">
        <f t="shared" si="16"/>
        <v>Error?</v>
      </c>
    </row>
    <row r="1107" spans="1:4" x14ac:dyDescent="0.2">
      <c r="A1107" s="5">
        <v>1046</v>
      </c>
      <c r="B1107" s="138">
        <f>'Expenditures 15-22'!K15</f>
        <v>34169</v>
      </c>
      <c r="C1107" s="2" t="s">
        <v>573</v>
      </c>
      <c r="D1107" s="2" t="str">
        <f t="shared" si="16"/>
        <v>Error?</v>
      </c>
    </row>
    <row r="1108" spans="1:4" x14ac:dyDescent="0.2">
      <c r="A1108" s="5">
        <v>1047</v>
      </c>
      <c r="B1108" s="138">
        <f>'Expenditures 15-22'!K33</f>
        <v>5417445</v>
      </c>
      <c r="C1108" s="2" t="s">
        <v>573</v>
      </c>
      <c r="D1108" s="2" t="str">
        <f t="shared" si="16"/>
        <v>Error?</v>
      </c>
    </row>
    <row r="1109" spans="1:4" x14ac:dyDescent="0.2">
      <c r="A1109" s="5">
        <v>1048</v>
      </c>
      <c r="B1109" s="138">
        <f>'Expenditures 15-22'!K36</f>
        <v>130493</v>
      </c>
      <c r="C1109" s="2" t="s">
        <v>573</v>
      </c>
      <c r="D1109" s="2" t="str">
        <f t="shared" si="16"/>
        <v>Error?</v>
      </c>
    </row>
    <row r="1110" spans="1:4" x14ac:dyDescent="0.2">
      <c r="A1110" s="5">
        <v>1049</v>
      </c>
      <c r="B1110" s="138">
        <f>'Expenditures 15-22'!K37</f>
        <v>293540</v>
      </c>
      <c r="C1110" s="2" t="s">
        <v>573</v>
      </c>
      <c r="D1110" s="2" t="str">
        <f t="shared" si="16"/>
        <v>Error?</v>
      </c>
    </row>
    <row r="1111" spans="1:4" x14ac:dyDescent="0.2">
      <c r="A1111" s="5">
        <v>1050</v>
      </c>
      <c r="B1111" s="138">
        <f>'Expenditures 15-22'!K38</f>
        <v>70476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79797</v>
      </c>
      <c r="C1113" s="2" t="s">
        <v>573</v>
      </c>
      <c r="D1113" s="2" t="str">
        <f t="shared" si="16"/>
        <v>Error?</v>
      </c>
    </row>
    <row r="1114" spans="1:4" x14ac:dyDescent="0.2">
      <c r="A1114" s="5">
        <v>1053</v>
      </c>
      <c r="B1114" s="138">
        <f>'Expenditures 15-22'!K41</f>
        <v>2807</v>
      </c>
      <c r="C1114" s="2" t="s">
        <v>573</v>
      </c>
      <c r="D1114" s="2" t="str">
        <f t="shared" si="16"/>
        <v>Error?</v>
      </c>
    </row>
    <row r="1115" spans="1:4" x14ac:dyDescent="0.2">
      <c r="A1115" s="5">
        <v>1054</v>
      </c>
      <c r="B1115" s="138">
        <f>'Expenditures 15-22'!K42</f>
        <v>577113</v>
      </c>
      <c r="C1115" s="2" t="s">
        <v>573</v>
      </c>
      <c r="D1115" s="2" t="str">
        <f t="shared" si="16"/>
        <v>Error?</v>
      </c>
    </row>
    <row r="1116" spans="1:4" x14ac:dyDescent="0.2">
      <c r="A1116" s="5">
        <v>1055</v>
      </c>
      <c r="B1116" s="138">
        <f>'Expenditures 15-22'!K44</f>
        <v>68142</v>
      </c>
      <c r="C1116" s="2" t="s">
        <v>573</v>
      </c>
      <c r="D1116" s="2" t="str">
        <f t="shared" si="16"/>
        <v>Error?</v>
      </c>
    </row>
    <row r="1117" spans="1:4" x14ac:dyDescent="0.2">
      <c r="A1117" s="5">
        <v>1056</v>
      </c>
      <c r="B1117" s="138">
        <f>'Expenditures 15-22'!K45</f>
        <v>107177</v>
      </c>
      <c r="C1117" s="2" t="s">
        <v>573</v>
      </c>
      <c r="D1117" s="2" t="str">
        <f t="shared" si="16"/>
        <v>Error?</v>
      </c>
    </row>
    <row r="1118" spans="1:4" x14ac:dyDescent="0.2">
      <c r="A1118" s="5">
        <v>1057</v>
      </c>
      <c r="B1118" s="138">
        <f>'Expenditures 15-22'!K46</f>
        <v>12547</v>
      </c>
      <c r="C1118" s="2" t="s">
        <v>573</v>
      </c>
      <c r="D1118" s="2" t="str">
        <f t="shared" si="16"/>
        <v>Error?</v>
      </c>
    </row>
    <row r="1119" spans="1:4" x14ac:dyDescent="0.2">
      <c r="A1119" s="5">
        <v>1058</v>
      </c>
      <c r="B1119" s="138">
        <f>'Expenditures 15-22'!K47</f>
        <v>187866</v>
      </c>
      <c r="C1119" s="2" t="s">
        <v>573</v>
      </c>
      <c r="D1119" s="2" t="str">
        <f t="shared" si="16"/>
        <v>Error?</v>
      </c>
    </row>
    <row r="1120" spans="1:4" x14ac:dyDescent="0.2">
      <c r="A1120" s="5">
        <v>1059</v>
      </c>
      <c r="B1120" s="138">
        <f>'Expenditures 15-22'!K49</f>
        <v>74429</v>
      </c>
      <c r="C1120" s="2" t="s">
        <v>573</v>
      </c>
      <c r="D1120" s="2" t="str">
        <f t="shared" si="16"/>
        <v>Error?</v>
      </c>
    </row>
    <row r="1121" spans="1:4" x14ac:dyDescent="0.2">
      <c r="A1121" s="5">
        <v>1060</v>
      </c>
      <c r="B1121" s="138">
        <f>'Expenditures 15-22'!K50</f>
        <v>238392</v>
      </c>
      <c r="C1121" s="2" t="s">
        <v>573</v>
      </c>
      <c r="D1121" s="2" t="str">
        <f t="shared" si="16"/>
        <v>Error?</v>
      </c>
    </row>
    <row r="1122" spans="1:4" x14ac:dyDescent="0.2">
      <c r="A1122" s="5">
        <v>1061</v>
      </c>
      <c r="B1122" s="138">
        <f>'Expenditures 15-22'!K53</f>
        <v>312821</v>
      </c>
      <c r="C1122" s="2" t="s">
        <v>573</v>
      </c>
      <c r="D1122" s="2" t="str">
        <f t="shared" si="16"/>
        <v>Error?</v>
      </c>
    </row>
    <row r="1123" spans="1:4" x14ac:dyDescent="0.2">
      <c r="A1123" s="5">
        <v>1062</v>
      </c>
      <c r="B1123" s="138">
        <f>'Expenditures 15-22'!K55</f>
        <v>670234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670234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79409</v>
      </c>
      <c r="C1127" s="2" t="s">
        <v>573</v>
      </c>
      <c r="D1127" s="2" t="str">
        <f t="shared" si="16"/>
        <v>Error?</v>
      </c>
    </row>
    <row r="1128" spans="1:4" x14ac:dyDescent="0.2">
      <c r="A1128" s="5">
        <v>1067</v>
      </c>
      <c r="B1128" s="138">
        <f>'Expenditures 15-22'!K61</f>
        <v>20226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277957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377592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1082</v>
      </c>
      <c r="C1139" s="2" t="s">
        <v>573</v>
      </c>
      <c r="D1139" s="2" t="str">
        <f t="shared" si="16"/>
        <v>Error?</v>
      </c>
    </row>
    <row r="1140" spans="1:4" x14ac:dyDescent="0.2">
      <c r="A1140" s="10">
        <v>1079</v>
      </c>
      <c r="D1140" s="2" t="str">
        <f t="shared" si="16"/>
        <v>OK</v>
      </c>
    </row>
    <row r="1141" spans="1:4" x14ac:dyDescent="0.2">
      <c r="A1141" s="5">
        <v>1080</v>
      </c>
      <c r="B1141" s="138">
        <f>'Expenditures 15-22'!K72</f>
        <v>1082</v>
      </c>
      <c r="C1141" s="2" t="s">
        <v>573</v>
      </c>
      <c r="D1141" s="2" t="str">
        <f t="shared" si="16"/>
        <v>Error?</v>
      </c>
    </row>
    <row r="1142" spans="1:4" x14ac:dyDescent="0.2">
      <c r="A1142" s="5">
        <v>1081</v>
      </c>
      <c r="B1142" s="138">
        <f>'Expenditures 15-22'!K73</f>
        <v>58405</v>
      </c>
      <c r="C1142" s="2" t="s">
        <v>573</v>
      </c>
      <c r="D1142" s="2" t="str">
        <f t="shared" si="16"/>
        <v>Error?</v>
      </c>
    </row>
    <row r="1143" spans="1:4" x14ac:dyDescent="0.2">
      <c r="A1143" s="5">
        <v>1082</v>
      </c>
      <c r="B1143" s="138">
        <f>'Expenditures 15-22'!K74</f>
        <v>2185113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1012188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8614746</v>
      </c>
      <c r="C1152" s="2" t="s">
        <v>573</v>
      </c>
      <c r="D1152" s="2" t="str">
        <f t="shared" si="17"/>
        <v>Error?</v>
      </c>
    </row>
    <row r="1153" spans="1:4" x14ac:dyDescent="0.2">
      <c r="A1153" s="5">
        <v>1092</v>
      </c>
      <c r="B1153" s="138">
        <f>'Expenditures 15-22'!K115</f>
        <v>-337453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242849</v>
      </c>
      <c r="D1221" s="2" t="str">
        <f t="shared" si="18"/>
        <v>Error?</v>
      </c>
    </row>
    <row r="1222" spans="1:4" x14ac:dyDescent="0.2">
      <c r="A1222" s="10">
        <v>1161</v>
      </c>
      <c r="D1222" s="2" t="str">
        <f t="shared" si="18"/>
        <v>OK</v>
      </c>
    </row>
    <row r="1223" spans="1:4" x14ac:dyDescent="0.2">
      <c r="A1223" s="5">
        <v>1162</v>
      </c>
      <c r="B1223" s="138">
        <f>'Expenditures 15-22'!C127</f>
        <v>242849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242849</v>
      </c>
      <c r="C1225" s="2" t="s">
        <v>573</v>
      </c>
      <c r="D1225" s="2" t="str">
        <f t="shared" si="18"/>
        <v>Error?</v>
      </c>
    </row>
    <row r="1226" spans="1:4" x14ac:dyDescent="0.2">
      <c r="A1226" s="5">
        <v>1165</v>
      </c>
      <c r="B1226" s="138">
        <f>'Expenditures 15-22'!C151</f>
        <v>242849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45646</v>
      </c>
      <c r="D1229" s="2" t="str">
        <f t="shared" si="18"/>
        <v>Error?</v>
      </c>
    </row>
    <row r="1230" spans="1:4" x14ac:dyDescent="0.2">
      <c r="A1230" s="10">
        <v>1169</v>
      </c>
      <c r="D1230" s="2" t="str">
        <f t="shared" si="18"/>
        <v>OK</v>
      </c>
    </row>
    <row r="1231" spans="1:4" x14ac:dyDescent="0.2">
      <c r="A1231" s="5">
        <v>1170</v>
      </c>
      <c r="B1231" s="138">
        <f>'Expenditures 15-22'!D127</f>
        <v>45646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45646</v>
      </c>
      <c r="C1233" s="2" t="s">
        <v>573</v>
      </c>
      <c r="D1233" s="2" t="str">
        <f t="shared" si="18"/>
        <v>Error?</v>
      </c>
    </row>
    <row r="1234" spans="1:4" x14ac:dyDescent="0.2">
      <c r="A1234" s="5">
        <v>1173</v>
      </c>
      <c r="B1234" s="138">
        <f>'Expenditures 15-22'!D151</f>
        <v>45646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145630</v>
      </c>
      <c r="D1237" s="2" t="str">
        <f t="shared" si="18"/>
        <v>Error?</v>
      </c>
    </row>
    <row r="1238" spans="1:4" x14ac:dyDescent="0.2">
      <c r="A1238" s="10">
        <v>1177</v>
      </c>
      <c r="D1238" s="2" t="str">
        <f t="shared" si="18"/>
        <v>OK</v>
      </c>
    </row>
    <row r="1239" spans="1:4" x14ac:dyDescent="0.2">
      <c r="A1239" s="5">
        <v>1178</v>
      </c>
      <c r="B1239" s="138">
        <f>'Expenditures 15-22'!E127</f>
        <v>145630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145630</v>
      </c>
      <c r="C1241" s="2" t="s">
        <v>573</v>
      </c>
      <c r="D1241" s="2" t="str">
        <f t="shared" si="18"/>
        <v>Error?</v>
      </c>
    </row>
    <row r="1242" spans="1:4" x14ac:dyDescent="0.2">
      <c r="A1242" s="5">
        <v>1181</v>
      </c>
      <c r="B1242" s="138">
        <f>'Expenditures 15-22'!E151</f>
        <v>145630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317523</v>
      </c>
      <c r="D1245" s="2" t="str">
        <f t="shared" si="18"/>
        <v>Error?</v>
      </c>
    </row>
    <row r="1246" spans="1:4" x14ac:dyDescent="0.2">
      <c r="A1246" s="10">
        <v>1185</v>
      </c>
      <c r="D1246" s="2" t="str">
        <f t="shared" si="18"/>
        <v>OK</v>
      </c>
    </row>
    <row r="1247" spans="1:4" x14ac:dyDescent="0.2">
      <c r="A1247" s="5">
        <v>1186</v>
      </c>
      <c r="B1247" s="138">
        <f>'Expenditures 15-22'!F127</f>
        <v>317523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317523</v>
      </c>
      <c r="C1249" s="2" t="s">
        <v>573</v>
      </c>
      <c r="D1249" s="2" t="str">
        <f t="shared" si="18"/>
        <v>Error?</v>
      </c>
    </row>
    <row r="1250" spans="1:4" x14ac:dyDescent="0.2">
      <c r="A1250" s="5">
        <v>1189</v>
      </c>
      <c r="B1250" s="138">
        <f>'Expenditures 15-22'!F151</f>
        <v>317523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8514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8514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8514</v>
      </c>
      <c r="C1258" s="2" t="s">
        <v>573</v>
      </c>
      <c r="D1258" s="2" t="str">
        <f t="shared" si="18"/>
        <v>Error?</v>
      </c>
    </row>
    <row r="1259" spans="1:4" x14ac:dyDescent="0.2">
      <c r="A1259" s="5">
        <v>1198</v>
      </c>
      <c r="B1259" s="138">
        <f>'Expenditures 15-22'!G151</f>
        <v>8514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761769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761769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761769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761769</v>
      </c>
      <c r="C1288" s="2" t="s">
        <v>573</v>
      </c>
      <c r="D1288" s="2" t="str">
        <f t="shared" si="19"/>
        <v>Error?</v>
      </c>
    </row>
    <row r="1289" spans="1:4" x14ac:dyDescent="0.2">
      <c r="A1289" s="5">
        <v>1228</v>
      </c>
      <c r="B1289" s="138">
        <f>'Expenditures 15-22'!K152</f>
        <v>-122134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104112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412000</v>
      </c>
      <c r="D1315" s="2" t="str">
        <f t="shared" si="19"/>
        <v>Error?</v>
      </c>
    </row>
    <row r="1316" spans="1:4" x14ac:dyDescent="0.2">
      <c r="A1316" s="5">
        <v>1255</v>
      </c>
      <c r="B1316" s="138">
        <f>'Expenditures 15-22'!H171</f>
        <v>424</v>
      </c>
      <c r="D1316" s="2" t="str">
        <f t="shared" si="19"/>
        <v>Error?</v>
      </c>
    </row>
    <row r="1317" spans="1:4" x14ac:dyDescent="0.2">
      <c r="A1317" s="5">
        <v>1256</v>
      </c>
      <c r="B1317" s="138">
        <f>'Expenditures 15-22'!H172</f>
        <v>516536</v>
      </c>
      <c r="C1317" s="2" t="s">
        <v>573</v>
      </c>
      <c r="D1317" s="2" t="str">
        <f t="shared" si="19"/>
        <v>Error?</v>
      </c>
    </row>
    <row r="1318" spans="1:4" x14ac:dyDescent="0.2">
      <c r="A1318" s="5">
        <v>1257</v>
      </c>
      <c r="B1318" s="138">
        <f>'Expenditures 15-22'!H174</f>
        <v>516536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104112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412000</v>
      </c>
      <c r="C1329" s="2" t="s">
        <v>573</v>
      </c>
      <c r="D1329" s="2" t="str">
        <f t="shared" si="19"/>
        <v>Error?</v>
      </c>
    </row>
    <row r="1330" spans="1:4" x14ac:dyDescent="0.2">
      <c r="A1330" s="5">
        <v>1269</v>
      </c>
      <c r="B1330" s="138">
        <f>'Expenditures 15-22'!K171</f>
        <v>424</v>
      </c>
      <c r="C1330" s="2" t="s">
        <v>573</v>
      </c>
      <c r="D1330" s="2" t="str">
        <f t="shared" si="19"/>
        <v>Error?</v>
      </c>
    </row>
    <row r="1331" spans="1:4" x14ac:dyDescent="0.2">
      <c r="A1331" s="5">
        <v>1270</v>
      </c>
      <c r="B1331" s="138">
        <f>'Expenditures 15-22'!K172</f>
        <v>516536</v>
      </c>
      <c r="C1331" s="2" t="s">
        <v>573</v>
      </c>
      <c r="D1331" s="2" t="str">
        <f t="shared" si="19"/>
        <v>Error?</v>
      </c>
    </row>
    <row r="1332" spans="1:4" x14ac:dyDescent="0.2">
      <c r="A1332" s="5">
        <v>1271</v>
      </c>
      <c r="B1332" s="138">
        <f>'Expenditures 15-22'!K174</f>
        <v>516536</v>
      </c>
      <c r="C1332" s="2" t="s">
        <v>573</v>
      </c>
      <c r="D1332" s="2" t="str">
        <f t="shared" si="19"/>
        <v>Error?</v>
      </c>
    </row>
    <row r="1333" spans="1:4" x14ac:dyDescent="0.2">
      <c r="A1333" s="5">
        <v>1272</v>
      </c>
      <c r="B1333" s="138">
        <f>'Expenditures 15-22'!K175</f>
        <v>-397548</v>
      </c>
      <c r="C1333" s="2" t="s">
        <v>573</v>
      </c>
      <c r="D1333" s="2" t="str">
        <f t="shared" si="19"/>
        <v>Error?</v>
      </c>
    </row>
    <row r="1334" spans="1:4" x14ac:dyDescent="0.2">
      <c r="A1334" s="10">
        <v>1273</v>
      </c>
      <c r="D1334" s="2" t="str">
        <f t="shared" si="19"/>
        <v>OK</v>
      </c>
    </row>
    <row r="1335" spans="1:4" x14ac:dyDescent="0.2">
      <c r="A1335" s="5">
        <v>1274</v>
      </c>
      <c r="B1335" s="138">
        <f>'Expenditures 15-22'!C182</f>
        <v>247812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247812</v>
      </c>
      <c r="C1339" s="2" t="s">
        <v>573</v>
      </c>
      <c r="D1339" s="2" t="str">
        <f t="shared" si="19"/>
        <v>Error?</v>
      </c>
    </row>
    <row r="1340" spans="1:4" x14ac:dyDescent="0.2">
      <c r="A1340" s="5">
        <v>1279</v>
      </c>
      <c r="B1340" s="138">
        <f>'Expenditures 15-22'!C210</f>
        <v>247812</v>
      </c>
      <c r="C1340" s="2" t="s">
        <v>573</v>
      </c>
      <c r="D1340" s="2" t="str">
        <f t="shared" si="19"/>
        <v>Error?</v>
      </c>
    </row>
    <row r="1341" spans="1:4" x14ac:dyDescent="0.2">
      <c r="A1341" s="5">
        <v>1280</v>
      </c>
      <c r="B1341" s="138">
        <f>'Expenditures 15-22'!D182</f>
        <v>586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586</v>
      </c>
      <c r="C1345" s="2" t="s">
        <v>573</v>
      </c>
      <c r="D1345" s="2" t="str">
        <f t="shared" si="20"/>
        <v>Error?</v>
      </c>
    </row>
    <row r="1346" spans="1:4" x14ac:dyDescent="0.2">
      <c r="A1346" s="5">
        <v>1285</v>
      </c>
      <c r="B1346" s="138">
        <f>'Expenditures 15-22'!D210</f>
        <v>586</v>
      </c>
      <c r="C1346" s="2" t="s">
        <v>573</v>
      </c>
      <c r="D1346" s="2" t="str">
        <f t="shared" si="20"/>
        <v>Error?</v>
      </c>
    </row>
    <row r="1347" spans="1:4" x14ac:dyDescent="0.2">
      <c r="A1347" s="5">
        <v>1286</v>
      </c>
      <c r="B1347" s="138">
        <f>'Expenditures 15-22'!E182</f>
        <v>118321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118321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118321</v>
      </c>
      <c r="C1353" s="2" t="s">
        <v>573</v>
      </c>
      <c r="D1353" s="2" t="str">
        <f t="shared" si="20"/>
        <v>Error?</v>
      </c>
    </row>
    <row r="1354" spans="1:4" x14ac:dyDescent="0.2">
      <c r="A1354" s="5">
        <v>1293</v>
      </c>
      <c r="B1354" s="138">
        <f>'Expenditures 15-22'!F182</f>
        <v>67346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67346</v>
      </c>
      <c r="C1358" s="2" t="s">
        <v>573</v>
      </c>
      <c r="D1358" s="2" t="str">
        <f t="shared" si="20"/>
        <v>Error?</v>
      </c>
    </row>
    <row r="1359" spans="1:4" x14ac:dyDescent="0.2">
      <c r="A1359" s="5">
        <v>1298</v>
      </c>
      <c r="B1359" s="138">
        <f>'Expenditures 15-22'!F210</f>
        <v>67346</v>
      </c>
      <c r="C1359" s="2" t="s">
        <v>573</v>
      </c>
      <c r="D1359" s="2" t="str">
        <f t="shared" si="20"/>
        <v>Error?</v>
      </c>
    </row>
    <row r="1360" spans="1:4" x14ac:dyDescent="0.2">
      <c r="A1360" s="5">
        <v>1299</v>
      </c>
      <c r="B1360" s="138">
        <f>'Expenditures 15-22'!G182</f>
        <v>20003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20003</v>
      </c>
      <c r="C1364" s="2" t="s">
        <v>573</v>
      </c>
      <c r="D1364" s="2" t="str">
        <f t="shared" si="20"/>
        <v>Error?</v>
      </c>
    </row>
    <row r="1365" spans="1:4" x14ac:dyDescent="0.2">
      <c r="A1365" s="5">
        <v>1304</v>
      </c>
      <c r="B1365" s="138">
        <f>'Expenditures 15-22'!G210</f>
        <v>20003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456948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456948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456948</v>
      </c>
      <c r="C1388" s="2" t="s">
        <v>573</v>
      </c>
      <c r="D1388" s="2" t="str">
        <f t="shared" si="20"/>
        <v>Error?</v>
      </c>
    </row>
    <row r="1389" spans="1:4" x14ac:dyDescent="0.2">
      <c r="A1389" s="5">
        <v>1328</v>
      </c>
      <c r="B1389" s="138">
        <f>'Expenditures 15-22'!K211</f>
        <v>-25702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5263</v>
      </c>
      <c r="D1407" s="2" t="str">
        <f t="shared" ref="D1407:D1470" si="21">IF(ISBLANK(B1407),"OK",IF(A1407-B1407=0,"OK","Error?"))</f>
        <v>Error?</v>
      </c>
    </row>
    <row r="1408" spans="1:4" x14ac:dyDescent="0.2">
      <c r="A1408" s="5">
        <v>1347</v>
      </c>
      <c r="B1408" s="138">
        <f>'Expenditures 15-22'!D223</f>
        <v>9522</v>
      </c>
      <c r="D1408" s="2" t="str">
        <f t="shared" si="21"/>
        <v>Error?</v>
      </c>
    </row>
    <row r="1409" spans="1:4" x14ac:dyDescent="0.2">
      <c r="A1409" s="5">
        <v>1348</v>
      </c>
      <c r="B1409" s="138">
        <f>'Expenditures 15-22'!D224</f>
        <v>592</v>
      </c>
      <c r="D1409" s="2" t="str">
        <f t="shared" si="21"/>
        <v>Error?</v>
      </c>
    </row>
    <row r="1410" spans="1:4" x14ac:dyDescent="0.2">
      <c r="A1410" s="5">
        <v>1349</v>
      </c>
      <c r="B1410" s="138">
        <f>'Expenditures 15-22'!D229</f>
        <v>124972</v>
      </c>
      <c r="C1410" s="2" t="s">
        <v>573</v>
      </c>
      <c r="D1410" s="2" t="str">
        <f t="shared" si="21"/>
        <v>Error?</v>
      </c>
    </row>
    <row r="1411" spans="1:4" x14ac:dyDescent="0.2">
      <c r="A1411" s="5">
        <v>1350</v>
      </c>
      <c r="B1411" s="138">
        <f>'Expenditures 15-22'!D232</f>
        <v>1424</v>
      </c>
      <c r="D1411" s="2" t="str">
        <f t="shared" si="21"/>
        <v>Error?</v>
      </c>
    </row>
    <row r="1412" spans="1:4" x14ac:dyDescent="0.2">
      <c r="A1412" s="5">
        <v>1351</v>
      </c>
      <c r="B1412" s="138">
        <f>'Expenditures 15-22'!D233</f>
        <v>15213</v>
      </c>
      <c r="D1412" s="2" t="str">
        <f t="shared" si="21"/>
        <v>Error?</v>
      </c>
    </row>
    <row r="1413" spans="1:4" x14ac:dyDescent="0.2">
      <c r="A1413" s="5">
        <v>1352</v>
      </c>
      <c r="B1413" s="138">
        <f>'Expenditures 15-22'!D234</f>
        <v>11435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28072</v>
      </c>
      <c r="C1417" s="2" t="s">
        <v>573</v>
      </c>
      <c r="D1417" s="2" t="str">
        <f t="shared" si="21"/>
        <v>Error?</v>
      </c>
    </row>
    <row r="1418" spans="1:4" x14ac:dyDescent="0.2">
      <c r="A1418" s="5">
        <v>1357</v>
      </c>
      <c r="B1418" s="138">
        <f>'Expenditures 15-22'!D240</f>
        <v>267</v>
      </c>
      <c r="D1418" s="2" t="str">
        <f t="shared" si="21"/>
        <v>Error?</v>
      </c>
    </row>
    <row r="1419" spans="1:4" x14ac:dyDescent="0.2">
      <c r="A1419" s="5">
        <v>1358</v>
      </c>
      <c r="B1419" s="138">
        <f>'Expenditures 15-22'!D241</f>
        <v>709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976</v>
      </c>
      <c r="C1421" s="2" t="s">
        <v>573</v>
      </c>
      <c r="D1421" s="2" t="str">
        <f t="shared" si="21"/>
        <v>Error?</v>
      </c>
    </row>
    <row r="1422" spans="1:4" x14ac:dyDescent="0.2">
      <c r="A1422" s="5">
        <v>1361</v>
      </c>
      <c r="B1422" s="138">
        <f>'Expenditures 15-22'!D245</f>
        <v>862</v>
      </c>
      <c r="D1422" s="2" t="str">
        <f t="shared" si="21"/>
        <v>Error?</v>
      </c>
    </row>
    <row r="1423" spans="1:4" x14ac:dyDescent="0.2">
      <c r="A1423" s="5">
        <v>1362</v>
      </c>
      <c r="B1423" s="138">
        <f>'Expenditures 15-22'!D246</f>
        <v>2230</v>
      </c>
      <c r="D1423" s="2" t="str">
        <f t="shared" si="21"/>
        <v>Error?</v>
      </c>
    </row>
    <row r="1424" spans="1:4" x14ac:dyDescent="0.2">
      <c r="A1424" s="5">
        <v>1363</v>
      </c>
      <c r="B1424" s="138">
        <f>'Expenditures 15-22'!D257</f>
        <v>3092</v>
      </c>
      <c r="C1424" s="2" t="s">
        <v>573</v>
      </c>
      <c r="D1424" s="2" t="str">
        <f t="shared" si="21"/>
        <v>Error?</v>
      </c>
    </row>
    <row r="1425" spans="1:4" x14ac:dyDescent="0.2">
      <c r="A1425" s="5">
        <v>1364</v>
      </c>
      <c r="B1425" s="138">
        <f>'Expenditures 15-22'!D259</f>
        <v>39646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39646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21988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43736</v>
      </c>
      <c r="D1431" s="2" t="str">
        <f t="shared" si="21"/>
        <v>Error?</v>
      </c>
    </row>
    <row r="1432" spans="1:4" x14ac:dyDescent="0.2">
      <c r="A1432" s="5">
        <v>1371</v>
      </c>
      <c r="B1432" s="138">
        <f>'Expenditures 15-22'!D267</f>
        <v>44147</v>
      </c>
      <c r="D1432" s="2" t="str">
        <f t="shared" si="21"/>
        <v>Error?</v>
      </c>
    </row>
    <row r="1433" spans="1:4" x14ac:dyDescent="0.2">
      <c r="A1433" s="5">
        <v>1372</v>
      </c>
      <c r="B1433" s="138">
        <f>'Expenditures 15-22'!D268</f>
        <v>20188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130059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201845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326817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5263</v>
      </c>
      <c r="C1471" s="2" t="s">
        <v>573</v>
      </c>
      <c r="D1471" s="2" t="str">
        <f t="shared" ref="D1471:D1534" si="22">IF(ISBLANK(B1471),"OK",IF(A1471-B1471=0,"OK","Error?"))</f>
        <v>Error?</v>
      </c>
    </row>
    <row r="1472" spans="1:4" x14ac:dyDescent="0.2">
      <c r="A1472" s="5">
        <v>1411</v>
      </c>
      <c r="B1472" s="138">
        <f>'Expenditures 15-22'!K223</f>
        <v>9522</v>
      </c>
      <c r="C1472" s="2" t="s">
        <v>573</v>
      </c>
      <c r="D1472" s="2" t="str">
        <f t="shared" si="22"/>
        <v>Error?</v>
      </c>
    </row>
    <row r="1473" spans="1:4" x14ac:dyDescent="0.2">
      <c r="A1473" s="5">
        <v>1412</v>
      </c>
      <c r="B1473" s="138">
        <f>'Expenditures 15-22'!K224</f>
        <v>592</v>
      </c>
      <c r="C1473" s="2" t="s">
        <v>573</v>
      </c>
      <c r="D1473" s="2" t="str">
        <f t="shared" si="22"/>
        <v>Error?</v>
      </c>
    </row>
    <row r="1474" spans="1:4" x14ac:dyDescent="0.2">
      <c r="A1474" s="5">
        <v>1413</v>
      </c>
      <c r="B1474" s="138">
        <f>'Expenditures 15-22'!K229</f>
        <v>124972</v>
      </c>
      <c r="C1474" s="2" t="s">
        <v>573</v>
      </c>
      <c r="D1474" s="2" t="str">
        <f t="shared" si="22"/>
        <v>Error?</v>
      </c>
    </row>
    <row r="1475" spans="1:4" x14ac:dyDescent="0.2">
      <c r="A1475" s="5">
        <v>1414</v>
      </c>
      <c r="B1475" s="138">
        <f>'Expenditures 15-22'!K232</f>
        <v>1424</v>
      </c>
      <c r="C1475" s="2" t="s">
        <v>573</v>
      </c>
      <c r="D1475" s="2" t="str">
        <f t="shared" si="22"/>
        <v>Error?</v>
      </c>
    </row>
    <row r="1476" spans="1:4" x14ac:dyDescent="0.2">
      <c r="A1476" s="5">
        <v>1415</v>
      </c>
      <c r="B1476" s="138">
        <f>'Expenditures 15-22'!K233</f>
        <v>15213</v>
      </c>
      <c r="C1476" s="2" t="s">
        <v>573</v>
      </c>
      <c r="D1476" s="2" t="str">
        <f t="shared" si="22"/>
        <v>Error?</v>
      </c>
    </row>
    <row r="1477" spans="1:4" x14ac:dyDescent="0.2">
      <c r="A1477" s="5">
        <v>1416</v>
      </c>
      <c r="B1477" s="138">
        <f>'Expenditures 15-22'!K234</f>
        <v>11435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28072</v>
      </c>
      <c r="C1481" s="2" t="s">
        <v>573</v>
      </c>
      <c r="D1481" s="2" t="str">
        <f t="shared" si="22"/>
        <v>Error?</v>
      </c>
    </row>
    <row r="1482" spans="1:4" x14ac:dyDescent="0.2">
      <c r="A1482" s="5">
        <v>1421</v>
      </c>
      <c r="B1482" s="138">
        <f>'Expenditures 15-22'!K240</f>
        <v>267</v>
      </c>
      <c r="C1482" s="2" t="s">
        <v>573</v>
      </c>
      <c r="D1482" s="2" t="str">
        <f t="shared" si="22"/>
        <v>Error?</v>
      </c>
    </row>
    <row r="1483" spans="1:4" x14ac:dyDescent="0.2">
      <c r="A1483" s="5">
        <v>1422</v>
      </c>
      <c r="B1483" s="138">
        <f>'Expenditures 15-22'!K241</f>
        <v>709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976</v>
      </c>
      <c r="C1485" s="2" t="s">
        <v>573</v>
      </c>
      <c r="D1485" s="2" t="str">
        <f t="shared" si="22"/>
        <v>Error?</v>
      </c>
    </row>
    <row r="1486" spans="1:4" x14ac:dyDescent="0.2">
      <c r="A1486" s="5">
        <v>1425</v>
      </c>
      <c r="B1486" s="138">
        <f>'Expenditures 15-22'!K245</f>
        <v>862</v>
      </c>
      <c r="C1486" s="2" t="s">
        <v>573</v>
      </c>
      <c r="D1486" s="2" t="str">
        <f t="shared" si="22"/>
        <v>Error?</v>
      </c>
    </row>
    <row r="1487" spans="1:4" x14ac:dyDescent="0.2">
      <c r="A1487" s="5">
        <v>1426</v>
      </c>
      <c r="B1487" s="138">
        <f>'Expenditures 15-22'!K246</f>
        <v>2230</v>
      </c>
      <c r="C1487" s="2" t="s">
        <v>573</v>
      </c>
      <c r="D1487" s="2" t="str">
        <f t="shared" si="22"/>
        <v>Error?</v>
      </c>
    </row>
    <row r="1488" spans="1:4" x14ac:dyDescent="0.2">
      <c r="A1488" s="5">
        <v>1427</v>
      </c>
      <c r="B1488" s="138">
        <f>'Expenditures 15-22'!K257</f>
        <v>3092</v>
      </c>
      <c r="C1488" s="2" t="s">
        <v>573</v>
      </c>
      <c r="D1488" s="2" t="str">
        <f t="shared" si="22"/>
        <v>Error?</v>
      </c>
    </row>
    <row r="1489" spans="1:4" x14ac:dyDescent="0.2">
      <c r="A1489" s="5">
        <v>1428</v>
      </c>
      <c r="B1489" s="138">
        <f>'Expenditures 15-22'!K259</f>
        <v>39646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39646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21988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43736</v>
      </c>
      <c r="C1495" s="2" t="s">
        <v>573</v>
      </c>
      <c r="D1495" s="2" t="str">
        <f t="shared" si="22"/>
        <v>Error?</v>
      </c>
    </row>
    <row r="1496" spans="1:4" x14ac:dyDescent="0.2">
      <c r="A1496" s="5">
        <v>1435</v>
      </c>
      <c r="B1496" s="138">
        <f>'Expenditures 15-22'!K267</f>
        <v>44147</v>
      </c>
      <c r="C1496" s="2" t="s">
        <v>573</v>
      </c>
      <c r="D1496" s="2" t="str">
        <f t="shared" si="22"/>
        <v>Error?</v>
      </c>
    </row>
    <row r="1497" spans="1:4" x14ac:dyDescent="0.2">
      <c r="A1497" s="5">
        <v>1436</v>
      </c>
      <c r="B1497" s="138">
        <f>'Expenditures 15-22'!K268</f>
        <v>20188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130059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201845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326817</v>
      </c>
      <c r="C1517" s="2" t="s">
        <v>573</v>
      </c>
      <c r="D1517" s="2" t="str">
        <f t="shared" si="22"/>
        <v>Error?</v>
      </c>
    </row>
    <row r="1518" spans="1:4" x14ac:dyDescent="0.2">
      <c r="A1518" s="5">
        <v>1457</v>
      </c>
      <c r="B1518" s="138">
        <f>'Expenditures 15-22'!K296</f>
        <v>-17656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82277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82277</v>
      </c>
      <c r="C1535" s="2" t="s">
        <v>573</v>
      </c>
      <c r="D1535" s="2" t="str">
        <f t="shared" ref="D1535:D1598" si="23">IF(ISBLANK(B1535),"OK",IF(A1535-B1535=0,"OK","Error?"))</f>
        <v>Error?</v>
      </c>
    </row>
    <row r="1536" spans="1:4" x14ac:dyDescent="0.2">
      <c r="A1536" s="5">
        <v>1475</v>
      </c>
      <c r="B1536" s="138">
        <f>'Expenditures 15-22'!E312</f>
        <v>82277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294202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294202</v>
      </c>
      <c r="C1547" s="2" t="s">
        <v>573</v>
      </c>
      <c r="D1547" s="2" t="str">
        <f t="shared" si="23"/>
        <v>Error?</v>
      </c>
    </row>
    <row r="1548" spans="1:4" x14ac:dyDescent="0.2">
      <c r="A1548" s="5">
        <v>1487</v>
      </c>
      <c r="B1548" s="138">
        <f>'Expenditures 15-22'!G312</f>
        <v>294202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376479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376479</v>
      </c>
      <c r="C1559" s="2" t="s">
        <v>573</v>
      </c>
      <c r="D1559" s="2" t="str">
        <f t="shared" si="23"/>
        <v>Error?</v>
      </c>
    </row>
    <row r="1560" spans="1:4" x14ac:dyDescent="0.2">
      <c r="A1560" s="5">
        <v>1499</v>
      </c>
      <c r="B1560" s="138">
        <f>'Expenditures 15-22'!K312</f>
        <v>376479</v>
      </c>
      <c r="C1560" s="2" t="s">
        <v>573</v>
      </c>
      <c r="D1560" s="2" t="str">
        <f t="shared" si="23"/>
        <v>Error?</v>
      </c>
    </row>
    <row r="1561" spans="1:4" x14ac:dyDescent="0.2">
      <c r="A1561" s="5">
        <v>1500</v>
      </c>
      <c r="B1561" s="138">
        <f>'Expenditures 15-22'!K313</f>
        <v>120609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7480044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7142591</v>
      </c>
      <c r="C1630" s="2" t="s">
        <v>573</v>
      </c>
      <c r="D1630" s="2" t="str">
        <f t="shared" si="24"/>
        <v>Error?</v>
      </c>
    </row>
    <row r="1631" spans="1:4" x14ac:dyDescent="0.2">
      <c r="A1631" s="5">
        <v>1570</v>
      </c>
      <c r="B1631" s="138">
        <f>'Acct Summary 7-8'!D79</f>
        <v>1179678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1057544</v>
      </c>
      <c r="C1644" s="2" t="s">
        <v>573</v>
      </c>
      <c r="D1644" s="2" t="str">
        <f t="shared" si="24"/>
        <v>Error?</v>
      </c>
    </row>
    <row r="1645" spans="1:4" x14ac:dyDescent="0.2">
      <c r="A1645" s="5">
        <v>1584</v>
      </c>
      <c r="B1645" s="138">
        <f>'Acct Summary 7-8'!E79</f>
        <v>438906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14491</v>
      </c>
      <c r="C1658" s="2" t="s">
        <v>573</v>
      </c>
      <c r="D1658" s="2" t="str">
        <f t="shared" si="24"/>
        <v>Error?</v>
      </c>
    </row>
    <row r="1659" spans="1:4" x14ac:dyDescent="0.2">
      <c r="A1659" s="5">
        <v>1598</v>
      </c>
      <c r="B1659" s="138">
        <f>'Acct Summary 7-8'!F79</f>
        <v>417599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391897</v>
      </c>
      <c r="C1672" s="2" t="s">
        <v>573</v>
      </c>
      <c r="D1672" s="2" t="str">
        <f t="shared" si="25"/>
        <v>Error?</v>
      </c>
    </row>
    <row r="1673" spans="1:4" x14ac:dyDescent="0.2">
      <c r="A1673" s="5">
        <v>1612</v>
      </c>
      <c r="B1673" s="138">
        <f>'Acct Summary 7-8'!G79</f>
        <v>412849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395193</v>
      </c>
      <c r="C1686" s="2" t="s">
        <v>573</v>
      </c>
      <c r="D1686" s="2" t="str">
        <f t="shared" si="25"/>
        <v>Error?</v>
      </c>
    </row>
    <row r="1687" spans="1:4" x14ac:dyDescent="0.2">
      <c r="A1687" s="5">
        <v>1626</v>
      </c>
      <c r="B1687" s="138">
        <f>'Acct Summary 7-8'!H79</f>
        <v>793695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914304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2502619</v>
      </c>
      <c r="C1744" s="2" t="s">
        <v>573</v>
      </c>
      <c r="D1744" s="2" t="str">
        <f t="shared" si="26"/>
        <v>Error?</v>
      </c>
    </row>
    <row r="1745" spans="1:5" x14ac:dyDescent="0.2">
      <c r="A1745" s="5">
        <v>1684</v>
      </c>
      <c r="B1745" s="138">
        <f>'Tax Sched 23'!B5</f>
        <v>390054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175669</v>
      </c>
      <c r="C1747" s="2" t="s">
        <v>573</v>
      </c>
      <c r="D1747" s="2" t="str">
        <f t="shared" si="26"/>
        <v>Error?</v>
      </c>
    </row>
    <row r="1748" spans="1:5" x14ac:dyDescent="0.2">
      <c r="A1748" s="5">
        <v>1687</v>
      </c>
      <c r="B1748" s="138">
        <f>'Tax Sched 23'!B8</f>
        <v>100381</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79342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58545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3358048</v>
      </c>
      <c r="C1759" s="2" t="s">
        <v>573</v>
      </c>
      <c r="D1759" s="2" t="str">
        <f t="shared" si="26"/>
        <v>Error?</v>
      </c>
    </row>
    <row r="1760" spans="1:5" x14ac:dyDescent="0.2">
      <c r="A1760" s="5">
        <v>1699</v>
      </c>
      <c r="B1760" s="138">
        <f>'Tax Sched 23'!D4</f>
        <v>1813403</v>
      </c>
      <c r="C1760" s="2" t="s">
        <v>573</v>
      </c>
      <c r="D1760" s="2" t="str">
        <f t="shared" si="26"/>
        <v>Error?</v>
      </c>
    </row>
    <row r="1761" spans="1:5" x14ac:dyDescent="0.2">
      <c r="A1761" s="5">
        <v>1700</v>
      </c>
      <c r="B1761" s="138">
        <f>'Tax Sched 23'!D5</f>
        <v>277569</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124979</v>
      </c>
      <c r="C1763" s="2" t="s">
        <v>573</v>
      </c>
      <c r="D1763" s="2" t="str">
        <f t="shared" si="26"/>
        <v>Error?</v>
      </c>
    </row>
    <row r="1764" spans="1:5" x14ac:dyDescent="0.2">
      <c r="A1764" s="5">
        <v>1703</v>
      </c>
      <c r="B1764" s="138">
        <f>'Tax Sched 23'!D8</f>
        <v>71451</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56434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41660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2422069</v>
      </c>
      <c r="C1775" s="2" t="s">
        <v>573</v>
      </c>
      <c r="D1775" s="2" t="str">
        <f t="shared" si="26"/>
        <v>Error?</v>
      </c>
    </row>
    <row r="1776" spans="1:5" x14ac:dyDescent="0.2">
      <c r="A1776" s="5">
        <v>1715</v>
      </c>
      <c r="B1776" s="138">
        <f>'Tax Sched 23'!C4</f>
        <v>689216</v>
      </c>
      <c r="D1776" s="2" t="str">
        <f t="shared" si="26"/>
        <v>Error?</v>
      </c>
    </row>
    <row r="1777" spans="1:4" x14ac:dyDescent="0.2">
      <c r="A1777" s="5">
        <v>1716</v>
      </c>
      <c r="B1777" s="138">
        <f>'Tax Sched 23'!C5</f>
        <v>112485</v>
      </c>
      <c r="D1777" s="2" t="str">
        <f t="shared" si="26"/>
        <v>Error?</v>
      </c>
    </row>
    <row r="1778" spans="1:4" x14ac:dyDescent="0.2">
      <c r="A1778" s="5">
        <v>1717</v>
      </c>
      <c r="B1778" s="138">
        <f>'Tax Sched 23'!C6</f>
        <v>0</v>
      </c>
      <c r="D1778" s="2" t="str">
        <f t="shared" si="26"/>
        <v>Error?</v>
      </c>
    </row>
    <row r="1779" spans="1:4" x14ac:dyDescent="0.2">
      <c r="A1779" s="5">
        <v>1718</v>
      </c>
      <c r="B1779" s="138">
        <f>'Tax Sched 23'!C7</f>
        <v>50690</v>
      </c>
      <c r="D1779" s="2" t="str">
        <f t="shared" si="26"/>
        <v>Error?</v>
      </c>
    </row>
    <row r="1780" spans="1:4" x14ac:dyDescent="0.2">
      <c r="A1780" s="5">
        <v>1719</v>
      </c>
      <c r="B1780" s="138">
        <f>'Tax Sched 23'!C8</f>
        <v>28930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22908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16885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935979</v>
      </c>
      <c r="C1791" s="2" t="s">
        <v>573</v>
      </c>
      <c r="D1791" s="2" t="str">
        <f t="shared" ref="D1791:D1854" si="27">IF(ISBLANK(B1791),"OK",IF(A1791-B1791=0,"OK","Error?"))</f>
        <v>Error?</v>
      </c>
    </row>
    <row r="1792" spans="1:4" x14ac:dyDescent="0.2">
      <c r="A1792" s="5">
        <v>1731</v>
      </c>
      <c r="B1792" s="138">
        <f>'Tax Sched 23'!F4</f>
        <v>3083096</v>
      </c>
      <c r="C1792" s="2" t="s">
        <v>573</v>
      </c>
      <c r="D1792" s="2" t="str">
        <f t="shared" si="27"/>
        <v>Error?</v>
      </c>
    </row>
    <row r="1793" spans="1:4" x14ac:dyDescent="0.2">
      <c r="A1793" s="5">
        <v>1732</v>
      </c>
      <c r="B1793" s="138">
        <f>'Tax Sched 23'!F5</f>
        <v>503181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226750</v>
      </c>
      <c r="C1795" s="2" t="s">
        <v>573</v>
      </c>
      <c r="D1795" s="2" t="str">
        <f t="shared" si="27"/>
        <v>Error?</v>
      </c>
    </row>
    <row r="1796" spans="1:4" x14ac:dyDescent="0.2">
      <c r="A1796" s="5">
        <v>1735</v>
      </c>
      <c r="B1796" s="138">
        <f>'Tax Sched 23'!F8</f>
        <v>129417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102474</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75532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4186950</v>
      </c>
      <c r="C1807" s="2" t="s">
        <v>573</v>
      </c>
      <c r="D1807" s="2" t="str">
        <f t="shared" si="27"/>
        <v>Error?</v>
      </c>
    </row>
    <row r="1808" spans="1:4" x14ac:dyDescent="0.2">
      <c r="A1808" s="5">
        <v>1747</v>
      </c>
      <c r="B1808" s="138">
        <f>'Tax Sched 23'!E4</f>
        <v>3772312</v>
      </c>
      <c r="D1808" s="2" t="str">
        <f t="shared" si="27"/>
        <v>Error?</v>
      </c>
    </row>
    <row r="1809" spans="1:4" x14ac:dyDescent="0.2">
      <c r="A1809" s="5">
        <v>1748</v>
      </c>
      <c r="B1809" s="138">
        <f>'Tax Sched 23'!E5</f>
        <v>615666</v>
      </c>
      <c r="D1809" s="2" t="str">
        <f t="shared" si="27"/>
        <v>Error?</v>
      </c>
    </row>
    <row r="1810" spans="1:4" x14ac:dyDescent="0.2">
      <c r="A1810" s="5">
        <v>1749</v>
      </c>
      <c r="B1810" s="138">
        <f>'Tax Sched 23'!E6</f>
        <v>0</v>
      </c>
      <c r="D1810" s="2" t="str">
        <f t="shared" si="27"/>
        <v>Error?</v>
      </c>
    </row>
    <row r="1811" spans="1:4" x14ac:dyDescent="0.2">
      <c r="A1811" s="5">
        <v>1750</v>
      </c>
      <c r="B1811" s="138">
        <f>'Tax Sched 23'!E7</f>
        <v>277440</v>
      </c>
      <c r="D1811" s="2" t="str">
        <f t="shared" si="27"/>
        <v>Error?</v>
      </c>
    </row>
    <row r="1812" spans="1:4" x14ac:dyDescent="0.2">
      <c r="A1812" s="5">
        <v>1751</v>
      </c>
      <c r="B1812" s="138">
        <f>'Tax Sched 23'!E8</f>
        <v>158347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125382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92417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5122929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153725</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8513</v>
      </c>
      <c r="D1955" s="2" t="str">
        <f t="shared" si="29"/>
        <v>Error?</v>
      </c>
    </row>
    <row r="1956" spans="1:5" x14ac:dyDescent="0.2">
      <c r="A1956" s="10">
        <v>1895</v>
      </c>
      <c r="D1956" s="2" t="str">
        <f t="shared" si="29"/>
        <v>OK</v>
      </c>
    </row>
    <row r="1957" spans="1:5" x14ac:dyDescent="0.2">
      <c r="A1957" s="5">
        <v>1896</v>
      </c>
      <c r="B1957" s="138">
        <f>'Rest Tax Levies-Tort Im 25'!G23</f>
        <v>8513</v>
      </c>
      <c r="C1957" s="2" t="s">
        <v>573</v>
      </c>
      <c r="D1957" s="2" t="str">
        <f t="shared" si="29"/>
        <v>Error?</v>
      </c>
    </row>
    <row r="1958" spans="1:5" x14ac:dyDescent="0.2">
      <c r="A1958" s="5">
        <v>1897</v>
      </c>
      <c r="B1958" s="138">
        <f>'Rest Tax Levies-Tort Im 25'!G24</f>
        <v>145212</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58545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58545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58545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571049</v>
      </c>
      <c r="D2008" s="2" t="str">
        <f t="shared" si="30"/>
        <v>Error?</v>
      </c>
    </row>
    <row r="2009" spans="1:4" x14ac:dyDescent="0.2">
      <c r="A2009" s="5">
        <v>1948</v>
      </c>
      <c r="B2009" s="138">
        <f>'Cap Outlay Deprec 26'!C8</f>
        <v>18336468</v>
      </c>
      <c r="D2009" s="2" t="str">
        <f t="shared" si="30"/>
        <v>Error?</v>
      </c>
    </row>
    <row r="2010" spans="1:4" x14ac:dyDescent="0.2">
      <c r="A2010" s="5">
        <v>1949</v>
      </c>
      <c r="B2010" s="138">
        <f>'Cap Outlay Deprec 26'!C10</f>
        <v>1489961</v>
      </c>
      <c r="D2010" s="2" t="str">
        <f t="shared" si="30"/>
        <v>Error?</v>
      </c>
    </row>
    <row r="2011" spans="1:4" x14ac:dyDescent="0.2">
      <c r="A2011" s="5">
        <v>1950</v>
      </c>
      <c r="B2011" s="138">
        <f>'Cap Outlay Deprec 26'!C12</f>
        <v>2764117</v>
      </c>
      <c r="D2011" s="2" t="str">
        <f t="shared" si="30"/>
        <v>Error?</v>
      </c>
    </row>
    <row r="2012" spans="1:4" x14ac:dyDescent="0.2">
      <c r="A2012" s="5">
        <v>1951</v>
      </c>
      <c r="B2012" s="138">
        <f>'Cap Outlay Deprec 26'!C13</f>
        <v>780031</v>
      </c>
      <c r="D2012" s="2" t="str">
        <f t="shared" si="30"/>
        <v>Error?</v>
      </c>
    </row>
    <row r="2013" spans="1:4" x14ac:dyDescent="0.2">
      <c r="A2013" s="5">
        <v>1952</v>
      </c>
      <c r="B2013" s="138">
        <f>'Cap Outlay Deprec 26'!C16</f>
        <v>23941626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302716</v>
      </c>
      <c r="D2016" s="2" t="str">
        <f t="shared" si="30"/>
        <v>Error?</v>
      </c>
    </row>
    <row r="2017" spans="1:4" x14ac:dyDescent="0.2">
      <c r="A2017" s="5">
        <v>1956</v>
      </c>
      <c r="B2017" s="138">
        <f>'Cap Outlay Deprec 26'!D12</f>
        <v>80541</v>
      </c>
      <c r="D2017" s="2" t="str">
        <f t="shared" si="30"/>
        <v>Error?</v>
      </c>
    </row>
    <row r="2018" spans="1:4" x14ac:dyDescent="0.2">
      <c r="A2018" s="5">
        <v>1957</v>
      </c>
      <c r="B2018" s="138">
        <f>'Cap Outlay Deprec 26'!D13</f>
        <v>20003</v>
      </c>
      <c r="D2018" s="2" t="str">
        <f t="shared" si="30"/>
        <v>Error?</v>
      </c>
    </row>
    <row r="2019" spans="1:4" x14ac:dyDescent="0.2">
      <c r="A2019" s="5">
        <v>1958</v>
      </c>
      <c r="B2019" s="138">
        <f>'Cap Outlay Deprec 26'!D16</f>
        <v>403260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571049</v>
      </c>
      <c r="C2026" s="2" t="s">
        <v>573</v>
      </c>
      <c r="D2026" s="2" t="str">
        <f t="shared" si="30"/>
        <v>Error?</v>
      </c>
    </row>
    <row r="2027" spans="1:4" x14ac:dyDescent="0.2">
      <c r="A2027" s="5">
        <v>1966</v>
      </c>
      <c r="B2027" s="138">
        <f>'Cap Outlay Deprec 26'!F8</f>
        <v>18336468</v>
      </c>
      <c r="C2027" s="2" t="s">
        <v>573</v>
      </c>
      <c r="D2027" s="2" t="str">
        <f t="shared" si="30"/>
        <v>Error?</v>
      </c>
    </row>
    <row r="2028" spans="1:4" x14ac:dyDescent="0.2">
      <c r="A2028" s="5">
        <v>1967</v>
      </c>
      <c r="B2028" s="138">
        <f>'Cap Outlay Deprec 26'!F10</f>
        <v>1792677</v>
      </c>
      <c r="C2028" s="2" t="s">
        <v>573</v>
      </c>
      <c r="D2028" s="2" t="str">
        <f t="shared" si="30"/>
        <v>Error?</v>
      </c>
    </row>
    <row r="2029" spans="1:4" x14ac:dyDescent="0.2">
      <c r="A2029" s="5">
        <v>1968</v>
      </c>
      <c r="B2029" s="138">
        <f>'Cap Outlay Deprec 26'!F12</f>
        <v>2844658</v>
      </c>
      <c r="C2029" s="2" t="s">
        <v>573</v>
      </c>
      <c r="D2029" s="2" t="str">
        <f t="shared" si="30"/>
        <v>Error?</v>
      </c>
    </row>
    <row r="2030" spans="1:4" x14ac:dyDescent="0.2">
      <c r="A2030" s="5">
        <v>1969</v>
      </c>
      <c r="B2030" s="138">
        <f>'Cap Outlay Deprec 26'!F13</f>
        <v>800034</v>
      </c>
      <c r="C2030" s="2" t="s">
        <v>573</v>
      </c>
      <c r="D2030" s="2" t="str">
        <f t="shared" si="30"/>
        <v>Error?</v>
      </c>
    </row>
    <row r="2031" spans="1:4" x14ac:dyDescent="0.2">
      <c r="A2031" s="5">
        <v>1970</v>
      </c>
      <c r="B2031" s="138">
        <f>'Cap Outlay Deprec 26'!F16</f>
        <v>24344886</v>
      </c>
      <c r="C2031" s="2" t="s">
        <v>573</v>
      </c>
      <c r="D2031" s="2" t="str">
        <f t="shared" si="30"/>
        <v>Error?</v>
      </c>
    </row>
    <row r="2032" spans="1:4" x14ac:dyDescent="0.2">
      <c r="A2032" s="10">
        <v>1971</v>
      </c>
      <c r="D2032" s="2" t="str">
        <f t="shared" si="30"/>
        <v>OK</v>
      </c>
    </row>
    <row r="2033" spans="1:4" x14ac:dyDescent="0.2">
      <c r="A2033" s="5">
        <v>1972</v>
      </c>
      <c r="B2033" s="138">
        <f>'Cap Outlay Deprec 26'!H8</f>
        <v>6852570</v>
      </c>
      <c r="D2033" s="2" t="str">
        <f t="shared" si="30"/>
        <v>Error?</v>
      </c>
    </row>
    <row r="2034" spans="1:4" x14ac:dyDescent="0.2">
      <c r="A2034" s="5">
        <v>1973</v>
      </c>
      <c r="B2034" s="138">
        <f>'Cap Outlay Deprec 26'!H10</f>
        <v>642284</v>
      </c>
      <c r="D2034" s="2" t="str">
        <f t="shared" si="30"/>
        <v>Error?</v>
      </c>
    </row>
    <row r="2035" spans="1:4" x14ac:dyDescent="0.2">
      <c r="A2035" s="5">
        <v>1974</v>
      </c>
      <c r="B2035" s="138">
        <f>'Cap Outlay Deprec 26'!H12</f>
        <v>2052228</v>
      </c>
      <c r="D2035" s="2" t="str">
        <f t="shared" si="30"/>
        <v>Error?</v>
      </c>
    </row>
    <row r="2036" spans="1:4" x14ac:dyDescent="0.2">
      <c r="A2036" s="5">
        <v>1975</v>
      </c>
      <c r="B2036" s="138">
        <f>'Cap Outlay Deprec 26'!H13</f>
        <v>629254</v>
      </c>
      <c r="D2036" s="2" t="str">
        <f t="shared" si="30"/>
        <v>Error?</v>
      </c>
    </row>
    <row r="2037" spans="1:4" x14ac:dyDescent="0.2">
      <c r="A2037" s="5">
        <v>1976</v>
      </c>
      <c r="B2037" s="138">
        <f>'Cap Outlay Deprec 26'!H16</f>
        <v>10176336</v>
      </c>
      <c r="C2037" s="2" t="s">
        <v>573</v>
      </c>
      <c r="D2037" s="2" t="str">
        <f t="shared" si="30"/>
        <v>Error?</v>
      </c>
    </row>
    <row r="2038" spans="1:4" x14ac:dyDescent="0.2">
      <c r="A2038" s="10">
        <v>1977</v>
      </c>
      <c r="D2038" s="2" t="str">
        <f t="shared" si="30"/>
        <v>OK</v>
      </c>
    </row>
    <row r="2039" spans="1:4" x14ac:dyDescent="0.2">
      <c r="A2039" s="5">
        <v>1978</v>
      </c>
      <c r="B2039" s="138">
        <f>'Cap Outlay Deprec 26'!I8</f>
        <v>352945</v>
      </c>
      <c r="D2039" s="2" t="str">
        <f t="shared" si="30"/>
        <v>Error?</v>
      </c>
    </row>
    <row r="2040" spans="1:4" x14ac:dyDescent="0.2">
      <c r="A2040" s="5">
        <v>1979</v>
      </c>
      <c r="B2040" s="138">
        <f>'Cap Outlay Deprec 26'!I10</f>
        <v>87262</v>
      </c>
      <c r="D2040" s="2" t="str">
        <f t="shared" si="30"/>
        <v>Error?</v>
      </c>
    </row>
    <row r="2041" spans="1:4" x14ac:dyDescent="0.2">
      <c r="A2041" s="5">
        <v>1980</v>
      </c>
      <c r="B2041" s="138">
        <f>'Cap Outlay Deprec 26'!I12</f>
        <v>161408</v>
      </c>
      <c r="D2041" s="2" t="str">
        <f t="shared" si="30"/>
        <v>Error?</v>
      </c>
    </row>
    <row r="2042" spans="1:4" x14ac:dyDescent="0.2">
      <c r="A2042" s="5">
        <v>1981</v>
      </c>
      <c r="B2042" s="138">
        <f>'Cap Outlay Deprec 26'!I13</f>
        <v>90861</v>
      </c>
      <c r="D2042" s="2" t="str">
        <f t="shared" si="30"/>
        <v>Error?</v>
      </c>
    </row>
    <row r="2043" spans="1:4" x14ac:dyDescent="0.2">
      <c r="A2043" s="5">
        <v>1982</v>
      </c>
      <c r="B2043" s="138">
        <f>'Cap Outlay Deprec 26'!I16</f>
        <v>692476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7205515</v>
      </c>
      <c r="C2051" s="2" t="s">
        <v>573</v>
      </c>
      <c r="D2051" s="2" t="str">
        <f t="shared" si="31"/>
        <v>Error?</v>
      </c>
    </row>
    <row r="2052" spans="1:4" x14ac:dyDescent="0.2">
      <c r="A2052" s="5">
        <v>1991</v>
      </c>
      <c r="B2052" s="138">
        <f>'Cap Outlay Deprec 26'!K10</f>
        <v>729546</v>
      </c>
      <c r="C2052" s="2" t="s">
        <v>573</v>
      </c>
      <c r="D2052" s="2" t="str">
        <f t="shared" si="31"/>
        <v>Error?</v>
      </c>
    </row>
    <row r="2053" spans="1:4" x14ac:dyDescent="0.2">
      <c r="A2053" s="5">
        <v>1992</v>
      </c>
      <c r="B2053" s="138">
        <f>'Cap Outlay Deprec 26'!K12</f>
        <v>2213636</v>
      </c>
      <c r="C2053" s="2" t="s">
        <v>573</v>
      </c>
      <c r="D2053" s="2" t="str">
        <f t="shared" si="31"/>
        <v>Error?</v>
      </c>
    </row>
    <row r="2054" spans="1:4" x14ac:dyDescent="0.2">
      <c r="A2054" s="5">
        <v>1993</v>
      </c>
      <c r="B2054" s="138">
        <f>'Cap Outlay Deprec 26'!K13</f>
        <v>720115</v>
      </c>
      <c r="C2054" s="2" t="s">
        <v>573</v>
      </c>
      <c r="D2054" s="2" t="str">
        <f t="shared" si="31"/>
        <v>Error?</v>
      </c>
    </row>
    <row r="2055" spans="1:4" x14ac:dyDescent="0.2">
      <c r="A2055" s="5">
        <v>1994</v>
      </c>
      <c r="B2055" s="138">
        <f>'Cap Outlay Deprec 26'!K16</f>
        <v>10868812</v>
      </c>
      <c r="C2055" s="2" t="s">
        <v>573</v>
      </c>
      <c r="D2055" s="2" t="str">
        <f t="shared" si="31"/>
        <v>Error?</v>
      </c>
    </row>
    <row r="2056" spans="1:4" x14ac:dyDescent="0.2">
      <c r="A2056" s="5">
        <v>1995</v>
      </c>
      <c r="B2056" s="138">
        <f>'Cap Outlay Deprec 26'!L5</f>
        <v>571049</v>
      </c>
      <c r="C2056" s="2" t="s">
        <v>573</v>
      </c>
      <c r="D2056" s="2" t="str">
        <f t="shared" si="31"/>
        <v>Error?</v>
      </c>
    </row>
    <row r="2057" spans="1:4" x14ac:dyDescent="0.2">
      <c r="A2057" s="5">
        <v>1996</v>
      </c>
      <c r="B2057" s="138">
        <f>'Cap Outlay Deprec 26'!L8</f>
        <v>11130953</v>
      </c>
      <c r="C2057" s="2" t="s">
        <v>573</v>
      </c>
      <c r="D2057" s="2" t="str">
        <f t="shared" si="31"/>
        <v>Error?</v>
      </c>
    </row>
    <row r="2058" spans="1:4" x14ac:dyDescent="0.2">
      <c r="A2058" s="5">
        <v>1997</v>
      </c>
      <c r="B2058" s="138">
        <f>'Cap Outlay Deprec 26'!L10</f>
        <v>1063131</v>
      </c>
      <c r="C2058" s="2" t="s">
        <v>573</v>
      </c>
      <c r="D2058" s="2" t="str">
        <f t="shared" si="31"/>
        <v>Error?</v>
      </c>
    </row>
    <row r="2059" spans="1:4" x14ac:dyDescent="0.2">
      <c r="A2059" s="5">
        <v>1998</v>
      </c>
      <c r="B2059" s="138">
        <f>'Cap Outlay Deprec 26'!L12</f>
        <v>631022</v>
      </c>
      <c r="C2059" s="2" t="s">
        <v>573</v>
      </c>
      <c r="D2059" s="2" t="str">
        <f t="shared" si="31"/>
        <v>Error?</v>
      </c>
    </row>
    <row r="2060" spans="1:4" x14ac:dyDescent="0.2">
      <c r="A2060" s="5">
        <v>1999</v>
      </c>
      <c r="B2060" s="138">
        <f>'Cap Outlay Deprec 26'!L13</f>
        <v>79919</v>
      </c>
      <c r="C2060" s="2" t="s">
        <v>573</v>
      </c>
      <c r="D2060" s="2" t="str">
        <f t="shared" si="31"/>
        <v>Error?</v>
      </c>
    </row>
    <row r="2061" spans="1:4" x14ac:dyDescent="0.2">
      <c r="A2061" s="5">
        <v>2000</v>
      </c>
      <c r="B2061" s="138">
        <f>'Cap Outlay Deprec 26'!L16</f>
        <v>13476074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40300</v>
      </c>
      <c r="C2088" s="2" t="s">
        <v>573</v>
      </c>
      <c r="D2088" s="2" t="str">
        <f t="shared" si="31"/>
        <v>Error?</v>
      </c>
    </row>
    <row r="2089" spans="1:4" x14ac:dyDescent="0.2">
      <c r="A2089" s="5">
        <v>2028</v>
      </c>
      <c r="B2089" s="138">
        <f>'Expenditures 15-22'!K92</f>
        <v>971888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50000</v>
      </c>
      <c r="D2435" s="2" t="str">
        <f t="shared" si="37"/>
        <v>Error?</v>
      </c>
    </row>
    <row r="2436" spans="1:4" x14ac:dyDescent="0.2">
      <c r="A2436" s="10">
        <v>2375</v>
      </c>
      <c r="D2436" s="2" t="str">
        <f t="shared" si="37"/>
        <v>OK</v>
      </c>
    </row>
    <row r="2437" spans="1:4" x14ac:dyDescent="0.2">
      <c r="A2437" s="5">
        <v>2376</v>
      </c>
      <c r="B2437" s="138">
        <f>'Assets-Liab 5-6'!D38</f>
        <v>145212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395193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914304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3065242</v>
      </c>
      <c r="C2551" s="2" t="s">
        <v>573</v>
      </c>
      <c r="D2551" s="2" t="str">
        <f t="shared" si="38"/>
        <v>Error?</v>
      </c>
    </row>
    <row r="2552" spans="1:4" x14ac:dyDescent="0.2">
      <c r="A2552" s="10">
        <v>2491</v>
      </c>
      <c r="D2552" s="2" t="str">
        <f t="shared" si="38"/>
        <v>OK</v>
      </c>
    </row>
    <row r="2553" spans="1:4" x14ac:dyDescent="0.2">
      <c r="A2553" s="5">
        <v>2492</v>
      </c>
      <c r="B2553" s="138">
        <f>'Acct Summary 7-8'!C6</f>
        <v>4663290</v>
      </c>
      <c r="C2553" s="2" t="s">
        <v>573</v>
      </c>
      <c r="D2553" s="2" t="str">
        <f t="shared" si="38"/>
        <v>Error?</v>
      </c>
    </row>
    <row r="2554" spans="1:4" x14ac:dyDescent="0.2">
      <c r="A2554" s="5">
        <v>2493</v>
      </c>
      <c r="B2554" s="138">
        <f>'Acct Summary 7-8'!C7</f>
        <v>548761</v>
      </c>
      <c r="C2554" s="2" t="s">
        <v>573</v>
      </c>
      <c r="D2554" s="2" t="str">
        <f t="shared" si="38"/>
        <v>Error?</v>
      </c>
    </row>
    <row r="2555" spans="1:4" x14ac:dyDescent="0.2">
      <c r="A2555" s="5">
        <v>2494</v>
      </c>
      <c r="B2555" s="138">
        <f>'Acct Summary 7-8'!C8</f>
        <v>8277293</v>
      </c>
      <c r="C2555" s="2" t="s">
        <v>573</v>
      </c>
      <c r="D2555" s="2" t="str">
        <f t="shared" si="38"/>
        <v>Error?</v>
      </c>
    </row>
    <row r="2556" spans="1:4" x14ac:dyDescent="0.2">
      <c r="A2556" s="5">
        <v>2495</v>
      </c>
      <c r="B2556" s="138">
        <f>'Acct Summary 7-8'!C12</f>
        <v>5417445</v>
      </c>
      <c r="C2556" s="2" t="s">
        <v>573</v>
      </c>
      <c r="D2556" s="2" t="str">
        <f t="shared" si="38"/>
        <v>Error?</v>
      </c>
    </row>
    <row r="2557" spans="1:4" x14ac:dyDescent="0.2">
      <c r="A2557" s="5">
        <v>2496</v>
      </c>
      <c r="B2557" s="138">
        <f>'Acct Summary 7-8'!C13</f>
        <v>2185113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1012188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8614746</v>
      </c>
      <c r="C2561" s="2" t="s">
        <v>573</v>
      </c>
      <c r="D2561" s="2" t="str">
        <f t="shared" si="39"/>
        <v>Error?</v>
      </c>
    </row>
    <row r="2562" spans="1:4" x14ac:dyDescent="0.2">
      <c r="A2562" s="5">
        <v>2501</v>
      </c>
      <c r="B2562" s="138">
        <f>'Acct Summary 7-8'!C20</f>
        <v>-337453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409635</v>
      </c>
      <c r="C2564" s="2" t="s">
        <v>573</v>
      </c>
      <c r="D2564" s="2" t="str">
        <f t="shared" si="39"/>
        <v>Error?</v>
      </c>
    </row>
    <row r="2565" spans="1:4" x14ac:dyDescent="0.2">
      <c r="A2565" s="10">
        <v>2504</v>
      </c>
      <c r="D2565" s="2" t="str">
        <f t="shared" si="39"/>
        <v>OK</v>
      </c>
    </row>
    <row r="2566" spans="1:4" x14ac:dyDescent="0.2">
      <c r="A2566" s="5">
        <v>2505</v>
      </c>
      <c r="B2566" s="138">
        <f>'Acct Summary 7-8'!D6</f>
        <v>230000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639635</v>
      </c>
      <c r="C2568" s="2" t="s">
        <v>573</v>
      </c>
      <c r="D2568" s="2" t="str">
        <f t="shared" si="39"/>
        <v>Error?</v>
      </c>
    </row>
    <row r="2569" spans="1:4" x14ac:dyDescent="0.2">
      <c r="A2569" s="5">
        <v>2508</v>
      </c>
      <c r="B2569" s="138">
        <f>'Acct Summary 7-8'!D13</f>
        <v>761769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761769</v>
      </c>
      <c r="C2573" s="2" t="s">
        <v>573</v>
      </c>
      <c r="D2573" s="2" t="str">
        <f t="shared" si="39"/>
        <v>Error?</v>
      </c>
    </row>
    <row r="2574" spans="1:4" x14ac:dyDescent="0.2">
      <c r="A2574" s="5">
        <v>2513</v>
      </c>
      <c r="B2574" s="138">
        <f>'Acct Summary 7-8'!D20</f>
        <v>-122134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185013</v>
      </c>
      <c r="C2591" s="2" t="s">
        <v>573</v>
      </c>
      <c r="D2591" s="2" t="str">
        <f t="shared" si="39"/>
        <v>Error?</v>
      </c>
    </row>
    <row r="2592" spans="1:4" x14ac:dyDescent="0.2">
      <c r="A2592" s="10">
        <v>2531</v>
      </c>
      <c r="D2592" s="2" t="str">
        <f t="shared" si="39"/>
        <v>OK</v>
      </c>
    </row>
    <row r="2593" spans="1:4" x14ac:dyDescent="0.2">
      <c r="A2593" s="5">
        <v>2532</v>
      </c>
      <c r="B2593" s="138">
        <f>'Acct Summary 7-8'!F6</f>
        <v>246233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431246</v>
      </c>
      <c r="C2595" s="2" t="s">
        <v>573</v>
      </c>
      <c r="D2595" s="2" t="str">
        <f t="shared" si="39"/>
        <v>Error?</v>
      </c>
    </row>
    <row r="2596" spans="1:4" x14ac:dyDescent="0.2">
      <c r="A2596" s="5">
        <v>2535</v>
      </c>
      <c r="B2596" s="138">
        <f>'Acct Summary 7-8'!F13</f>
        <v>456948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456948</v>
      </c>
      <c r="C2600" s="2" t="s">
        <v>573</v>
      </c>
      <c r="D2600" s="2" t="str">
        <f t="shared" si="39"/>
        <v>Error?</v>
      </c>
    </row>
    <row r="2601" spans="1:4" x14ac:dyDescent="0.2">
      <c r="A2601" s="5">
        <v>2540</v>
      </c>
      <c r="B2601" s="138">
        <f>'Acct Summary 7-8'!F20</f>
        <v>-25702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309161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309161</v>
      </c>
      <c r="C2606" s="2" t="s">
        <v>573</v>
      </c>
      <c r="D2606" s="2" t="str">
        <f t="shared" si="39"/>
        <v>Error?</v>
      </c>
    </row>
    <row r="2607" spans="1:4" x14ac:dyDescent="0.2">
      <c r="A2607" s="5">
        <v>2546</v>
      </c>
      <c r="B2607" s="138">
        <f>'Acct Summary 7-8'!G12</f>
        <v>124972</v>
      </c>
      <c r="C2607" s="2" t="s">
        <v>573</v>
      </c>
      <c r="D2607" s="2" t="str">
        <f t="shared" si="39"/>
        <v>Error?</v>
      </c>
    </row>
    <row r="2608" spans="1:4" x14ac:dyDescent="0.2">
      <c r="A2608" s="5">
        <v>2547</v>
      </c>
      <c r="B2608" s="138">
        <f>'Acct Summary 7-8'!G13</f>
        <v>201845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326817</v>
      </c>
      <c r="C2612" s="2" t="s">
        <v>573</v>
      </c>
      <c r="D2612" s="2" t="str">
        <f t="shared" si="39"/>
        <v>Error?</v>
      </c>
    </row>
    <row r="2613" spans="1:4" x14ac:dyDescent="0.2">
      <c r="A2613" s="5">
        <v>2552</v>
      </c>
      <c r="B2613" s="138">
        <f>'Acct Summary 7-8'!G20</f>
        <v>-17656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100240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118988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516536</v>
      </c>
      <c r="C2634" s="2" t="s">
        <v>573</v>
      </c>
      <c r="D2634" s="2" t="str">
        <f t="shared" si="40"/>
        <v>Error?</v>
      </c>
    </row>
    <row r="2635" spans="1:4" x14ac:dyDescent="0.2">
      <c r="A2635" s="5">
        <v>2574</v>
      </c>
      <c r="B2635" s="138">
        <f>'Acct Summary 7-8'!E17</f>
        <v>516536</v>
      </c>
      <c r="C2635" s="2" t="s">
        <v>573</v>
      </c>
      <c r="D2635" s="2" t="str">
        <f t="shared" si="40"/>
        <v>Error?</v>
      </c>
    </row>
    <row r="2636" spans="1:4" x14ac:dyDescent="0.2">
      <c r="A2636" s="5">
        <v>2575</v>
      </c>
      <c r="B2636" s="138">
        <f>'Acct Summary 7-8'!E20</f>
        <v>-397548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497088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497088</v>
      </c>
      <c r="C2658" s="2" t="s">
        <v>573</v>
      </c>
      <c r="D2658" s="2" t="str">
        <f t="shared" si="40"/>
        <v>Error?</v>
      </c>
    </row>
    <row r="2659" spans="1:4" x14ac:dyDescent="0.2">
      <c r="A2659" s="5">
        <v>2598</v>
      </c>
      <c r="B2659" s="138">
        <f>'Acct Summary 7-8'!H13</f>
        <v>376479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376479</v>
      </c>
      <c r="C2661" s="2" t="s">
        <v>573</v>
      </c>
      <c r="D2661" s="2" t="str">
        <f t="shared" si="40"/>
        <v>Error?</v>
      </c>
    </row>
    <row r="2662" spans="1:4" x14ac:dyDescent="0.2">
      <c r="A2662" s="5">
        <v>2601</v>
      </c>
      <c r="B2662" s="138">
        <f>'Acct Summary 7-8'!H20</f>
        <v>120609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40300</v>
      </c>
      <c r="C2789" s="2" t="s">
        <v>573</v>
      </c>
      <c r="D2789" s="2" t="str">
        <f t="shared" si="42"/>
        <v>Error?</v>
      </c>
    </row>
    <row r="2790" spans="1:4" x14ac:dyDescent="0.2">
      <c r="A2790" s="5">
        <v>2729</v>
      </c>
      <c r="B2790" s="138">
        <f>'Expenditures 15-22'!E102</f>
        <v>40300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1418664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95444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1418664</v>
      </c>
      <c r="D2912" s="2" t="str">
        <f t="shared" si="44"/>
        <v>Error?</v>
      </c>
    </row>
    <row r="2913" spans="1:4" x14ac:dyDescent="0.2">
      <c r="A2913" s="5">
        <v>2852</v>
      </c>
      <c r="B2913" s="138">
        <f>'Assets-Liab 5-6'!I41</f>
        <v>1418664</v>
      </c>
      <c r="C2913" s="2" t="s">
        <v>573</v>
      </c>
      <c r="D2913" s="2" t="str">
        <f t="shared" si="44"/>
        <v>Error?</v>
      </c>
    </row>
    <row r="2914" spans="1:4" x14ac:dyDescent="0.2">
      <c r="A2914" s="5">
        <v>2853</v>
      </c>
      <c r="B2914" s="138">
        <f>'Assets-Liab 5-6'!L33</f>
        <v>95444</v>
      </c>
      <c r="D2914" s="2" t="str">
        <f t="shared" si="44"/>
        <v>Error?</v>
      </c>
    </row>
    <row r="2915" spans="1:4" x14ac:dyDescent="0.2">
      <c r="A2915" s="10">
        <v>2854</v>
      </c>
      <c r="D2915" s="2" t="str">
        <f t="shared" si="44"/>
        <v>OK</v>
      </c>
    </row>
    <row r="2916" spans="1:4" x14ac:dyDescent="0.2">
      <c r="A2916" s="5">
        <v>2855</v>
      </c>
      <c r="B2916" s="138">
        <f>'Assets-Liab 5-6'!L34</f>
        <v>95444</v>
      </c>
      <c r="C2916" s="2" t="s">
        <v>573</v>
      </c>
      <c r="D2916" s="2" t="str">
        <f t="shared" si="44"/>
        <v>Error?</v>
      </c>
    </row>
    <row r="2917" spans="1:4" x14ac:dyDescent="0.2">
      <c r="A2917" s="5">
        <v>2856</v>
      </c>
      <c r="B2917" s="138">
        <f>'Assets-Liab 5-6'!L41</f>
        <v>95444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40300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40300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121022</v>
      </c>
      <c r="D3055" s="2" t="str">
        <f t="shared" si="46"/>
        <v>Error?</v>
      </c>
    </row>
    <row r="3056" spans="1:4" x14ac:dyDescent="0.2">
      <c r="A3056" s="5">
        <v>2995</v>
      </c>
      <c r="B3056" s="138">
        <f>'Expenditures 15-22'!D10</f>
        <v>41717</v>
      </c>
      <c r="D3056" s="2" t="str">
        <f t="shared" si="46"/>
        <v>Error?</v>
      </c>
    </row>
    <row r="3057" spans="1:4" x14ac:dyDescent="0.2">
      <c r="A3057" s="5">
        <v>2996</v>
      </c>
      <c r="B3057" s="138">
        <f>'Expenditures 15-22'!E10</f>
        <v>18641</v>
      </c>
      <c r="D3057" s="2" t="str">
        <f t="shared" si="46"/>
        <v>Error?</v>
      </c>
    </row>
    <row r="3058" spans="1:4" x14ac:dyDescent="0.2">
      <c r="A3058" s="5">
        <v>2997</v>
      </c>
      <c r="B3058" s="138">
        <f>'Expenditures 15-22'!F10</f>
        <v>36178</v>
      </c>
      <c r="D3058" s="2" t="str">
        <f t="shared" si="46"/>
        <v>Error?</v>
      </c>
    </row>
    <row r="3059" spans="1:4" x14ac:dyDescent="0.2">
      <c r="A3059" s="5">
        <v>2998</v>
      </c>
      <c r="B3059" s="138">
        <f>'Expenditures 15-22'!G10</f>
        <v>13153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230711</v>
      </c>
      <c r="C3062" s="2" t="s">
        <v>573</v>
      </c>
      <c r="D3062" s="2" t="str">
        <f t="shared" si="46"/>
        <v>Error?</v>
      </c>
    </row>
    <row r="3063" spans="1:4" x14ac:dyDescent="0.2">
      <c r="A3063" s="10">
        <v>3002</v>
      </c>
      <c r="D3063" s="2" t="str">
        <f t="shared" si="46"/>
        <v>OK</v>
      </c>
    </row>
    <row r="3064" spans="1:4" x14ac:dyDescent="0.2">
      <c r="A3064" s="5">
        <v>3003</v>
      </c>
      <c r="B3064" s="138">
        <f>'Expenditures 15-22'!D219</f>
        <v>3179</v>
      </c>
      <c r="D3064" s="2" t="str">
        <f t="shared" si="46"/>
        <v>Error?</v>
      </c>
    </row>
    <row r="3065" spans="1:4" x14ac:dyDescent="0.2">
      <c r="A3065" s="5">
        <v>3004</v>
      </c>
      <c r="B3065" s="138">
        <f>'Expenditures 15-22'!K219</f>
        <v>3179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11221</v>
      </c>
      <c r="C3225" s="2" t="s">
        <v>573</v>
      </c>
      <c r="D3225" s="2" t="str">
        <f t="shared" si="49"/>
        <v>Error?</v>
      </c>
    </row>
    <row r="3226" spans="1:4" x14ac:dyDescent="0.2">
      <c r="A3226" s="5">
        <v>3165</v>
      </c>
      <c r="B3226" s="138">
        <f>'Acct Summary 7-8'!I8</f>
        <v>11221</v>
      </c>
      <c r="C3226" s="2" t="s">
        <v>573</v>
      </c>
      <c r="D3226" s="2" t="str">
        <f t="shared" si="49"/>
        <v>Error?</v>
      </c>
    </row>
    <row r="3227" spans="1:4" x14ac:dyDescent="0.2">
      <c r="A3227" s="5">
        <v>3166</v>
      </c>
      <c r="B3227" s="138">
        <f>'Acct Summary 7-8'!I20</f>
        <v>11221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-337453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-122134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-25702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-17656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26867</v>
      </c>
      <c r="D3275" s="2" t="str">
        <f t="shared" si="50"/>
        <v>Error?</v>
      </c>
    </row>
    <row r="3276" spans="1:4" x14ac:dyDescent="0.2">
      <c r="A3276" s="5">
        <v>3215</v>
      </c>
      <c r="B3276" s="138">
        <f>'Acct Summary 7-8'!E76</f>
        <v>26867</v>
      </c>
      <c r="C3276" s="2" t="s">
        <v>573</v>
      </c>
      <c r="D3276" s="2" t="str">
        <f t="shared" si="50"/>
        <v>Error?</v>
      </c>
    </row>
    <row r="3277" spans="1:4" x14ac:dyDescent="0.2">
      <c r="A3277" s="5">
        <v>3216</v>
      </c>
      <c r="B3277" s="138">
        <f>'Acct Summary 7-8'!E77</f>
        <v>-26867</v>
      </c>
      <c r="C3277" s="2" t="s">
        <v>573</v>
      </c>
      <c r="D3277" s="2" t="str">
        <f t="shared" si="50"/>
        <v>Error?</v>
      </c>
    </row>
    <row r="3278" spans="1:4" x14ac:dyDescent="0.2">
      <c r="A3278" s="5">
        <v>3217</v>
      </c>
      <c r="B3278" s="138">
        <f>'Acct Summary 7-8'!E78</f>
        <v>-424415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120609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11221</v>
      </c>
      <c r="C3320" s="2" t="s">
        <v>573</v>
      </c>
      <c r="D3320" s="2" t="str">
        <f t="shared" si="50"/>
        <v>Error?</v>
      </c>
    </row>
    <row r="3321" spans="1:4" x14ac:dyDescent="0.2">
      <c r="A3321" s="5">
        <v>3260</v>
      </c>
      <c r="B3321" s="138">
        <f>'Acct Summary 7-8'!I79</f>
        <v>1407443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1418664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936070</v>
      </c>
      <c r="D3366" s="2" t="str">
        <f t="shared" si="51"/>
        <v>Error?</v>
      </c>
    </row>
    <row r="3367" spans="1:4" x14ac:dyDescent="0.2">
      <c r="A3367" s="5">
        <v>3306</v>
      </c>
      <c r="B3367" s="138">
        <f>'Expenditures 15-22'!C19</f>
        <v>187387</v>
      </c>
      <c r="D3367" s="2" t="str">
        <f t="shared" si="51"/>
        <v>Error?</v>
      </c>
    </row>
    <row r="3368" spans="1:4" x14ac:dyDescent="0.2">
      <c r="A3368" s="5">
        <v>3307</v>
      </c>
      <c r="B3368" s="138">
        <f>'Expenditures 15-22'!D8</f>
        <v>230109</v>
      </c>
      <c r="D3368" s="2" t="str">
        <f t="shared" si="51"/>
        <v>Error?</v>
      </c>
    </row>
    <row r="3369" spans="1:4" x14ac:dyDescent="0.2">
      <c r="A3369" s="5">
        <v>3308</v>
      </c>
      <c r="B3369" s="138">
        <f>'Expenditures 15-22'!D19</f>
        <v>44535</v>
      </c>
      <c r="D3369" s="2" t="str">
        <f t="shared" si="51"/>
        <v>Error?</v>
      </c>
    </row>
    <row r="3370" spans="1:4" x14ac:dyDescent="0.2">
      <c r="A3370" s="5">
        <v>3309</v>
      </c>
      <c r="B3370" s="138">
        <f>'Expenditures 15-22'!E8</f>
        <v>41653</v>
      </c>
      <c r="D3370" s="2" t="str">
        <f t="shared" si="51"/>
        <v>Error?</v>
      </c>
    </row>
    <row r="3371" spans="1:4" x14ac:dyDescent="0.2">
      <c r="A3371" s="5">
        <v>3310</v>
      </c>
      <c r="B3371" s="138">
        <f>'Expenditures 15-22'!E19</f>
        <v>9465</v>
      </c>
      <c r="D3371" s="2" t="str">
        <f t="shared" si="51"/>
        <v>Error?</v>
      </c>
    </row>
    <row r="3372" spans="1:4" x14ac:dyDescent="0.2">
      <c r="A3372" s="5">
        <v>3311</v>
      </c>
      <c r="B3372" s="138">
        <f>'Expenditures 15-22'!F8</f>
        <v>11902</v>
      </c>
      <c r="D3372" s="2" t="str">
        <f t="shared" si="51"/>
        <v>Error?</v>
      </c>
    </row>
    <row r="3373" spans="1:4" x14ac:dyDescent="0.2">
      <c r="A3373" s="5">
        <v>3312</v>
      </c>
      <c r="B3373" s="138">
        <f>'Expenditures 15-22'!F19</f>
        <v>5179</v>
      </c>
      <c r="D3373" s="2" t="str">
        <f t="shared" si="51"/>
        <v>Error?</v>
      </c>
    </row>
    <row r="3374" spans="1:4" x14ac:dyDescent="0.2">
      <c r="A3374" s="5">
        <v>3313</v>
      </c>
      <c r="B3374" s="138">
        <f>'Expenditures 15-22'!G8</f>
        <v>9041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1232493</v>
      </c>
      <c r="C3380" s="2" t="s">
        <v>573</v>
      </c>
      <c r="D3380" s="2" t="str">
        <f t="shared" si="51"/>
        <v>Error?</v>
      </c>
    </row>
    <row r="3381" spans="1:4" x14ac:dyDescent="0.2">
      <c r="A3381" s="5">
        <v>3320</v>
      </c>
      <c r="B3381" s="138">
        <f>'Expenditures 15-22'!K19</f>
        <v>247080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37831</v>
      </c>
      <c r="D3387" s="2" t="str">
        <f t="shared" si="51"/>
        <v>Error?</v>
      </c>
    </row>
    <row r="3388" spans="1:4" x14ac:dyDescent="0.2">
      <c r="A3388" s="5">
        <v>3327</v>
      </c>
      <c r="B3388" s="138">
        <f>'Expenditures 15-22'!D217</f>
        <v>61087</v>
      </c>
      <c r="D3388" s="2" t="str">
        <f t="shared" si="51"/>
        <v>Error?</v>
      </c>
    </row>
    <row r="3389" spans="1:4" x14ac:dyDescent="0.2">
      <c r="A3389" s="5">
        <v>3328</v>
      </c>
      <c r="B3389" s="138">
        <f>'Expenditures 15-22'!D228</f>
        <v>7498</v>
      </c>
      <c r="D3389" s="2" t="str">
        <f t="shared" si="51"/>
        <v>Error?</v>
      </c>
    </row>
    <row r="3390" spans="1:4" x14ac:dyDescent="0.2">
      <c r="A3390" s="5">
        <v>3329</v>
      </c>
      <c r="B3390" s="138">
        <f>'Expenditures 15-22'!K215</f>
        <v>37831</v>
      </c>
      <c r="C3390" s="2" t="s">
        <v>573</v>
      </c>
      <c r="D3390" s="2" t="str">
        <f t="shared" si="51"/>
        <v>Error?</v>
      </c>
    </row>
    <row r="3391" spans="1:4" x14ac:dyDescent="0.2">
      <c r="A3391" s="5">
        <v>3330</v>
      </c>
      <c r="B3391" s="138">
        <f>'Expenditures 15-22'!K217</f>
        <v>61087</v>
      </c>
      <c r="C3391" s="2" t="s">
        <v>573</v>
      </c>
      <c r="D3391" s="2" t="str">
        <f t="shared" ref="D3391:D3454" si="52">IF(ISBLANK(B3391),"OK",IF(A3391-B3391=0,"OK","Error?"))</f>
        <v>Error?</v>
      </c>
    </row>
    <row r="3392" spans="1:4" x14ac:dyDescent="0.2">
      <c r="A3392" s="5">
        <v>3331</v>
      </c>
      <c r="B3392" s="138">
        <f>'Expenditures 15-22'!K228</f>
        <v>7498</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2235733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457544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14491</v>
      </c>
      <c r="D3417" s="2" t="str">
        <f t="shared" si="52"/>
        <v>Error?</v>
      </c>
    </row>
    <row r="3418" spans="1:4" x14ac:dyDescent="0.2">
      <c r="A3418" s="10">
        <v>3357</v>
      </c>
      <c r="D3418" s="2" t="str">
        <f t="shared" si="52"/>
        <v>OK</v>
      </c>
    </row>
    <row r="3419" spans="1:4" x14ac:dyDescent="0.2">
      <c r="A3419" s="5">
        <v>3358</v>
      </c>
      <c r="B3419" s="138">
        <f>'Assets-Liab 5-6'!F4</f>
        <v>291897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195193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564304</v>
      </c>
      <c r="D3425" s="2" t="str">
        <f t="shared" si="52"/>
        <v>Error?</v>
      </c>
    </row>
    <row r="3426" spans="1:4" x14ac:dyDescent="0.2">
      <c r="A3426" s="10">
        <v>3365</v>
      </c>
      <c r="D3426" s="2" t="str">
        <f t="shared" si="52"/>
        <v>OK</v>
      </c>
    </row>
    <row r="3427" spans="1:4" x14ac:dyDescent="0.2">
      <c r="A3427" s="5">
        <v>3366</v>
      </c>
      <c r="B3427" s="138">
        <f>'Assets-Liab 5-6'!I4</f>
        <v>18664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95444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51438</v>
      </c>
      <c r="C3446" s="2" t="s">
        <v>573</v>
      </c>
      <c r="D3446" s="2" t="str">
        <f t="shared" si="52"/>
        <v>Error?</v>
      </c>
    </row>
    <row r="3447" spans="1:4" x14ac:dyDescent="0.2">
      <c r="A3447" s="5">
        <v>3386</v>
      </c>
      <c r="B3447" s="138">
        <f>'Tax Sched 23'!D16</f>
        <v>36573</v>
      </c>
      <c r="C3447" s="2" t="s">
        <v>573</v>
      </c>
      <c r="D3447" s="2" t="str">
        <f t="shared" si="52"/>
        <v>Error?</v>
      </c>
    </row>
    <row r="3448" spans="1:4" x14ac:dyDescent="0.2">
      <c r="A3448" s="5">
        <v>3387</v>
      </c>
      <c r="B3448" s="138">
        <f>'Tax Sched 23'!C16</f>
        <v>14865</v>
      </c>
      <c r="D3448" s="2" t="str">
        <f t="shared" si="52"/>
        <v>Error?</v>
      </c>
    </row>
    <row r="3449" spans="1:4" x14ac:dyDescent="0.2">
      <c r="A3449" s="5">
        <v>3388</v>
      </c>
      <c r="B3449" s="138">
        <f>'Tax Sched 23'!F16</f>
        <v>66500</v>
      </c>
      <c r="C3449" s="2" t="s">
        <v>573</v>
      </c>
      <c r="D3449" s="2" t="str">
        <f t="shared" si="52"/>
        <v>Error?</v>
      </c>
    </row>
    <row r="3450" spans="1:4" x14ac:dyDescent="0.2">
      <c r="A3450" s="5">
        <v>3389</v>
      </c>
      <c r="B3450" s="138">
        <f>'Tax Sched 23'!E16</f>
        <v>81365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84548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175000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259548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259548</v>
      </c>
      <c r="D3567" s="2" t="str">
        <f t="shared" si="54"/>
        <v>Error?</v>
      </c>
    </row>
    <row r="3568" spans="1:4" x14ac:dyDescent="0.2">
      <c r="A3568" s="5">
        <v>3507</v>
      </c>
      <c r="B3568" s="138">
        <f>'Assets-Liab 5-6'!K41</f>
        <v>259548</v>
      </c>
      <c r="C3568" s="2" t="s">
        <v>573</v>
      </c>
      <c r="D3568" s="2" t="str">
        <f t="shared" si="54"/>
        <v>Error?</v>
      </c>
    </row>
    <row r="3569" spans="1:4" x14ac:dyDescent="0.2">
      <c r="A3569" s="5">
        <v>3508</v>
      </c>
      <c r="B3569" s="138">
        <f>'Acct Summary 7-8'!K4</f>
        <v>1500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1500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1500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1500</v>
      </c>
      <c r="C3588" s="2" t="s">
        <v>573</v>
      </c>
      <c r="D3588" s="2" t="str">
        <f t="shared" si="55"/>
        <v>Error?</v>
      </c>
    </row>
    <row r="3589" spans="1:4" x14ac:dyDescent="0.2">
      <c r="A3589" s="5">
        <v>3528</v>
      </c>
      <c r="B3589" s="138">
        <f>'Acct Summary 7-8'!K79</f>
        <v>258048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259548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1500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146309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3155997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11433290</v>
      </c>
      <c r="C4122" s="2" t="s">
        <v>573</v>
      </c>
      <c r="D4122" s="2" t="str">
        <f t="shared" si="63"/>
        <v>Error?</v>
      </c>
    </row>
    <row r="4123" spans="1:4" x14ac:dyDescent="0.2">
      <c r="A4123" s="5">
        <v>4062</v>
      </c>
      <c r="B4123" s="138">
        <f>'Acct Summary 7-8'!D10</f>
        <v>639635</v>
      </c>
      <c r="C4123" s="2" t="s">
        <v>573</v>
      </c>
      <c r="D4123" s="2" t="str">
        <f t="shared" si="63"/>
        <v>Error?</v>
      </c>
    </row>
    <row r="4124" spans="1:4" x14ac:dyDescent="0.2">
      <c r="A4124" s="5">
        <v>4063</v>
      </c>
      <c r="B4124" s="138">
        <f>'Acct Summary 7-8'!E10</f>
        <v>118988</v>
      </c>
      <c r="C4124" s="2" t="s">
        <v>573</v>
      </c>
      <c r="D4124" s="2" t="str">
        <f t="shared" si="63"/>
        <v>Error?</v>
      </c>
    </row>
    <row r="4125" spans="1:4" x14ac:dyDescent="0.2">
      <c r="A4125" s="5">
        <v>4064</v>
      </c>
      <c r="B4125" s="138">
        <f>'Acct Summary 7-8'!F10</f>
        <v>431246</v>
      </c>
      <c r="C4125" s="2" t="s">
        <v>573</v>
      </c>
      <c r="D4125" s="2" t="str">
        <f t="shared" si="63"/>
        <v>Error?</v>
      </c>
    </row>
    <row r="4126" spans="1:4" x14ac:dyDescent="0.2">
      <c r="A4126" s="5">
        <v>4065</v>
      </c>
      <c r="B4126" s="138">
        <f>'Acct Summary 7-8'!G10</f>
        <v>309161</v>
      </c>
      <c r="C4126" s="2" t="s">
        <v>573</v>
      </c>
      <c r="D4126" s="2" t="str">
        <f t="shared" si="63"/>
        <v>Error?</v>
      </c>
    </row>
    <row r="4127" spans="1:4" x14ac:dyDescent="0.2">
      <c r="A4127" s="5">
        <v>4066</v>
      </c>
      <c r="B4127" s="138">
        <f>'Acct Summary 7-8'!H10</f>
        <v>497088</v>
      </c>
      <c r="C4127" s="2" t="s">
        <v>573</v>
      </c>
      <c r="D4127" s="2" t="str">
        <f t="shared" si="63"/>
        <v>Error?</v>
      </c>
    </row>
    <row r="4128" spans="1:4" x14ac:dyDescent="0.2">
      <c r="A4128" s="5">
        <v>4067</v>
      </c>
      <c r="B4128" s="138">
        <f>'Acct Summary 7-8'!I10</f>
        <v>11221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1500</v>
      </c>
      <c r="C4130" s="2" t="s">
        <v>573</v>
      </c>
      <c r="D4130" s="2" t="str">
        <f t="shared" si="63"/>
        <v>Error?</v>
      </c>
    </row>
    <row r="4131" spans="1:4" x14ac:dyDescent="0.2">
      <c r="A4131" s="5">
        <v>4070</v>
      </c>
      <c r="B4131" s="138">
        <f>'Acct Summary 7-8'!C18</f>
        <v>3155997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11770743</v>
      </c>
      <c r="C4136" s="2" t="s">
        <v>573</v>
      </c>
      <c r="D4136" s="2" t="str">
        <f t="shared" si="63"/>
        <v>Error?</v>
      </c>
    </row>
    <row r="4137" spans="1:4" x14ac:dyDescent="0.2">
      <c r="A4137" s="5">
        <v>4076</v>
      </c>
      <c r="B4137" s="138">
        <f>'Acct Summary 7-8'!D19</f>
        <v>761769</v>
      </c>
      <c r="C4137" s="2" t="s">
        <v>573</v>
      </c>
      <c r="D4137" s="2" t="str">
        <f t="shared" si="63"/>
        <v>Error?</v>
      </c>
    </row>
    <row r="4138" spans="1:4" x14ac:dyDescent="0.2">
      <c r="A4138" s="5">
        <v>4077</v>
      </c>
      <c r="B4138" s="138">
        <f>'Acct Summary 7-8'!E19</f>
        <v>516536</v>
      </c>
      <c r="C4138" s="2" t="s">
        <v>573</v>
      </c>
      <c r="D4138" s="2" t="str">
        <f t="shared" si="63"/>
        <v>Error?</v>
      </c>
    </row>
    <row r="4139" spans="1:4" x14ac:dyDescent="0.2">
      <c r="A4139" s="5">
        <v>4078</v>
      </c>
      <c r="B4139" s="138">
        <f>'Acct Summary 7-8'!F19</f>
        <v>456948</v>
      </c>
      <c r="C4139" s="2" t="s">
        <v>573</v>
      </c>
      <c r="D4139" s="2" t="str">
        <f t="shared" si="63"/>
        <v>Error?</v>
      </c>
    </row>
    <row r="4140" spans="1:4" x14ac:dyDescent="0.2">
      <c r="A4140" s="5">
        <v>4079</v>
      </c>
      <c r="B4140" s="138">
        <f>'Acct Summary 7-8'!G19</f>
        <v>326817</v>
      </c>
      <c r="C4140" s="2" t="s">
        <v>573</v>
      </c>
      <c r="D4140" s="2" t="str">
        <f t="shared" si="63"/>
        <v>Error?</v>
      </c>
    </row>
    <row r="4141" spans="1:4" x14ac:dyDescent="0.2">
      <c r="A4141" s="5">
        <v>4080</v>
      </c>
      <c r="B4141" s="138">
        <f>'Acct Summary 7-8'!H19</f>
        <v>376479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3810000</v>
      </c>
      <c r="C4171" s="2" t="s">
        <v>573</v>
      </c>
      <c r="D4171" s="2" t="str">
        <f t="shared" si="64"/>
        <v>Error?</v>
      </c>
    </row>
    <row r="4172" spans="1:4" x14ac:dyDescent="0.2">
      <c r="A4172" s="5">
        <v>4111</v>
      </c>
      <c r="B4172" s="138">
        <f>'Short-Term Long-Term Debt 24'!J49</f>
        <v>3795509</v>
      </c>
      <c r="C4172" s="2" t="s">
        <v>573</v>
      </c>
      <c r="D4172" s="2" t="str">
        <f t="shared" si="64"/>
        <v>Error?</v>
      </c>
    </row>
    <row r="4173" spans="1:4" x14ac:dyDescent="0.2">
      <c r="A4173" s="5">
        <v>4112</v>
      </c>
      <c r="B4173" s="138">
        <f>'Short-Term Long-Term Debt 24'!H49</f>
        <v>412000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37000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1979.6999999999998</v>
      </c>
      <c r="C4265" s="2" t="s">
        <v>573</v>
      </c>
      <c r="D4265" s="2" t="str">
        <f t="shared" si="65"/>
        <v>Error?</v>
      </c>
      <c r="E4265" s="128"/>
    </row>
    <row r="4266" spans="1:5" x14ac:dyDescent="0.2">
      <c r="A4266" s="12">
        <v>4205</v>
      </c>
      <c r="B4266" s="138">
        <f>('FP Info 3'!F10)*100000</f>
        <v>323.09999999999997</v>
      </c>
      <c r="C4266" s="2" t="s">
        <v>573</v>
      </c>
      <c r="D4266" s="2" t="str">
        <f t="shared" si="65"/>
        <v>Error?</v>
      </c>
      <c r="E4266" s="128"/>
    </row>
    <row r="4267" spans="1:5" x14ac:dyDescent="0.2">
      <c r="A4267" s="12">
        <v>4206</v>
      </c>
      <c r="B4267" s="138">
        <f>('FP Info 3'!H10)*100000</f>
        <v>145.6</v>
      </c>
      <c r="C4267" s="2" t="s">
        <v>573</v>
      </c>
      <c r="D4267" s="2" t="str">
        <f t="shared" si="65"/>
        <v>Error?</v>
      </c>
      <c r="E4267" s="128"/>
    </row>
    <row r="4268" spans="1:5" x14ac:dyDescent="0.2">
      <c r="A4268" s="12">
        <v>4207</v>
      </c>
      <c r="B4268" s="138">
        <f>('FP Info 3'!J10)*100000</f>
        <v>2448</v>
      </c>
      <c r="C4268" s="2" t="s">
        <v>573</v>
      </c>
      <c r="D4268" s="2" t="str">
        <f t="shared" si="65"/>
        <v>Error?</v>
      </c>
    </row>
    <row r="4269" spans="1:5" x14ac:dyDescent="0.2">
      <c r="A4269" s="12">
        <v>4208</v>
      </c>
      <c r="B4269" s="138">
        <f>'FP Info 3'!J16</f>
        <v>10010696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8023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10281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9868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1628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41343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18748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18748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28519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190549654</v>
      </c>
      <c r="D4995" s="2" t="str">
        <f t="shared" si="77"/>
        <v>Error?</v>
      </c>
    </row>
    <row r="4996" spans="1:4" x14ac:dyDescent="0.2">
      <c r="A4996" s="12">
        <v>4935</v>
      </c>
      <c r="B4996" s="138">
        <f>'FP Info 3'!H31</f>
        <v>13147926.126000002</v>
      </c>
      <c r="D4996" s="2" t="str">
        <f t="shared" si="77"/>
        <v>Error?</v>
      </c>
    </row>
    <row r="4997" spans="1:4" x14ac:dyDescent="0.2">
      <c r="A4997" s="12">
        <v>4936</v>
      </c>
      <c r="B4997" s="138">
        <f>'FP Info 3'!H37</f>
        <v>3810000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2502619</v>
      </c>
      <c r="D5061" s="2" t="str">
        <f t="shared" si="78"/>
        <v>Error?</v>
      </c>
    </row>
    <row r="5062" spans="1:4" x14ac:dyDescent="0.2">
      <c r="A5062" s="10">
        <v>5001</v>
      </c>
      <c r="D5062" s="2" t="str">
        <f t="shared" si="78"/>
        <v>OK</v>
      </c>
    </row>
    <row r="5063" spans="1:4" x14ac:dyDescent="0.2">
      <c r="A5063" s="5">
        <v>5002</v>
      </c>
      <c r="B5063" s="138">
        <f>'Revenues 9-14'!C7</f>
        <v>58545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2561164</v>
      </c>
      <c r="C5066" s="2" t="s">
        <v>573</v>
      </c>
      <c r="D5066" s="2" t="str">
        <f t="shared" si="78"/>
        <v>Error?</v>
      </c>
    </row>
    <row r="5067" spans="1:4" x14ac:dyDescent="0.2">
      <c r="A5067" s="5">
        <v>5006</v>
      </c>
      <c r="B5067" s="138">
        <f>'Revenues 9-14'!C14</f>
        <v>9616</v>
      </c>
      <c r="D5067" s="2" t="str">
        <f t="shared" si="78"/>
        <v>Error?</v>
      </c>
    </row>
    <row r="5068" spans="1:4" x14ac:dyDescent="0.2">
      <c r="A5068" s="5">
        <v>5007</v>
      </c>
      <c r="B5068" s="138">
        <f>'Revenues 9-14'!C15</f>
        <v>5878</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15494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51373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51373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1175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62940</v>
      </c>
      <c r="C5096" s="2" t="s">
        <v>573</v>
      </c>
      <c r="D5096" s="2" t="str">
        <f t="shared" si="78"/>
        <v>Error?</v>
      </c>
    </row>
    <row r="5097" spans="1:4" x14ac:dyDescent="0.2">
      <c r="A5097" s="5">
        <v>5036</v>
      </c>
      <c r="B5097" s="138">
        <f>'Revenues 9-14'!C77</f>
        <v>24984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4070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29054</v>
      </c>
      <c r="C5102" s="2" t="s">
        <v>573</v>
      </c>
      <c r="D5102" s="2" t="str">
        <f t="shared" si="78"/>
        <v>Error?</v>
      </c>
    </row>
    <row r="5103" spans="1:4" x14ac:dyDescent="0.2">
      <c r="A5103" s="5">
        <v>5042</v>
      </c>
      <c r="B5103" s="138">
        <f>'Revenues 9-14'!C84</f>
        <v>11345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545</v>
      </c>
      <c r="D5110" s="2" t="str">
        <f t="shared" si="78"/>
        <v>Error?</v>
      </c>
    </row>
    <row r="5111" spans="1:4" x14ac:dyDescent="0.2">
      <c r="A5111" s="5">
        <v>5050</v>
      </c>
      <c r="B5111" s="138">
        <f>'Revenues 9-14'!C92</f>
        <v>1704</v>
      </c>
      <c r="D5111" s="2" t="str">
        <f t="shared" si="78"/>
        <v>Error?</v>
      </c>
    </row>
    <row r="5112" spans="1:4" x14ac:dyDescent="0.2">
      <c r="A5112" s="5">
        <v>5051</v>
      </c>
      <c r="B5112" s="138">
        <f>'Revenues 9-14'!C93</f>
        <v>13594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34475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68512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5657</v>
      </c>
      <c r="D5119" s="2" t="str">
        <f t="shared" ref="D5119:D5182" si="79">IF(ISBLANK(B5119),"OK",IF(A5119-B5119=0,"OK","Error?"))</f>
        <v>Error?</v>
      </c>
    </row>
    <row r="5120" spans="1:4" x14ac:dyDescent="0.2">
      <c r="A5120" s="5">
        <v>5059</v>
      </c>
      <c r="B5120" s="138">
        <f>'Revenues 9-14'!C108</f>
        <v>331623</v>
      </c>
      <c r="C5120" s="2" t="s">
        <v>573</v>
      </c>
      <c r="D5120" s="2" t="str">
        <f t="shared" si="79"/>
        <v>Error?</v>
      </c>
    </row>
    <row r="5121" spans="1:4" x14ac:dyDescent="0.2">
      <c r="A5121" s="5">
        <v>5060</v>
      </c>
      <c r="B5121" s="138">
        <f>'Revenues 9-14'!C109</f>
        <v>3065242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4272728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4272728</v>
      </c>
      <c r="C5132" s="2" t="s">
        <v>573</v>
      </c>
      <c r="D5132" s="2" t="str">
        <f t="shared" si="79"/>
        <v>Error?</v>
      </c>
    </row>
    <row r="5133" spans="1:4" x14ac:dyDescent="0.2">
      <c r="A5133" s="5">
        <v>5072</v>
      </c>
      <c r="B5133" s="138">
        <f>'Revenues 9-14'!C125</f>
        <v>274125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11625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285750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38274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41649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3814</v>
      </c>
      <c r="D5167" s="2" t="str">
        <f t="shared" si="79"/>
        <v>Error?</v>
      </c>
    </row>
    <row r="5168" spans="1:4" x14ac:dyDescent="0.2">
      <c r="A5168" s="5">
        <v>5107</v>
      </c>
      <c r="B5168" s="138">
        <f>'Revenues 9-14'!C148</f>
        <v>30830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390562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4663290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178022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37729</v>
      </c>
      <c r="D5241" s="2" t="str">
        <f t="shared" si="80"/>
        <v>Error?</v>
      </c>
    </row>
    <row r="5242" spans="1:4" x14ac:dyDescent="0.2">
      <c r="A5242" s="5">
        <v>5181</v>
      </c>
      <c r="B5242" s="138">
        <f>'Revenues 9-14'!C194</f>
        <v>902</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216653</v>
      </c>
      <c r="C5246" s="2" t="s">
        <v>573</v>
      </c>
      <c r="D5246" s="2" t="str">
        <f t="shared" si="80"/>
        <v>Error?</v>
      </c>
    </row>
    <row r="5247" spans="1:4" x14ac:dyDescent="0.2">
      <c r="A5247" s="5">
        <v>5186</v>
      </c>
      <c r="B5247" s="138">
        <f>'Revenues 9-14'!C200</f>
        <v>256747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1628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264770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4218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4218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548761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548761</v>
      </c>
      <c r="C5326" s="2" t="s">
        <v>573</v>
      </c>
      <c r="D5326" s="2" t="str">
        <f t="shared" si="82"/>
        <v>Error?</v>
      </c>
    </row>
    <row r="5327" spans="1:5" x14ac:dyDescent="0.2">
      <c r="A5327" s="5">
        <v>5266</v>
      </c>
      <c r="B5327" s="138">
        <f>'Revenues 9-14'!C268</f>
        <v>8277293</v>
      </c>
      <c r="C5327" s="2" t="s">
        <v>573</v>
      </c>
      <c r="D5327" s="2" t="str">
        <f t="shared" si="82"/>
        <v>Error?</v>
      </c>
    </row>
    <row r="5328" spans="1:5" x14ac:dyDescent="0.2">
      <c r="A5328" s="5">
        <v>5267</v>
      </c>
      <c r="B5328" s="138">
        <f>'Revenues 9-14'!D5</f>
        <v>390054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390054</v>
      </c>
      <c r="C5334" s="2" t="s">
        <v>573</v>
      </c>
      <c r="D5334" s="2" t="str">
        <f t="shared" si="82"/>
        <v>Error?</v>
      </c>
    </row>
    <row r="5335" spans="1:4" x14ac:dyDescent="0.2">
      <c r="A5335" s="5">
        <v>5274</v>
      </c>
      <c r="B5335" s="138">
        <f>'Revenues 9-14'!D14</f>
        <v>1439</v>
      </c>
      <c r="D5335" s="2" t="str">
        <f t="shared" si="82"/>
        <v>Error?</v>
      </c>
    </row>
    <row r="5336" spans="1:4" x14ac:dyDescent="0.2">
      <c r="A5336" s="5">
        <v>5275</v>
      </c>
      <c r="B5336" s="138">
        <f>'Revenues 9-14'!D15</f>
        <v>879</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2318</v>
      </c>
      <c r="C5339" s="2" t="s">
        <v>573</v>
      </c>
      <c r="D5339" s="2" t="str">
        <f t="shared" si="82"/>
        <v>Error?</v>
      </c>
    </row>
    <row r="5340" spans="1:4" x14ac:dyDescent="0.2">
      <c r="A5340" s="5">
        <v>5279</v>
      </c>
      <c r="B5340" s="138">
        <f>'Revenues 9-14'!D65</f>
        <v>7463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7463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1800</v>
      </c>
      <c r="D5349" s="2" t="str">
        <f t="shared" si="82"/>
        <v>Error?</v>
      </c>
    </row>
    <row r="5350" spans="1:4" x14ac:dyDescent="0.2">
      <c r="A5350" s="5">
        <v>5289</v>
      </c>
      <c r="B5350" s="138">
        <f>'Revenues 9-14'!D96</f>
        <v>8000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9800</v>
      </c>
      <c r="C5355" s="2" t="s">
        <v>573</v>
      </c>
      <c r="D5355" s="2" t="str">
        <f t="shared" si="82"/>
        <v>Error?</v>
      </c>
    </row>
    <row r="5356" spans="1:4" x14ac:dyDescent="0.2">
      <c r="A5356" s="5">
        <v>5295</v>
      </c>
      <c r="B5356" s="138">
        <f>'Revenues 9-14'!D109</f>
        <v>409635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230000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230000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230000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639635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240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100000</v>
      </c>
      <c r="C5526" s="2" t="s">
        <v>573</v>
      </c>
      <c r="D5526" s="2" t="str">
        <f t="shared" si="85"/>
        <v>Error?</v>
      </c>
    </row>
    <row r="5527" spans="1:4" x14ac:dyDescent="0.2">
      <c r="A5527" s="5">
        <v>5466</v>
      </c>
      <c r="B5527" s="138">
        <f>'Revenues 9-14'!E109</f>
        <v>100240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118988</v>
      </c>
      <c r="C5552" s="2" t="s">
        <v>573</v>
      </c>
      <c r="D5552" s="2" t="str">
        <f t="shared" si="85"/>
        <v>Error?</v>
      </c>
    </row>
    <row r="5553" spans="1:4" x14ac:dyDescent="0.2">
      <c r="A5553" s="5">
        <v>5492</v>
      </c>
      <c r="B5553" s="138">
        <f>'Revenues 9-14'!F5</f>
        <v>175669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175669</v>
      </c>
      <c r="C5557" s="2" t="s">
        <v>573</v>
      </c>
      <c r="D5557" s="2" t="str">
        <f t="shared" si="85"/>
        <v>Error?</v>
      </c>
    </row>
    <row r="5558" spans="1:4" x14ac:dyDescent="0.2">
      <c r="A5558" s="5">
        <v>5497</v>
      </c>
      <c r="B5558" s="138">
        <f>'Revenues 9-14'!F14</f>
        <v>648</v>
      </c>
      <c r="D5558" s="2" t="str">
        <f t="shared" si="85"/>
        <v>Error?</v>
      </c>
    </row>
    <row r="5559" spans="1:4" x14ac:dyDescent="0.2">
      <c r="A5559" s="5">
        <v>5498</v>
      </c>
      <c r="B5559" s="138">
        <f>'Revenues 9-14'!F15</f>
        <v>396</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1044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1859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1859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6441</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6441</v>
      </c>
      <c r="C5587" s="2" t="s">
        <v>573</v>
      </c>
      <c r="D5587" s="2" t="str">
        <f t="shared" si="86"/>
        <v>Error?</v>
      </c>
    </row>
    <row r="5588" spans="1:4" x14ac:dyDescent="0.2">
      <c r="A5588" s="5">
        <v>5527</v>
      </c>
      <c r="B5588" s="138">
        <f>'Revenues 9-14'!F109</f>
        <v>185013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108958</v>
      </c>
      <c r="D5615" s="2" t="str">
        <f t="shared" si="86"/>
        <v>Error?</v>
      </c>
    </row>
    <row r="5616" spans="1:4" x14ac:dyDescent="0.2">
      <c r="A5616" s="10">
        <v>5555</v>
      </c>
      <c r="D5616" s="2" t="str">
        <f t="shared" si="86"/>
        <v>OK</v>
      </c>
    </row>
    <row r="5617" spans="1:5" x14ac:dyDescent="0.2">
      <c r="A5617" s="5">
        <v>5556</v>
      </c>
      <c r="B5617" s="138">
        <f>'Revenues 9-14'!F153</f>
        <v>137275</v>
      </c>
      <c r="D5617" s="2" t="str">
        <f t="shared" si="86"/>
        <v>Error?</v>
      </c>
    </row>
    <row r="5618" spans="1:5" x14ac:dyDescent="0.2">
      <c r="A5618" s="5">
        <v>5557</v>
      </c>
      <c r="B5618" s="138">
        <f>'Revenues 9-14'!F155</f>
        <v>246233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246233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246233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431246</v>
      </c>
      <c r="C5720" s="2" t="s">
        <v>573</v>
      </c>
      <c r="D5720" s="2" t="str">
        <f t="shared" si="88"/>
        <v>Error?</v>
      </c>
    </row>
    <row r="5721" spans="1:4" x14ac:dyDescent="0.2">
      <c r="A5721" s="5">
        <v>5660</v>
      </c>
      <c r="B5721" s="138">
        <f>'Revenues 9-14'!G5</f>
        <v>100381</v>
      </c>
      <c r="D5721" s="2" t="str">
        <f t="shared" si="88"/>
        <v>Error?</v>
      </c>
    </row>
    <row r="5722" spans="1:4" x14ac:dyDescent="0.2">
      <c r="A5722" s="5">
        <v>5661</v>
      </c>
      <c r="B5722" s="138">
        <f>'Revenues 9-14'!G7</f>
        <v>0</v>
      </c>
      <c r="D5722" s="2" t="str">
        <f t="shared" si="88"/>
        <v>Error?</v>
      </c>
    </row>
    <row r="5723" spans="1:4" x14ac:dyDescent="0.2">
      <c r="A5723" s="5">
        <v>5662</v>
      </c>
      <c r="B5723" s="138">
        <f>'Revenues 9-14'!G8</f>
        <v>51438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151819</v>
      </c>
      <c r="C5725" s="2" t="s">
        <v>573</v>
      </c>
      <c r="D5725" s="2" t="str">
        <f t="shared" si="88"/>
        <v>Error?</v>
      </c>
    </row>
    <row r="5726" spans="1:4" x14ac:dyDescent="0.2">
      <c r="A5726" s="5">
        <v>5665</v>
      </c>
      <c r="B5726" s="138">
        <f>'Revenues 9-14'!G14</f>
        <v>560</v>
      </c>
      <c r="D5726" s="2" t="str">
        <f t="shared" si="88"/>
        <v>Error?</v>
      </c>
    </row>
    <row r="5727" spans="1:4" x14ac:dyDescent="0.2">
      <c r="A5727" s="5">
        <v>5666</v>
      </c>
      <c r="B5727" s="138">
        <f>'Revenues 9-14'!G15</f>
        <v>342</v>
      </c>
      <c r="D5727" s="2" t="str">
        <f t="shared" si="88"/>
        <v>Error?</v>
      </c>
    </row>
    <row r="5728" spans="1:4" x14ac:dyDescent="0.2">
      <c r="A5728" s="5">
        <v>5667</v>
      </c>
      <c r="B5728" s="138">
        <f>'Revenues 9-14'!G16</f>
        <v>154055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154957</v>
      </c>
      <c r="C5730" s="2" t="s">
        <v>573</v>
      </c>
      <c r="D5730" s="2" t="str">
        <f t="shared" si="88"/>
        <v>Error?</v>
      </c>
    </row>
    <row r="5731" spans="1:4" x14ac:dyDescent="0.2">
      <c r="A5731" s="5">
        <v>5670</v>
      </c>
      <c r="B5731" s="138">
        <f>'Revenues 9-14'!G65</f>
        <v>2385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2385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309161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2945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2945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494143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497088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11221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11221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11221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1500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1500</v>
      </c>
      <c r="C6023" s="2" t="s">
        <v>573</v>
      </c>
      <c r="D6023" s="2" t="str">
        <f t="shared" si="93"/>
        <v>Error?</v>
      </c>
    </row>
    <row r="6024" spans="1:5" x14ac:dyDescent="0.2">
      <c r="A6024" s="5">
        <v>5963</v>
      </c>
      <c r="B6024" s="138">
        <f>'Revenues 9-14'!G109</f>
        <v>309161</v>
      </c>
      <c r="C6024" s="2" t="s">
        <v>573</v>
      </c>
      <c r="D6024" s="2" t="str">
        <f t="shared" si="93"/>
        <v>Error?</v>
      </c>
    </row>
    <row r="6025" spans="1:5" x14ac:dyDescent="0.2">
      <c r="A6025" s="5">
        <v>5964</v>
      </c>
      <c r="B6025" s="138">
        <f>'Revenues 9-14'!H109</f>
        <v>497088</v>
      </c>
      <c r="C6025" s="2" t="s">
        <v>573</v>
      </c>
      <c r="D6025" s="2" t="str">
        <f t="shared" si="93"/>
        <v>Error?</v>
      </c>
    </row>
    <row r="6026" spans="1:5" x14ac:dyDescent="0.2">
      <c r="A6026" s="5">
        <v>5965</v>
      </c>
      <c r="B6026" s="138">
        <f>'Revenues 9-14'!I109</f>
        <v>11221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61765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619.79999999999995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6858</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53783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53783</v>
      </c>
      <c r="D6215" s="2" t="str">
        <f t="shared" si="96"/>
        <v>Error?</v>
      </c>
      <c r="E6215" s="2" t="s">
        <v>190</v>
      </c>
    </row>
    <row r="6216" spans="1:5" x14ac:dyDescent="0.2">
      <c r="A6216">
        <v>6155</v>
      </c>
      <c r="B6216" s="138">
        <f>'Assets-Liab 5-6'!J41</f>
        <v>53783</v>
      </c>
      <c r="D6216" s="2" t="str">
        <f t="shared" si="96"/>
        <v>Error?</v>
      </c>
      <c r="E6216" s="2" t="s">
        <v>190</v>
      </c>
    </row>
    <row r="6217" spans="1:5" x14ac:dyDescent="0.2">
      <c r="A6217">
        <v>6156</v>
      </c>
      <c r="B6217" s="138">
        <f>'Assets-Liab 5-6'!J4</f>
        <v>53783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79890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79890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79890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163118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163118</v>
      </c>
      <c r="D6229" s="2" t="str">
        <f t="shared" si="96"/>
        <v>Error?</v>
      </c>
      <c r="E6229" s="2" t="s">
        <v>190</v>
      </c>
    </row>
    <row r="6230" spans="1:5" x14ac:dyDescent="0.2">
      <c r="A6230">
        <v>6169</v>
      </c>
      <c r="B6230" s="138">
        <f>'Acct Summary 7-8'!J20</f>
        <v>-83228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-83228</v>
      </c>
      <c r="D6263" s="2" t="str">
        <f t="shared" si="96"/>
        <v>Error?</v>
      </c>
      <c r="E6263" s="2" t="s">
        <v>190</v>
      </c>
    </row>
    <row r="6264" spans="1:5" x14ac:dyDescent="0.2">
      <c r="A6264">
        <v>6203</v>
      </c>
      <c r="B6264" s="138">
        <f>'Acct Summary 7-8'!J79</f>
        <v>137011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53783</v>
      </c>
      <c r="D6266" s="2" t="str">
        <f t="shared" si="96"/>
        <v>Error?</v>
      </c>
      <c r="E6266" s="2" t="s">
        <v>190</v>
      </c>
    </row>
    <row r="6267" spans="1:5" x14ac:dyDescent="0.2">
      <c r="A6267">
        <v>6206</v>
      </c>
      <c r="B6267" s="138">
        <f>'Acct Summary 7-8'!C82</f>
        <v>-337453</v>
      </c>
      <c r="D6267" s="2" t="str">
        <f t="shared" si="96"/>
        <v>Error?</v>
      </c>
      <c r="E6267" s="2" t="s">
        <v>190</v>
      </c>
    </row>
    <row r="6268" spans="1:5" x14ac:dyDescent="0.2">
      <c r="A6268">
        <v>6207</v>
      </c>
      <c r="B6268" s="138">
        <f>'Acct Summary 7-8'!D82</f>
        <v>-122134</v>
      </c>
      <c r="D6268" s="2" t="str">
        <f t="shared" si="96"/>
        <v>Error?</v>
      </c>
      <c r="E6268" s="2" t="s">
        <v>190</v>
      </c>
    </row>
    <row r="6269" spans="1:5" x14ac:dyDescent="0.2">
      <c r="A6269">
        <v>6208</v>
      </c>
      <c r="B6269" s="138">
        <f>'Acct Summary 7-8'!E82</f>
        <v>-424415</v>
      </c>
      <c r="D6269" s="2" t="str">
        <f t="shared" si="96"/>
        <v>Error?</v>
      </c>
      <c r="E6269" s="2" t="s">
        <v>190</v>
      </c>
    </row>
    <row r="6270" spans="1:5" x14ac:dyDescent="0.2">
      <c r="A6270">
        <v>6209</v>
      </c>
      <c r="B6270" s="138">
        <f>'Acct Summary 7-8'!F82</f>
        <v>-25702</v>
      </c>
      <c r="D6270" s="2" t="str">
        <f t="shared" si="96"/>
        <v>Error?</v>
      </c>
      <c r="E6270" s="2" t="s">
        <v>190</v>
      </c>
    </row>
    <row r="6271" spans="1:5" x14ac:dyDescent="0.2">
      <c r="A6271">
        <v>6210</v>
      </c>
      <c r="B6271" s="138">
        <f>'Acct Summary 7-8'!G82</f>
        <v>-17656</v>
      </c>
      <c r="D6271" s="2" t="str">
        <f t="shared" ref="D6271:D6334" si="97">IF(ISBLANK(B6271),"OK",IF(A6271-B6271=0,"OK","Error?"))</f>
        <v>Error?</v>
      </c>
      <c r="E6271" s="2" t="s">
        <v>190</v>
      </c>
    </row>
    <row r="6272" spans="1:5" x14ac:dyDescent="0.2">
      <c r="A6272">
        <v>6211</v>
      </c>
      <c r="B6272" s="138">
        <f>'Acct Summary 7-8'!H82</f>
        <v>120609</v>
      </c>
      <c r="D6272" s="2" t="str">
        <f t="shared" si="97"/>
        <v>Error?</v>
      </c>
      <c r="E6272" s="2" t="s">
        <v>190</v>
      </c>
    </row>
    <row r="6273" spans="1:5" x14ac:dyDescent="0.2">
      <c r="A6273">
        <v>6212</v>
      </c>
      <c r="B6273" s="138">
        <f>'Acct Summary 7-8'!I82</f>
        <v>11221</v>
      </c>
      <c r="D6273" s="2" t="str">
        <f t="shared" si="97"/>
        <v>Error?</v>
      </c>
      <c r="E6273" s="2" t="s">
        <v>190</v>
      </c>
    </row>
    <row r="6274" spans="1:5" x14ac:dyDescent="0.2">
      <c r="A6274">
        <v>6213</v>
      </c>
      <c r="B6274" s="138">
        <f>'Acct Summary 7-8'!J82</f>
        <v>-83228</v>
      </c>
      <c r="D6274" s="2" t="str">
        <f t="shared" si="97"/>
        <v>Error?</v>
      </c>
      <c r="E6274" s="2" t="s">
        <v>190</v>
      </c>
    </row>
    <row r="6275" spans="1:5" x14ac:dyDescent="0.2">
      <c r="A6275">
        <v>6214</v>
      </c>
      <c r="B6275" s="138">
        <f>'Acct Summary 7-8'!K82</f>
        <v>1500</v>
      </c>
      <c r="D6275" s="2" t="str">
        <f t="shared" si="97"/>
        <v>Error?</v>
      </c>
      <c r="E6275" s="2" t="s">
        <v>190</v>
      </c>
    </row>
    <row r="6276" spans="1:5" x14ac:dyDescent="0.2">
      <c r="A6276">
        <v>6215</v>
      </c>
      <c r="B6276" s="138">
        <f>'Acct Summary 7-8'!C83</f>
        <v>-4.7245180355420045E-2</v>
      </c>
      <c r="D6276" s="2" t="str">
        <f t="shared" si="97"/>
        <v>Error?</v>
      </c>
      <c r="E6276" s="2" t="s">
        <v>190</v>
      </c>
    </row>
    <row r="6277" spans="1:5" x14ac:dyDescent="0.2">
      <c r="A6277">
        <v>6216</v>
      </c>
      <c r="B6277" s="138">
        <f>'Acct Summary 7-8'!D83</f>
        <v>-0.11548833901946397</v>
      </c>
      <c r="D6277" s="2" t="str">
        <f t="shared" si="97"/>
        <v>Error?</v>
      </c>
      <c r="E6277" s="2" t="s">
        <v>190</v>
      </c>
    </row>
    <row r="6278" spans="1:5" x14ac:dyDescent="0.2">
      <c r="A6278">
        <v>6217</v>
      </c>
      <c r="B6278" s="138">
        <f>'Acct Summary 7-8'!E83</f>
        <v>-29.288178869643225</v>
      </c>
      <c r="D6278" s="2" t="str">
        <f t="shared" si="97"/>
        <v>Error?</v>
      </c>
      <c r="E6278" s="2" t="s">
        <v>190</v>
      </c>
    </row>
    <row r="6279" spans="1:5" x14ac:dyDescent="0.2">
      <c r="A6279">
        <v>6218</v>
      </c>
      <c r="B6279" s="138">
        <f>'Acct Summary 7-8'!F83</f>
        <v>-6.558355894533513E-2</v>
      </c>
      <c r="D6279" s="2" t="str">
        <f t="shared" si="97"/>
        <v>Error?</v>
      </c>
      <c r="E6279" s="2" t="s">
        <v>190</v>
      </c>
    </row>
    <row r="6280" spans="1:5" x14ac:dyDescent="0.2">
      <c r="A6280">
        <v>6219</v>
      </c>
      <c r="B6280" s="138">
        <f>'Acct Summary 7-8'!G83</f>
        <v>-4.46769047022594E-2</v>
      </c>
      <c r="D6280" s="2" t="str">
        <f t="shared" si="97"/>
        <v>Error?</v>
      </c>
      <c r="E6280" s="2" t="s">
        <v>190</v>
      </c>
    </row>
    <row r="6281" spans="1:5" x14ac:dyDescent="0.2">
      <c r="A6281">
        <v>6220</v>
      </c>
      <c r="B6281" s="138">
        <f>'Acct Summary 7-8'!H83</f>
        <v>0.1319134554808904</v>
      </c>
      <c r="D6281" s="2" t="str">
        <f t="shared" si="97"/>
        <v>Error?</v>
      </c>
      <c r="E6281" s="2" t="s">
        <v>190</v>
      </c>
    </row>
    <row r="6282" spans="1:5" x14ac:dyDescent="0.2">
      <c r="A6282">
        <v>6221</v>
      </c>
      <c r="B6282" s="138">
        <f>'Acct Summary 7-8'!I83</f>
        <v>7.9095543412675585E-3</v>
      </c>
      <c r="D6282" s="2" t="str">
        <f t="shared" si="97"/>
        <v>Error?</v>
      </c>
      <c r="E6282" s="2" t="s">
        <v>190</v>
      </c>
    </row>
    <row r="6283" spans="1:5" x14ac:dyDescent="0.2">
      <c r="A6283">
        <v>6222</v>
      </c>
      <c r="B6283" s="138">
        <f>'Acct Summary 7-8'!J83</f>
        <v>-1.5474778275663315</v>
      </c>
      <c r="D6283" s="2" t="str">
        <f t="shared" si="97"/>
        <v>Error?</v>
      </c>
      <c r="E6283" s="2" t="s">
        <v>190</v>
      </c>
    </row>
    <row r="6284" spans="1:5" x14ac:dyDescent="0.2">
      <c r="A6284">
        <v>6223</v>
      </c>
      <c r="B6284" s="138">
        <f>'Acct Summary 7-8'!K83</f>
        <v>5.7792778214434326E-3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79342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79342</v>
      </c>
      <c r="D6301" s="2" t="str">
        <f t="shared" si="97"/>
        <v>Error?</v>
      </c>
      <c r="E6301" s="2" t="s">
        <v>190</v>
      </c>
    </row>
    <row r="6302" spans="1:5" x14ac:dyDescent="0.2">
      <c r="A6302">
        <v>6241</v>
      </c>
      <c r="B6302" s="138">
        <f>'Revenues 9-14'!J14</f>
        <v>292</v>
      </c>
      <c r="D6302" s="2" t="str">
        <f t="shared" si="97"/>
        <v>Error?</v>
      </c>
      <c r="E6302" s="2" t="s">
        <v>190</v>
      </c>
    </row>
    <row r="6303" spans="1:5" x14ac:dyDescent="0.2">
      <c r="A6303">
        <v>6242</v>
      </c>
      <c r="B6303" s="138">
        <f>'Revenues 9-14'!J15</f>
        <v>179</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471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220588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2391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79890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3375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18748</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18748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15673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3718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4127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514</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24032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600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600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855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855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1950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1950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4783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4783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1847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1847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10035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971888</v>
      </c>
      <c r="D6983" s="2" t="str">
        <f t="shared" si="108"/>
        <v>Error?</v>
      </c>
    </row>
    <row r="6984" spans="1:4" x14ac:dyDescent="0.2">
      <c r="A6984">
        <v>6923</v>
      </c>
      <c r="B6984" s="138">
        <f>'Expenditures 15-22'!K86</f>
        <v>971888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971888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34067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1607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1607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1607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163118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1607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79890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2880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2880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2880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42917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42917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12398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12398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82342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82342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163118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163118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163118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163118</v>
      </c>
      <c r="D7224" s="2" t="str">
        <f t="shared" si="111"/>
        <v>Error?</v>
      </c>
    </row>
    <row r="7225" spans="1:4" x14ac:dyDescent="0.2">
      <c r="A7225">
        <v>7164</v>
      </c>
      <c r="B7225" s="138">
        <f>'Expenditures 15-22'!K343</f>
        <v>-83228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38554</v>
      </c>
      <c r="D7624" s="2" t="str">
        <f t="shared" si="124"/>
        <v>Error?</v>
      </c>
      <c r="E7624" s="2" t="s">
        <v>19</v>
      </c>
    </row>
    <row r="7625" spans="1:5" x14ac:dyDescent="0.2">
      <c r="A7625">
        <f t="shared" si="123"/>
        <v>7564</v>
      </c>
      <c r="B7625" s="138">
        <f>'Cap Outlay Deprec 26'!I17</f>
        <v>3855.4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696331.4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25461</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25461</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793695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2945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2391</v>
      </c>
      <c r="D7712" s="2" t="str">
        <f t="shared" si="126"/>
        <v>Error?</v>
      </c>
      <c r="E7712" s="2" t="s">
        <v>827</v>
      </c>
    </row>
    <row r="7713" spans="1:6" x14ac:dyDescent="0.2">
      <c r="A7713">
        <v>7652</v>
      </c>
      <c r="B7713" s="138">
        <f>'Rest Tax Levies-Tort Im 25'!J8</f>
        <v>594143</v>
      </c>
      <c r="D7713" s="2" t="str">
        <f t="shared" si="126"/>
        <v>Error?</v>
      </c>
      <c r="E7713" s="2" t="s">
        <v>827</v>
      </c>
    </row>
    <row r="7714" spans="1:6" x14ac:dyDescent="0.2">
      <c r="A7714">
        <v>7653</v>
      </c>
      <c r="B7714" s="138">
        <f>'Rest Tax Levies-Tort Im 25'!K9</f>
        <v>30830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597088</v>
      </c>
      <c r="D7718" s="2" t="str">
        <f t="shared" si="126"/>
        <v>Error?</v>
      </c>
      <c r="E7718" s="2" t="s">
        <v>827</v>
      </c>
    </row>
    <row r="7719" spans="1:6" x14ac:dyDescent="0.2">
      <c r="A7719">
        <v>7658</v>
      </c>
      <c r="B7719" s="138">
        <f>'Rest Tax Levies-Tort Im 25'!K12</f>
        <v>33221</v>
      </c>
      <c r="D7719" s="2" t="str">
        <f t="shared" si="126"/>
        <v>Error?</v>
      </c>
      <c r="E7719" s="2" t="s">
        <v>827</v>
      </c>
    </row>
    <row r="7720" spans="1:6" x14ac:dyDescent="0.2">
      <c r="A7720">
        <v>7659</v>
      </c>
      <c r="B7720" s="138">
        <f>'Rest Tax Levies-Tort Im 25'!H14</f>
        <v>58545</v>
      </c>
      <c r="D7720" s="2" t="str">
        <f t="shared" si="126"/>
        <v>Error?</v>
      </c>
      <c r="E7720" s="2" t="s">
        <v>827</v>
      </c>
    </row>
    <row r="7721" spans="1:6" x14ac:dyDescent="0.2">
      <c r="A7721">
        <v>7660</v>
      </c>
      <c r="B7721" s="138">
        <f>'Rest Tax Levies-Tort Im 25'!K14</f>
        <v>33221</v>
      </c>
      <c r="D7721" s="2" t="str">
        <f t="shared" si="126"/>
        <v>Error?</v>
      </c>
      <c r="E7721" s="2" t="s">
        <v>827</v>
      </c>
    </row>
    <row r="7722" spans="1:6" x14ac:dyDescent="0.2">
      <c r="A7722">
        <v>7661</v>
      </c>
      <c r="B7722" s="138">
        <f>'Rest Tax Levies-Tort Im 25'!J15</f>
        <v>376479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100000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100000</v>
      </c>
      <c r="D7727" s="2" t="str">
        <f t="shared" si="126"/>
        <v>Error?</v>
      </c>
      <c r="E7727" s="2" t="s">
        <v>827</v>
      </c>
    </row>
    <row r="7728" spans="1:6" x14ac:dyDescent="0.2">
      <c r="A7728">
        <v>7667</v>
      </c>
      <c r="B7728" s="138">
        <f>'Revenues 9-14'!E103</f>
        <v>100000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476479</v>
      </c>
      <c r="D7730" s="2" t="str">
        <f t="shared" si="126"/>
        <v>Error?</v>
      </c>
      <c r="E7730" s="2" t="s">
        <v>827</v>
      </c>
    </row>
    <row r="7731" spans="1:6" x14ac:dyDescent="0.2">
      <c r="A7731">
        <v>7670</v>
      </c>
      <c r="B7731" s="138">
        <f>'Revenues 9-14'!H103</f>
        <v>494143</v>
      </c>
      <c r="D7731" s="2" t="str">
        <f t="shared" si="126"/>
        <v>Error?</v>
      </c>
      <c r="E7731" s="2" t="s">
        <v>827</v>
      </c>
    </row>
    <row r="7732" spans="1:6" x14ac:dyDescent="0.2">
      <c r="A7732">
        <v>7671</v>
      </c>
      <c r="B7732" s="138">
        <f>'Rest Tax Levies-Tort Im 25'!J24</f>
        <v>914304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145212</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914304</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18748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1987</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9" t="str">
        <f>COVER!A17</f>
        <v>Rantoul Township HSD 193</v>
      </c>
      <c r="B7" s="2390"/>
      <c r="C7" s="2390"/>
      <c r="D7" s="2427"/>
      <c r="E7" s="2428">
        <f>COVER!A13</f>
        <v>9010193017</v>
      </c>
      <c r="F7" s="2429"/>
      <c r="G7" s="2396" t="str">
        <f>COVER!T23</f>
        <v>065.018319</v>
      </c>
      <c r="H7" s="2397"/>
      <c r="I7" s="2397"/>
      <c r="J7" s="2397"/>
      <c r="K7" s="2397"/>
      <c r="L7" s="239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9"/>
      <c r="B9" s="2400"/>
      <c r="C9" s="2400"/>
      <c r="D9" s="2400"/>
      <c r="E9" s="2400"/>
      <c r="F9" s="2401"/>
      <c r="G9" s="2402" t="str">
        <f>COVER!T13</f>
        <v>RUSSELL LEIGH &amp; ASSOCIATES LLC</v>
      </c>
      <c r="H9" s="2403"/>
      <c r="I9" s="2403"/>
      <c r="J9" s="2403"/>
      <c r="K9" s="2403"/>
      <c r="L9" s="2404"/>
    </row>
    <row r="10" spans="1:29" ht="13.5" customHeight="1" x14ac:dyDescent="0.2">
      <c r="A10" s="2386" t="str">
        <f>COVER!A38</f>
        <v>Scott Amerio</v>
      </c>
      <c r="B10" s="2387"/>
      <c r="C10" s="2387"/>
      <c r="D10" s="2387"/>
      <c r="E10" s="2387"/>
      <c r="F10" s="2388"/>
      <c r="G10" s="2402" t="str">
        <f>COVER!T17</f>
        <v>228 E MAIN ST</v>
      </c>
      <c r="H10" s="2415"/>
      <c r="I10" s="2415"/>
      <c r="J10" s="2415"/>
      <c r="K10" s="2415"/>
      <c r="L10" s="2416"/>
    </row>
    <row r="11" spans="1:29" ht="13.5" customHeight="1" x14ac:dyDescent="0.2">
      <c r="A11" s="1184" t="s">
        <v>1519</v>
      </c>
      <c r="B11" s="1185"/>
      <c r="C11" s="1186"/>
      <c r="D11" s="1191"/>
      <c r="E11" s="1186"/>
      <c r="F11" s="1190"/>
      <c r="G11" s="2402" t="str">
        <f>COVER!T19</f>
        <v>HOOPESTON</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admin@russleigh.com</v>
      </c>
      <c r="J13" s="2424"/>
      <c r="K13" s="2424"/>
      <c r="L13" s="2425"/>
    </row>
    <row r="14" spans="1:29" ht="13.5" customHeight="1" x14ac:dyDescent="0.2">
      <c r="A14" s="2402" t="str">
        <f>COVER!A19</f>
        <v>200 S SHELDON ST</v>
      </c>
      <c r="B14" s="2415"/>
      <c r="C14" s="2415"/>
      <c r="D14" s="2415"/>
      <c r="E14" s="2415"/>
      <c r="F14" s="2416"/>
      <c r="G14" s="1195" t="s">
        <v>1185</v>
      </c>
      <c r="H14" s="1193"/>
      <c r="I14" s="1193"/>
      <c r="J14" s="1193"/>
      <c r="K14" s="1193"/>
      <c r="L14" s="1194"/>
    </row>
    <row r="15" spans="1:29" ht="13.5" customHeight="1" x14ac:dyDescent="0.2">
      <c r="A15" s="2402" t="str">
        <f>COVER!A21</f>
        <v>RANTOUL</v>
      </c>
      <c r="B15" s="2415"/>
      <c r="C15" s="2415"/>
      <c r="D15" s="2415"/>
      <c r="E15" s="2415"/>
      <c r="F15" s="2416"/>
      <c r="G15" s="2412" t="str">
        <f>COVER!T15</f>
        <v>RUSS LEIGH</v>
      </c>
      <c r="H15" s="2413"/>
      <c r="I15" s="2413"/>
      <c r="J15" s="2413"/>
      <c r="K15" s="2413"/>
      <c r="L15" s="2414"/>
    </row>
    <row r="16" spans="1:29" ht="12.2" customHeight="1" x14ac:dyDescent="0.2">
      <c r="A16" s="2392">
        <f>COVER!A25</f>
        <v>61866</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1184</v>
      </c>
      <c r="H17" s="1193"/>
      <c r="I17" s="1193"/>
      <c r="J17" s="1193"/>
      <c r="K17" s="1197" t="s">
        <v>1183</v>
      </c>
      <c r="L17" s="1190"/>
      <c r="M17" s="1183"/>
    </row>
    <row r="18" spans="1:13" ht="12.2" customHeight="1" x14ac:dyDescent="0.2">
      <c r="A18" s="2386"/>
      <c r="B18" s="2387"/>
      <c r="C18" s="2387"/>
      <c r="D18" s="2387"/>
      <c r="E18" s="2387"/>
      <c r="F18" s="2388"/>
      <c r="G18" s="2389" t="str">
        <f>COVER!T21</f>
        <v>217-283-9336</v>
      </c>
      <c r="H18" s="2390"/>
      <c r="I18" s="2390"/>
      <c r="J18" s="2390"/>
      <c r="K18" s="2389" t="str">
        <f>COVER!X21</f>
        <v>217-283-9736</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Rantoul Township HSD 193</v>
      </c>
      <c r="B1" s="2426"/>
      <c r="C1" s="2426"/>
      <c r="D1" s="2426"/>
    </row>
    <row r="2" spans="1:11" s="1212" customFormat="1" ht="12.75" x14ac:dyDescent="0.2">
      <c r="A2" s="2431">
        <f>'Single Audit Cover'!E7</f>
        <v>9010193017</v>
      </c>
      <c r="B2" s="2432"/>
      <c r="C2" s="2432"/>
      <c r="D2" s="2432"/>
    </row>
    <row r="3" spans="1:11" s="1212" customFormat="1" ht="12.75" x14ac:dyDescent="0.2">
      <c r="A3" s="2430" t="s">
        <v>1513</v>
      </c>
      <c r="B3" s="2426"/>
      <c r="C3" s="2426"/>
      <c r="D3" s="242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Rantoul Township HSD 193</v>
      </c>
      <c r="B1" s="2434"/>
      <c r="C1" s="2434"/>
      <c r="D1" s="2434"/>
      <c r="E1" s="2434"/>
    </row>
    <row r="2" spans="1:5" x14ac:dyDescent="0.2">
      <c r="A2" s="2435">
        <f>'Single Audit Cover'!E7</f>
        <v>9010193017</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567509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-9868</v>
      </c>
    </row>
    <row r="19" spans="1:4" ht="13.5" thickBot="1" x14ac:dyDescent="0.25">
      <c r="A19" s="1262" t="s">
        <v>1235</v>
      </c>
      <c r="D19" s="1263">
        <f>SUM(D10:D17)</f>
        <v>557641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557641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557641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Rantoul Township HSD 193</v>
      </c>
      <c r="C1" s="2438"/>
      <c r="D1" s="2438"/>
      <c r="E1" s="2438"/>
      <c r="F1" s="2438"/>
      <c r="G1" s="2438"/>
      <c r="H1" s="2438"/>
      <c r="I1" s="2438"/>
      <c r="J1" s="2438"/>
      <c r="K1" s="2438"/>
      <c r="L1" s="2438"/>
      <c r="M1" s="2438"/>
    </row>
    <row r="2" spans="2:14" ht="15" x14ac:dyDescent="0.2">
      <c r="B2" s="2439">
        <f>'Single Audit Cover'!E7</f>
        <v>9010193017</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Rantoul Township HSD 193</v>
      </c>
      <c r="B1" s="2443"/>
      <c r="C1" s="2443"/>
      <c r="D1" s="2443"/>
      <c r="E1" s="2443"/>
      <c r="F1" s="2443"/>
    </row>
    <row r="2" spans="1:7" ht="13.5" customHeight="1" x14ac:dyDescent="0.2">
      <c r="A2" s="2439">
        <f>'Single Audit Cover'!E7</f>
        <v>9010193017</v>
      </c>
      <c r="B2" s="2439"/>
      <c r="C2" s="2439"/>
      <c r="D2" s="2439"/>
      <c r="E2" s="2439"/>
      <c r="F2" s="2439"/>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0" t="s">
        <v>1732</v>
      </c>
      <c r="B32" s="2450"/>
      <c r="C32" s="2450"/>
      <c r="D32" s="2450"/>
      <c r="E32" s="2450"/>
      <c r="F32" s="245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1">
        <f>+C33+C34</f>
        <v>0</v>
      </c>
      <c r="F34" s="245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1590</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1551</v>
      </c>
      <c r="C51" s="2449"/>
      <c r="D51" s="2449"/>
    </row>
    <row r="52" spans="1:5" ht="14.25" customHeight="1" x14ac:dyDescent="0.2">
      <c r="A52" s="1298"/>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Rantoul Township HSD 193</v>
      </c>
      <c r="C1" s="2459"/>
      <c r="D1" s="2459"/>
      <c r="E1" s="2459"/>
      <c r="F1" s="2459"/>
      <c r="G1" s="2459"/>
      <c r="H1" s="2459"/>
      <c r="I1" s="2459"/>
      <c r="J1" s="1406"/>
    </row>
    <row r="2" spans="2:10" s="317" customFormat="1" ht="12.75" customHeight="1" x14ac:dyDescent="0.2">
      <c r="B2" s="2460">
        <f>'Single Audit Cover'!E7</f>
        <v>9010193017</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72" t="s">
        <v>1593</v>
      </c>
      <c r="D43" s="2473"/>
      <c r="E43" s="2473"/>
      <c r="F43" s="2474"/>
      <c r="G43" s="2475">
        <f>SUM(G38:I42)</f>
        <v>0</v>
      </c>
      <c r="H43" s="2475"/>
      <c r="I43" s="2475"/>
    </row>
    <row r="44" spans="2:9" ht="12.75" customHeight="1" x14ac:dyDescent="0.2"/>
    <row r="45" spans="2:9" ht="12.75" customHeight="1" x14ac:dyDescent="0.2">
      <c r="B45" s="1419" t="s">
        <v>2062</v>
      </c>
      <c r="D45" s="2476">
        <v>0</v>
      </c>
      <c r="E45" s="247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8"/>
      <c r="F49" s="2478"/>
      <c r="G49" s="247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Rantoul Township HSD 193</v>
      </c>
      <c r="C1" s="2458"/>
      <c r="D1" s="2458"/>
      <c r="E1" s="2458"/>
      <c r="F1" s="2458"/>
      <c r="G1" s="2458"/>
      <c r="H1" s="2458"/>
      <c r="I1" s="2458"/>
      <c r="J1" s="2458"/>
      <c r="K1" s="2458"/>
      <c r="L1" s="1371"/>
      <c r="M1" s="1371"/>
    </row>
    <row r="2" spans="1:13" ht="12" customHeight="1" x14ac:dyDescent="0.2">
      <c r="B2" s="2460">
        <f>'Single Audit Cover'!E7</f>
        <v>9010193017</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Rantoul Township HSD 193</v>
      </c>
      <c r="C1" s="2485"/>
      <c r="D1" s="2485"/>
      <c r="E1" s="2485"/>
      <c r="F1" s="2485"/>
      <c r="G1" s="2485"/>
      <c r="H1" s="2485"/>
      <c r="I1" s="2485"/>
      <c r="J1" s="2485"/>
      <c r="K1" s="2485"/>
      <c r="L1" s="1449"/>
    </row>
    <row r="2" spans="1:12" ht="12.75" customHeight="1" x14ac:dyDescent="0.2">
      <c r="B2" s="2486">
        <f>'Single Audit Cover'!E7</f>
        <v>9010193017</v>
      </c>
      <c r="C2" s="2486"/>
      <c r="D2" s="2486"/>
      <c r="E2" s="2486"/>
      <c r="F2" s="2486"/>
      <c r="G2" s="2486"/>
      <c r="H2" s="2486"/>
      <c r="I2" s="2486"/>
      <c r="J2" s="2486"/>
      <c r="K2" s="2486"/>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Rantoul Township HSD 193</v>
      </c>
      <c r="C1" s="2458"/>
      <c r="D1" s="2458"/>
      <c r="E1" s="1469"/>
    </row>
    <row r="2" spans="2:5" s="1279" customFormat="1" ht="12.75" customHeight="1" x14ac:dyDescent="0.2">
      <c r="B2" s="2460">
        <f>'Single Audit Cover'!E7</f>
        <v>9010193017</v>
      </c>
      <c r="C2" s="2460"/>
      <c r="D2" s="2460"/>
      <c r="E2" s="1470"/>
    </row>
    <row r="3" spans="2:5" ht="12.75" customHeight="1" x14ac:dyDescent="0.2">
      <c r="B3" s="2481" t="s">
        <v>1766</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d21dc803-237d-4c68-8692-8d731fd29118"/>
    <ds:schemaRef ds:uri="6ce3111e-7420-4802-b50a-75d4e9a0b980"/>
    <ds:schemaRef ds:uri="http://schemas.microsoft.com/sharepoint/v3"/>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2019-11-11T02:43:29Z</cp:lastPrinted>
  <dcterms:created xsi:type="dcterms:W3CDTF">2003-10-29T19:06:34Z</dcterms:created>
  <dcterms:modified xsi:type="dcterms:W3CDTF">2019-12-19T16:58:47Z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