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0FDD7A64-33A7-426B-B848-D438CA4AC347}" xr6:coauthVersionLast="36" xr6:coauthVersionMax="36" xr10:uidLastSave="{00000000-0000-0000-0000-000000000000}"/>
  <bookViews>
    <workbookView xWindow="-28920" yWindow="-120" windowWidth="29040" windowHeight="1414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2)" sheetId="183" r:id="rId28"/>
    <sheet name=" SEFA (3)" sheetId="184" r:id="rId29"/>
    <sheet name=" SEFA" sheetId="179"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9">' SEFA'!$B$1:$M$46</definedName>
    <definedName name="_xlnm.Print_Area" localSheetId="27">' SEFA (2)'!$B$1:$M$46</definedName>
    <definedName name="_xlnm.Print_Area" localSheetId="28">'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9">#REF!</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9">#REF!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9">#REF!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9">#REF!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9">#REF!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7" i="184" l="1"/>
  <c r="L26" i="184"/>
  <c r="L25" i="184"/>
  <c r="L23" i="184"/>
  <c r="L22" i="184"/>
  <c r="L21" i="184"/>
  <c r="L20"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84"/>
  <c r="B1" i="184"/>
  <c r="B1"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B7718" i="106" s="1"/>
  <c r="D7718" i="106" s="1"/>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B6997" i="106" s="1"/>
  <c r="D6997" i="106" s="1"/>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2" i="127"/>
  <c r="B63" i="127"/>
  <c r="E26" i="108"/>
  <c r="G26" i="108"/>
  <c r="D27" i="108"/>
  <c r="E27" i="108"/>
  <c r="F27" i="108"/>
  <c r="G27" i="108"/>
  <c r="F31" i="108"/>
  <c r="F36" i="108"/>
  <c r="G28" i="108"/>
  <c r="G30" i="108"/>
  <c r="D31" i="108"/>
  <c r="D36" i="108"/>
  <c r="E31" i="108"/>
  <c r="G31" i="108"/>
  <c r="E33"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C67" i="34"/>
  <c r="D67" i="34"/>
  <c r="F67" i="34"/>
  <c r="C68" i="34"/>
  <c r="D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J22" i="37"/>
  <c r="F64" i="34" l="1"/>
  <c r="F77" i="4"/>
  <c r="B3255" i="106" s="1"/>
  <c r="D3255" i="106" s="1"/>
  <c r="L342" i="29"/>
  <c r="G29" i="108"/>
  <c r="G210" i="29"/>
  <c r="D24" i="37"/>
  <c r="B4270" i="106" s="1"/>
  <c r="D4270" i="106" s="1"/>
  <c r="B3647" i="106"/>
  <c r="D3647" i="106" s="1"/>
  <c r="G15" i="145"/>
  <c r="E38" i="108"/>
  <c r="L22" i="37"/>
  <c r="H28" i="118"/>
  <c r="H112" i="29"/>
  <c r="B7018" i="106" s="1"/>
  <c r="D7018" i="106" s="1"/>
  <c r="F37" i="34"/>
  <c r="C342" i="29"/>
  <c r="B7216" i="106" s="1"/>
  <c r="D7216" i="106" s="1"/>
  <c r="B6289" i="106"/>
  <c r="D6289" i="106" s="1"/>
  <c r="C129" i="29"/>
  <c r="I129" i="29"/>
  <c r="B7037" i="106" s="1"/>
  <c r="D7037" i="106" s="1"/>
  <c r="H342" i="29"/>
  <c r="D54" i="36"/>
  <c r="G14" i="4"/>
  <c r="B2609" i="106" s="1"/>
  <c r="D2609" i="106" s="1"/>
  <c r="F72" i="34"/>
  <c r="F71" i="34"/>
  <c r="F28" i="108"/>
  <c r="E34" i="108"/>
  <c r="B2724" i="106"/>
  <c r="D2724" i="106" s="1"/>
  <c r="F38" i="34"/>
  <c r="F19" i="7"/>
  <c r="B1807" i="106" s="1"/>
  <c r="D1807" i="106" s="1"/>
  <c r="J77" i="4"/>
  <c r="B6262" i="106" s="1"/>
  <c r="D6262" i="106" s="1"/>
  <c r="J41" i="3"/>
  <c r="B6216" i="106" s="1"/>
  <c r="D6216" i="106" s="1"/>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1" i="106" l="1"/>
  <c r="J151" i="29"/>
  <c r="B7052" i="106" s="1"/>
  <c r="D7052" i="106" s="1"/>
  <c r="B1365" i="106"/>
  <c r="D1365" i="106" s="1"/>
  <c r="F65" i="34"/>
  <c r="J16" i="4"/>
  <c r="B6226" i="106" s="1"/>
  <c r="D6226" i="106" s="1"/>
  <c r="D51" i="36"/>
  <c r="L16" i="11"/>
  <c r="B2061" i="106" s="1"/>
  <c r="D2061" i="106" s="1"/>
  <c r="B5527" i="106"/>
  <c r="D5527" i="106" s="1"/>
  <c r="F41" i="108"/>
  <c r="G43" i="108" s="1"/>
  <c r="C114" i="29"/>
  <c r="B757" i="106" s="1"/>
  <c r="D757"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B6223" i="106"/>
  <c r="D6223" i="106" s="1"/>
  <c r="F8" i="4"/>
  <c r="F10" i="4" s="1"/>
  <c r="B4125" i="106" s="1"/>
  <c r="D4125"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8" i="146" l="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175" i="34"/>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<sst xmlns="http://schemas.openxmlformats.org/spreadsheetml/2006/main" count="5271" uniqueCount="2170">
  <si>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</si>
  <si>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</si>
  <si>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</si>
  <si>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</si>
  <si>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</si>
  <si>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</si>
  <si>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</si>
  <si>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</si>
  <si>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</si>
  <si>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</si>
  <si>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</si>
  <si>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</si>
  <si>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</si>
  <si>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</si>
  <si>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</si>
  <si>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</si>
  <si>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</si>
  <si>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</si>
  <si>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</si>
  <si>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</si>
  <si>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</si>
  <si>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</si>
  <si>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</si>
  <si>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</si>
  <si>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</si>
  <si>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</si>
  <si>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</si>
  <si>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</si>
  <si>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</si>
  <si>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</si>
  <si>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</si>
  <si>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</si>
  <si>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</si>
  <si>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</si>
  <si>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</si>
  <si>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</si>
  <si>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</si>
  <si>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</si>
  <si>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</si>
  <si>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</si>
  <si>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</si>
  <si>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</si>
  <si>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</si>
  <si>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</si>
  <si>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</si>
  <si>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</si>
  <si>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</si>
  <si>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</si>
  <si>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</si>
  <si>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</si>
  <si>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</si>
  <si>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</si>
  <si>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</si>
  <si>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</si>
  <si>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</si>
  <si>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</si>
  <si>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</si>
  <si>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</si>
  <si>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</si>
  <si>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</si>
  <si>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</si>
  <si>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</si>
  <si>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</si>
  <si>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</si>
  <si>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</si>
  <si>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</si>
  <si>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</si>
  <si>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</si>
  <si>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</si>
  <si>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</si>
  <si>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</si>
  <si>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</si>
  <si>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</si>
  <si>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</si>
  <si>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</si>
  <si>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</si>
  <si>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</si>
  <si>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</si>
  <si>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</si>
  <si>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</si>
  <si>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</si>
  <si>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</si>
  <si>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</si>
  <si>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</si>
  <si>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</si>
  <si>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</si>
  <si>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</si>
  <si>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</si>
  <si>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</si>
  <si>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</si>
  <si>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</si>
  <si>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</si>
  <si>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</si>
  <si>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</si>
  <si>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</si>
  <si>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</si>
  <si>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</si>
  <si>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</si>
  <si>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</si>
  <si>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</si>
  <si>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</si>
  <si>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</si>
  <si>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</si>
  <si>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</si>
  <si>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</si>
  <si>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</si>
  <si>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</si>
  <si>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</si>
  <si>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</si>
  <si>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</si>
  <si>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</si>
  <si>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</si>
  <si>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</si>
  <si>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</si>
  <si>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</si>
  <si>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</si>
  <si>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</si>
  <si>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</si>
  <si>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</si>
  <si>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</si>
  <si>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</si>
  <si>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</si>
  <si>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</si>
  <si>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</si>
  <si>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</si>
  <si>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</si>
  <si>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</si>
  <si>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</si>
  <si>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</si>
  <si>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</si>
  <si>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</si>
  <si>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</si>
  <si>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</si>
  <si>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</si>
  <si>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</si>
  <si>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</si>
  <si>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</si>
  <si>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</si>
  <si>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</si>
  <si>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</si>
  <si>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</si>
  <si>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</si>
  <si>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</si>
  <si>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</si>
  <si>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</si>
  <si>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</si>
  <si>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</si>
  <si>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</si>
  <si>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</si>
  <si>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</si>
  <si>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</si>
  <si>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</si>
  <si>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</si>
  <si>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</si>
  <si>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</si>
  <si>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</si>
  <si>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</si>
  <si>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</si>
  <si>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</si>
  <si>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</si>
  <si>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</si>
  <si>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</si>
  <si>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</si>
  <si>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</si>
  <si>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</si>
  <si>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</si>
  <si>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</si>
  <si>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</si>
  <si>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</si>
  <si>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</si>
  <si>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</si>
  <si>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</si>
  <si>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</si>
  <si>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</si>
  <si>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</si>
  <si>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</si>
  <si>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</si>
  <si>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</si>
  <si>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</si>
  <si>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</si>
  <si>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</si>
  <si>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</si>
  <si>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</si>
  <si>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</si>
  <si>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</si>
  <si>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</si>
  <si>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</si>
  <si>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</si>
  <si>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</si>
  <si>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</si>
  <si>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</si>
  <si>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</si>
  <si>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</si>
  <si>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</si>
  <si>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</si>
  <si>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</si>
  <si>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</si>
  <si>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</si>
  <si>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</si>
  <si>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</si>
  <si>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</si>
  <si>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</si>
  <si>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</si>
  <si>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</si>
  <si>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</si>
  <si>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</si>
  <si>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</si>
  <si>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</si>
  <si>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</si>
  <si>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</si>
  <si>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</si>
  <si>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</si>
  <si>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</si>
  <si>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</si>
  <si>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</si>
  <si>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</si>
  <si>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</si>
  <si>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</si>
  <si>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</si>
  <si>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</si>
  <si>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</si>
  <si>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</si>
  <si>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</si>
  <si>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</si>
  <si>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</si>
  <si>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</si>
  <si>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</si>
  <si>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</si>
  <si>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</si>
  <si>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</si>
  <si>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</si>
  <si>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</si>
  <si>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</si>
  <si>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</si>
  <si>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</si>
  <si>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</si>
  <si>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</si>
  <si>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</si>
  <si>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</si>
  <si>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</si>
  <si>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</si>
  <si>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</si>
  <si>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</si>
  <si>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</si>
  <si>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</si>
  <si>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</si>
  <si>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</si>
  <si>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</si>
  <si>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</si>
  <si>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</si>
  <si>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</si>
  <si>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</si>
  <si>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</si>
  <si>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</si>
  <si>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</si>
  <si>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</si>
  <si>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</si>
  <si>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</si>
  <si>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</si>
  <si>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</si>
  <si>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</si>
  <si>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</si>
  <si>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</si>
  <si>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</si>
  <si>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</si>
  <si>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</si>
  <si>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</si>
  <si>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</si>
  <si>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</si>
  <si>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</si>
  <si>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</si>
  <si>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</si>
  <si>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</si>
  <si>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</si>
  <si>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</si>
  <si>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</si>
  <si>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</si>
  <si>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</si>
  <si>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</si>
  <si>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</si>
  <si>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</si>
  <si>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</si>
  <si>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</si>
  <si>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</si>
  <si>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</si>
  <si>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</si>
  <si>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</si>
  <si>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</si>
  <si>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</si>
  <si>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</si>
  <si>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</si>
  <si>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</si>
  <si>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</si>
  <si>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</si>
  <si>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</si>
  <si>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</si>
  <si>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</si>
  <si>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</si>
  <si>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</si>
  <si>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</si>
  <si>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</si>
  <si>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</si>
  <si>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</si>
  <si>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</si>
  <si>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</si>
  <si>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</si>
  <si>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</si>
  <si>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</si>
  <si>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</si>
  <si>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</si>
  <si>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</si>
  <si>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</si>
  <si>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</si>
  <si>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</si>
  <si>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</si>
  <si>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</si>
  <si>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</si>
  <si>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</si>
  <si>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</si>
  <si>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</si>
  <si>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</si>
  <si>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</si>
  <si>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</si>
  <si>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</si>
  <si>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</si>
  <si>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</si>
  <si>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</si>
  <si>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</si>
  <si>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</si>
  <si>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</si>
  <si>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</si>
  <si>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</si>
  <si>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</si>
  <si>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</si>
  <si>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</si>
  <si>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</si>
  <si>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</si>
  <si>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</si>
  <si>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</si>
  <si>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</si>
  <si>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</si>
  <si>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</si>
  <si>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</si>
  <si>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</si>
  <si>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</si>
  <si>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</si>
  <si>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</si>
  <si>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</si>
  <si>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</si>
  <si>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</si>
  <si>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</si>
  <si>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</si>
  <si>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</si>
  <si>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</si>
  <si>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</si>
  <si>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</si>
  <si>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</si>
  <si>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</si>
  <si>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</si>
  <si>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</si>
  <si>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</si>
  <si>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</si>
  <si>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</si>
  <si>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</si>
  <si>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</si>
  <si>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</si>
  <si>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</si>
  <si>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</si>
  <si>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</si>
  <si>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</si>
  <si>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</si>
  <si>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</si>
  <si>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</si>
  <si>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</si>
  <si>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</si>
  <si>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</si>
  <si>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</si>
  <si>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</si>
  <si>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</si>
  <si>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</si>
  <si>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</si>
  <si>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</si>
  <si>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</si>
  <si>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</si>
  <si>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</si>
  <si>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</si>
  <si>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</si>
  <si>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</si>
  <si>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</si>
  <si>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</si>
  <si>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</si>
  <si>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</si>
  <si>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</si>
  <si>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</si>
  <si>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</si>
  <si>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</si>
  <si>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</si>
  <si>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</si>
  <si>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</si>
  <si>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</si>
  <si>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</si>
  <si>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</si>
  <si>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</si>
  <si>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</si>
  <si>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</si>
  <si>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</si>
  <si>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</si>
  <si>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</si>
  <si>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</si>
  <si>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</si>
  <si>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</si>
  <si>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</si>
  <si>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</si>
  <si>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</si>
  <si>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</si>
  <si>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</si>
  <si>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</si>
  <si>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</si>
  <si>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</si>
  <si>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</si>
  <si>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</si>
  <si>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</si>
  <si>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</si>
  <si>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</si>
  <si>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</si>
  <si>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</si>
  <si>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</si>
  <si>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</si>
  <si>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</si>
  <si>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</si>
  <si>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</si>
  <si>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</si>
  <si>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</si>
  <si>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</si>
  <si>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</si>
  <si>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</si>
  <si>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</si>
  <si>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</si>
  <si>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</si>
  <si>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</si>
  <si>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</si>
  <si>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</si>
  <si>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</si>
  <si>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</si>
  <si>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</si>
  <si>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</si>
  <si>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</si>
  <si>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</si>
  <si>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</si>
  <si>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</si>
  <si>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</si>
  <si>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</si>
  <si>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</si>
  <si>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</si>
  <si>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</si>
  <si>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</si>
  <si>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</si>
  <si>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</si>
  <si>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</si>
  <si>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</si>
  <si>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</si>
  <si>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</si>
  <si>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</si>
  <si>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</si>
  <si>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</si>
  <si>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</si>
  <si>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</si>
  <si>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</si>
  <si>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</si>
  <si>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</si>
  <si>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</si>
  <si>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</si>
  <si>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</si>
  <si>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</si>
  <si>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</si>
  <si>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</si>
  <si>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</si>
  <si>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</si>
  <si>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</si>
  <si>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</si>
  <si>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</si>
  <si>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</si>
  <si>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</si>
  <si>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</si>
  <si>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</si>
  <si>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</si>
  <si>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</si>
  <si>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</si>
  <si>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</si>
  <si>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</si>
  <si>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</si>
  <si>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</si>
  <si>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</si>
  <si>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</si>
  <si>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</si>
  <si>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</si>
  <si>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</si>
  <si>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</si>
  <si>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</si>
  <si>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</si>
  <si>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</si>
  <si>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</si>
  <si>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</si>
  <si>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</si>
  <si>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</si>
  <si>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</si>
  <si>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</si>
  <si>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</si>
  <si>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</si>
  <si>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</si>
  <si>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</si>
  <si>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</si>
  <si>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</si>
  <si>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</si>
  <si>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</si>
  <si>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</si>
  <si>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</si>
  <si>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</si>
  <si>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</si>
  <si>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</si>
  <si>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</si>
  <si>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</si>
  <si>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</si>
  <si>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</si>
  <si>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</si>
  <si>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</si>
  <si>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</si>
  <si>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</si>
  <si>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</si>
  <si>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</si>
  <si>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</si>
  <si>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</si>
  <si>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</si>
  <si>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</si>
  <si>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</si>
  <si>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</si>
  <si>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</si>
  <si>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</si>
  <si>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</si>
  <si>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</si>
  <si>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</si>
  <si>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</si>
  <si>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</si>
  <si>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</si>
  <si>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</si>
  <si>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</si>
  <si>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</si>
  <si>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</si>
  <si>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</si>
  <si>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</si>
  <si>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</si>
  <si>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</si>
  <si>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</si>
  <si>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</si>
  <si>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</si>
  <si>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</si>
  <si>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</si>
  <si>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</si>
  <si>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</si>
  <si>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</si>
  <si>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</si>
  <si>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</si>
  <si>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</si>
  <si>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</si>
  <si>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</si>
  <si>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</si>
  <si>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</si>
  <si>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</si>
  <si>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</si>
  <si>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</si>
  <si>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</si>
  <si>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</si>
  <si>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</si>
  <si>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</si>
  <si>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</si>
  <si>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</si>
  <si>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</si>
  <si>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</si>
  <si>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</si>
  <si>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</si>
  <si>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</si>
  <si>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</si>
  <si>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</si>
  <si>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</si>
  <si>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</si>
  <si>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</si>
  <si>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</si>
  <si>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</si>
  <si>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</si>
  <si>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</si>
  <si>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</si>
  <si>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</si>
  <si>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</si>
  <si>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</si>
  <si>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</si>
  <si>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</si>
  <si>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</si>
  <si>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</si>
  <si>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</si>
  <si>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</si>
  <si>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</si>
  <si>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</si>
  <si>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</si>
  <si>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</si>
  <si>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</si>
  <si>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</si>
  <si>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</si>
  <si>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</si>
  <si>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</si>
  <si>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</si>
  <si>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</si>
  <si>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</si>
  <si>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</si>
  <si>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</si>
  <si>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</si>
  <si>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</si>
  <si>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</si>
  <si>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</si>
  <si>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</si>
  <si>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</si>
  <si>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</si>
  <si>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</si>
  <si>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</si>
  <si>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</si>
  <si>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</si>
  <si>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</si>
  <si>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</si>
  <si>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</si>
  <si>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</si>
  <si>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</si>
  <si>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</si>
  <si>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</si>
  <si>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</si>
  <si>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</si>
  <si>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</si>
  <si>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</si>
  <si>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</si>
  <si>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</si>
  <si>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</si>
  <si>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</si>
  <si>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</si>
  <si>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</si>
  <si>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</si>
  <si>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</si>
  <si>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</si>
  <si>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</si>
  <si>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</si>
  <si>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</si>
  <si>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</si>
  <si>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</si>
  <si>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</si>
  <si>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</si>
  <si>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</si>
  <si>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</si>
  <si>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</si>
  <si>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</si>
  <si>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</si>
  <si>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</si>
  <si>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</si>
  <si>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</si>
  <si>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</si>
  <si>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</si>
  <si>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</si>
  <si>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</si>
  <si>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</si>
  <si>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</si>
  <si>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</si>
  <si>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</si>
  <si>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</si>
  <si>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</si>
  <si>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</si>
  <si>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</si>
  <si>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</si>
  <si>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</si>
  <si>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</si>
  <si>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</si>
  <si>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</si>
  <si>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</si>
  <si>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</si>
  <si>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</si>
  <si>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</si>
  <si>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</si>
  <si>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</si>
  <si>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</si>
  <si>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</si>
  <si>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</si>
  <si>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</si>
  <si>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</si>
  <si>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</si>
  <si>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</si>
  <si>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</si>
  <si>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</si>
  <si>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</si>
  <si>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</si>
  <si>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</si>
  <si>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</si>
  <si>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</si>
  <si>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</si>
  <si>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</si>
  <si>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</si>
  <si>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</si>
  <si>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</si>
  <si>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</si>
  <si>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</si>
  <si>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</si>
  <si>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</si>
  <si>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</si>
  <si>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</si>
  <si>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</si>
  <si>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</si>
  <si>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</si>
  <si>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</si>
  <si>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</si>
  <si>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</si>
  <si>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</si>
  <si>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</si>
  <si>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</si>
  <si>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</si>
  <si>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</si>
  <si>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</si>
  <si>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</si>
  <si>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</si>
  <si>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</si>
  <si>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</si>
  <si>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</si>
  <si>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</si>
  <si>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</si>
  <si>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</si>
  <si>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</si>
  <si>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</si>
  <si>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</si>
  <si>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</si>
  <si>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</si>
  <si>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</si>
  <si>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</si>
  <si>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</si>
  <si>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</si>
  <si>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</si>
  <si>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</si>
  <si>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</si>
  <si>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</si>
  <si>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</si>
  <si>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</si>
  <si>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</si>
  <si>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</si>
  <si>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</si>
  <si>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</si>
  <si>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</si>
  <si>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</si>
  <si>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</si>
  <si>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</si>
  <si>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</si>
  <si>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</si>
  <si>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</si>
  <si>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</si>
  <si>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</si>
  <si>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</si>
  <si>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</si>
  <si>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</si>
  <si>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</si>
  <si>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</si>
  <si>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</si>
  <si>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</si>
  <si>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</si>
  <si>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</si>
  <si>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</si>
  <si>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</si>
  <si>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</si>
  <si>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</si>
  <si>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</si>
  <si>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</si>
  <si>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</si>
  <si>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</si>
  <si>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</si>
  <si>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</si>
  <si>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</si>
  <si>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</si>
  <si>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</si>
  <si>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</si>
  <si>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</si>
  <si>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</si>
  <si>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</si>
  <si>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</si>
  <si>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</si>
  <si>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</si>
  <si>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</si>
  <si>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</si>
  <si>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</si>
  <si>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</si>
  <si>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</si>
  <si>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</si>
  <si>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</si>
  <si>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</si>
  <si>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</si>
  <si>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</si>
  <si>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</si>
  <si>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</si>
  <si>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</si>
  <si>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</si>
  <si>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</si>
  <si>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</si>
  <si>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</si>
  <si>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</si>
  <si>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</si>
  <si>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</si>
  <si>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</si>
  <si>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</si>
  <si>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</si>
  <si>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</si>
  <si>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</si>
  <si>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</si>
  <si>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</si>
  <si>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</si>
  <si>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</si>
  <si>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</si>
  <si>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</si>
  <si>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</si>
  <si>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</si>
  <si>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</si>
  <si>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</si>
  <si>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</si>
  <si>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</si>
  <si>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</si>
  <si>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</si>
  <si>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</si>
  <si>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</si>
  <si>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</si>
  <si>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</si>
  <si>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</si>
  <si>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</si>
  <si>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</si>
  <si>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</si>
  <si>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</si>
  <si>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</si>
  <si>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</si>
  <si>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</si>
  <si>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</si>
  <si>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</si>
  <si>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</si>
  <si>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</si>
  <si>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</si>
  <si>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</si>
  <si>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</si>
  <si>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</si>
  <si>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</si>
  <si>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</si>
  <si>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</si>
  <si>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</si>
  <si>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</si>
  <si>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</si>
  <si>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</si>
  <si>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</si>
  <si>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</si>
  <si>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</si>
  <si>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</si>
  <si>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</si>
  <si>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</si>
  <si>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</si>
  <si>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</si>
  <si>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</si>
  <si>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</si>
  <si>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</si>
  <si>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</si>
  <si>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</si>
  <si>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</si>
  <si>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</si>
  <si>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</si>
  <si>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</si>
  <si>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</si>
  <si>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</si>
  <si>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</si>
  <si>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</si>
  <si>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</si>
  <si>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</si>
  <si>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</si>
  <si>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</si>
  <si>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</si>
  <si>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</si>
  <si>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</si>
  <si>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</si>
  <si>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</si>
  <si>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</si>
  <si>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</si>
  <si>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</si>
  <si>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</si>
  <si>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</si>
  <si>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</si>
  <si>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</si>
  <si>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</si>
  <si>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</si>
  <si>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</si>
  <si>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</si>
  <si>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</si>
  <si>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</si>
  <si>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</si>
  <si>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</si>
  <si>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</si>
  <si>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</si>
  <si>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</si>
  <si>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</si>
  <si>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</si>
  <si>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</si>
  <si>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</si>
  <si>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</si>
  <si>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</si>
  <si>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</si>
  <si>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</si>
  <si>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</si>
  <si>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</si>
  <si>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</si>
  <si>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</si>
  <si>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</si>
  <si>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</si>
  <si>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</si>
  <si>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</si>
  <si>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</si>
  <si>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</si>
  <si>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</si>
  <si>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</si>
  <si>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</si>
  <si>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</si>
  <si>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</si>
  <si>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</si>
  <si>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</si>
  <si>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</si>
  <si>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</si>
  <si>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</si>
  <si>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</si>
  <si>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</si>
  <si>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</si>
  <si>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</si>
  <si>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</si>
  <si>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</si>
  <si>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</si>
  <si>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</si>
  <si>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</si>
  <si>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</si>
  <si>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</si>
  <si>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</si>
  <si>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</si>
  <si>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</si>
  <si>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</si>
  <si>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</si>
  <si>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</si>
  <si>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</si>
  <si>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</si>
  <si>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</si>
  <si>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</si>
  <si>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</si>
  <si>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</si>
  <si>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</si>
  <si>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</si>
  <si>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</si>
  <si>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</si>
  <si>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</si>
  <si>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</si>
  <si>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</si>
  <si>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</si>
  <si>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</si>
  <si>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</si>
  <si>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</si>
  <si>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</si>
  <si>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</si>
  <si>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</si>
  <si>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</si>
  <si>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</si>
  <si>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</si>
  <si>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</si>
  <si>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</si>
  <si>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</si>
  <si>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</si>
  <si>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</si>
  <si>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</si>
  <si>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</si>
  <si>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</si>
  <si>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</si>
  <si>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</si>
  <si>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</si>
  <si>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</si>
  <si>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</si>
  <si>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</si>
  <si>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</si>
  <si>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</si>
  <si>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</si>
  <si>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</si>
  <si>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</si>
  <si>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</si>
  <si>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</si>
  <si>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</si>
  <si>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</si>
  <si>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</si>
  <si>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</si>
  <si>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</si>
  <si>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</si>
  <si>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</si>
  <si>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</si>
  <si>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</si>
  <si>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</si>
  <si>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</si>
  <si>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</si>
  <si>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</si>
  <si>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</si>
  <si>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</si>
  <si>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</si>
  <si>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</si>
  <si>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</si>
  <si>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</si>
  <si>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</si>
  <si>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</si>
  <si>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</si>
  <si>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</si>
  <si>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</si>
  <si>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</si>
  <si>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</si>
  <si>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</si>
  <si>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</si>
  <si>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</si>
  <si>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</si>
  <si>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</si>
  <si>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</si>
  <si>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</si>
  <si>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</si>
  <si>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</si>
  <si>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</si>
  <si>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</si>
  <si>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</si>
  <si>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</si>
  <si>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</si>
  <si>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</si>
  <si>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</si>
  <si>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</si>
  <si>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</si>
  <si>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</si>
  <si>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</si>
  <si>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</si>
  <si>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</si>
  <si>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</si>
  <si>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</si>
  <si>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</si>
  <si>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</si>
  <si>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</si>
  <si>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</si>
  <si>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</si>
  <si>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</si>
  <si>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</si>
  <si>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</si>
  <si>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</si>
  <si>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</si>
  <si>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</si>
  <si>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</si>
  <si>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</si>
  <si>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</si>
  <si>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</si>
  <si>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</si>
  <si>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</si>
  <si>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</si>
  <si>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</si>
  <si>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</si>
  <si>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</si>
  <si>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</si>
  <si>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</si>
  <si>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</si>
  <si>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</si>
  <si>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</si>
  <si>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</si>
  <si>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</si>
  <si>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</si>
  <si>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</si>
  <si>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</si>
  <si>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</si>
  <si>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</si>
  <si>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</si>
  <si>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</si>
  <si>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</si>
  <si>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</si>
  <si>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</si>
  <si>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</si>
  <si>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</si>
  <si>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</si>
  <si>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</si>
  <si>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</si>
  <si>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</si>
  <si>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</si>
  <si>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</si>
  <si>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</si>
  <si>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</si>
  <si>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</si>
  <si>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</si>
  <si>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</si>
  <si>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</si>
  <si>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</si>
  <si>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</si>
  <si>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</si>
  <si>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</si>
  <si>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</si>
  <si>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</si>
  <si>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</si>
  <si>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</si>
  <si>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</si>
  <si>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</si>
  <si>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</si>
  <si>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</si>
  <si>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</si>
  <si>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</si>
  <si>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</si>
  <si>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</si>
  <si>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</si>
  <si>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</si>
  <si>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</si>
  <si>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</si>
  <si>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</si>
  <si>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</si>
  <si>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</si>
  <si>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</si>
  <si>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</si>
  <si>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</si>
  <si>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</si>
  <si>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</si>
  <si>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</si>
  <si>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</si>
  <si>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</si>
  <si>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</si>
  <si>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</si>
  <si>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</si>
  <si>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</si>
  <si>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</si>
  <si>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</si>
  <si>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</si>
  <si>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</si>
  <si>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</si>
  <si>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</si>
  <si>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</si>
  <si>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</si>
  <si>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</si>
  <si>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</si>
  <si>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</si>
  <si>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</si>
  <si>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</si>
  <si>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</si>
  <si>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</si>
  <si>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</si>
  <si>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</si>
  <si>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</si>
  <si>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</si>
  <si>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</si>
  <si>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</si>
  <si>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</si>
  <si>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</si>
  <si>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</si>
  <si>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</si>
  <si>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</si>
  <si>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</si>
  <si>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</si>
  <si>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</si>
  <si>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</si>
  <si>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</si>
  <si>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</si>
  <si>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</si>
  <si>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</si>
  <si>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</si>
  <si>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</si>
  <si>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</si>
  <si>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</si>
  <si>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</si>
  <si>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</si>
  <si>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</si>
  <si>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</si>
  <si>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</si>
  <si>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</si>
  <si>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</si>
  <si>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</si>
  <si>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</si>
  <si>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</si>
  <si>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</si>
  <si>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</si>
  <si>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</si>
  <si>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</si>
  <si>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</si>
  <si>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</si>
  <si>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</si>
  <si>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</si>
  <si>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</si>
  <si>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</si>
  <si>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</si>
  <si>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</si>
  <si>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</si>
  <si>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</si>
  <si>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</si>
  <si>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</si>
  <si>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</si>
  <si>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</si>
  <si>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</si>
  <si>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</si>
  <si>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</si>
  <si>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</si>
  <si>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</si>
  <si>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</si>
  <si>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</si>
  <si>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</si>
  <si>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</si>
  <si>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</si>
  <si>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</si>
  <si>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</si>
  <si>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</si>
  <si>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</si>
  <si>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</si>
  <si>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</si>
  <si>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</si>
  <si>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</si>
  <si>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</si>
  <si>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</si>
  <si>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</si>
  <si>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</si>
  <si>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</si>
  <si>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</si>
  <si>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</si>
  <si>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</si>
  <si>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</si>
  <si>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</si>
  <si>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</si>
  <si>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</si>
  <si>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</si>
  <si>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</si>
  <si>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</si>
  <si>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</si>
  <si>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</si>
  <si>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</si>
  <si>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</si>
  <si>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</si>
  <si>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</si>
  <si>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</si>
  <si>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</si>
  <si>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</si>
  <si>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</si>
  <si>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</si>
  <si>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</si>
  <si>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</si>
  <si>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</si>
  <si>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</si>
  <si>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</si>
  <si>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</si>
  <si>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</si>
  <si>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</si>
  <si>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</si>
  <si>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</si>
  <si>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</si>
  <si>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</si>
  <si>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</si>
  <si>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</si>
  <si>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</si>
  <si>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</si>
  <si>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</si>
  <si>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</si>
  <si>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</si>
  <si>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</si>
  <si>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</si>
  <si>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</si>
  <si>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</si>
  <si>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</si>
  <si>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</si>
  <si>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</si>
  <si>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</si>
  <si>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</si>
  <si>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</si>
  <si>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</si>
  <si>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</si>
  <si>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</si>
  <si>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</si>
  <si>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</si>
  <si>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</si>
  <si>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</si>
  <si>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</si>
  <si>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</si>
  <si>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</si>
  <si>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</si>
  <si>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</si>
  <si>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</si>
  <si>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</si>
  <si>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</si>
  <si>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</si>
  <si>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</si>
  <si>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</si>
  <si>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</si>
  <si>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</si>
  <si>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</si>
  <si>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</si>
  <si>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</si>
  <si>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</si>
  <si>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</si>
  <si>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</si>
  <si>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</si>
  <si>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</si>
  <si>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</si>
  <si>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</si>
  <si>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</si>
  <si>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</si>
  <si>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</si>
  <si>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</si>
  <si>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</si>
  <si>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</si>
  <si>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</si>
  <si>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</si>
  <si>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</si>
  <si>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</si>
  <si>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</si>
  <si>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</si>
  <si>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</si>
  <si>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</si>
  <si>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</si>
  <si>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</si>
  <si>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</si>
  <si>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</si>
  <si>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</si>
  <si>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</si>
  <si>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</si>
  <si>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</si>
  <si>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</si>
  <si>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</si>
  <si>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</si>
  <si>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</si>
  <si>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</si>
  <si>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</si>
  <si>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</si>
  <si>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</si>
  <si>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</si>
  <si>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</si>
  <si>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</si>
  <si>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</si>
  <si>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</si>
  <si>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</si>
  <si>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</si>
  <si>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</si>
  <si>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</si>
  <si>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</si>
  <si>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</si>
  <si>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</si>
  <si>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</si>
  <si>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</si>
  <si>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</si>
  <si>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</si>
  <si>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</si>
  <si>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</si>
  <si>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</si>
  <si>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</si>
  <si>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</si>
  <si>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</si>
  <si>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</si>
  <si>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</si>
  <si>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</si>
  <si>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</si>
  <si>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</si>
  <si>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</si>
  <si>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</si>
  <si>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</si>
  <si>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</si>
  <si>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</si>
  <si>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</si>
  <si>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</si>
  <si>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</si>
  <si>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</si>
  <si>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</si>
  <si>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</si>
  <si>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</si>
  <si>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</si>
  <si>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</si>
  <si>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</si>
  <si>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</si>
  <si>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</si>
  <si>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</si>
  <si>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</si>
  <si>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</si>
  <si>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</si>
  <si>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</si>
  <si>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</si>
  <si>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</si>
  <si>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</si>
  <si>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</si>
  <si>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</si>
  <si>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</si>
  <si>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</si>
  <si>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</si>
  <si>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</si>
  <si>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</si>
  <si>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</si>
  <si>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</si>
  <si>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</si>
  <si>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</si>
  <si>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</si>
  <si>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</si>
  <si>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</si>
  <si>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</si>
  <si>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</si>
  <si>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</si>
  <si>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</si>
  <si>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</si>
  <si>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</si>
  <si>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</si>
  <si>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</si>
  <si>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</si>
  <si>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</si>
  <si>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</si>
  <si>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</si>
  <si>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</si>
  <si>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</si>
  <si>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</si>
  <si>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</si>
  <si>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</si>
  <si>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</si>
  <si>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</si>
  <si>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</si>
  <si>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</si>
  <si>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</si>
  <si>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</si>
  <si>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</si>
  <si>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</si>
  <si>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</si>
  <si>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</si>
  <si>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</si>
  <si>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</si>
  <si>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</si>
  <si>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</si>
  <si>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</si>
  <si>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</si>
  <si>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</si>
  <si>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</si>
  <si>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</si>
  <si>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</si>
  <si>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</si>
  <si>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</si>
  <si>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</si>
  <si>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</si>
  <si>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</si>
  <si>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</si>
  <si>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</si>
  <si>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</si>
  <si>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</si>
  <si>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</si>
  <si>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</si>
  <si>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</si>
  <si>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</si>
  <si>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</si>
  <si>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</si>
  <si>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</si>
  <si>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</si>
  <si>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</si>
  <si>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</si>
  <si>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</si>
  <si>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</si>
  <si>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</si>
  <si>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</si>
  <si>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</si>
  <si>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</si>
  <si>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</si>
  <si>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</si>
  <si>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</si>
  <si>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</si>
  <si>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</si>
  <si>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</si>
  <si>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</si>
  <si>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</si>
  <si>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</si>
  <si>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</si>
  <si>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</si>
  <si>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</si>
  <si>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</si>
  <si>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</si>
  <si>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</si>
  <si>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</si>
  <si>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</si>
  <si>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</si>
  <si>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</si>
  <si>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</si>
  <si>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</si>
  <si>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</si>
  <si>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</si>
  <si>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</si>
  <si>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</si>
  <si>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</si>
  <si>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</si>
  <si>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</si>
  <si>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</si>
  <si>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</si>
  <si>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</si>
  <si>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</si>
  <si>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</si>
  <si>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</si>
  <si>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</si>
  <si>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</si>
  <si>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</si>
  <si>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</si>
  <si>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</si>
  <si>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</si>
  <si>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</si>
  <si>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</si>
  <si>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</si>
  <si>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</si>
  <si>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</si>
  <si>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</si>
  <si>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</si>
  <si>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</si>
  <si>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</si>
  <si>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</si>
  <si>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</si>
  <si>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</si>
  <si>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</si>
  <si>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</si>
  <si>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</si>
  <si>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</si>
  <si>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</si>
  <si>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</si>
  <si>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</si>
  <si>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</si>
  <si>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</si>
  <si>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</si>
  <si>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</si>
  <si>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</si>
  <si>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</si>
  <si>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</si>
  <si>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</si>
  <si>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</si>
  <si>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</si>
  <si>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</si>
  <si>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</si>
  <si>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</si>
  <si>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</si>
  <si>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</si>
  <si>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</si>
  <si>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</si>
  <si>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</si>
  <si>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</si>
  <si>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</si>
  <si>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</si>
  <si>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</si>
  <si>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</si>
  <si>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</si>
  <si>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</si>
  <si>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</si>
  <si>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</si>
  <si>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</si>
  <si>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</si>
  <si>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</si>
  <si>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</si>
  <si>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</si>
  <si>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</si>
  <si>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</si>
  <si>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</si>
  <si>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</si>
  <si>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</si>
  <si>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</si>
  <si>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</si>
  <si>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</si>
  <si>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</si>
  <si>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</si>
  <si>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</si>
  <si>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</si>
  <si>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</si>
  <si>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</si>
  <si>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</si>
  <si>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</si>
  <si>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</si>
  <si>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</si>
  <si>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</si>
  <si>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</si>
  <si>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</si>
  <si>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</si>
  <si>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</si>
  <si>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</si>
  <si>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</si>
  <si>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</si>
  <si>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</si>
  <si>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</si>
  <si>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</si>
  <si>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</si>
  <si>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</si>
  <si>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</si>
  <si>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</si>
  <si>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</si>
  <si>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</si>
  <si>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</si>
  <si>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</si>
  <si>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</si>
  <si>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</si>
  <si>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</si>
  <si>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</si>
  <si>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</si>
  <si>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</si>
  <si>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</si>
  <si>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</si>
  <si>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</si>
  <si>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</si>
  <si>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</si>
  <si>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</si>
  <si>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</si>
  <si>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</si>
  <si>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</si>
  <si>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</si>
  <si>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</si>
  <si>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</si>
  <si>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</si>
  <si>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</si>
  <si>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</si>
  <si>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</si>
  <si>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</si>
  <si>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</si>
  <si>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</si>
  <si>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</si>
  <si>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</si>
  <si>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</si>
  <si>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</si>
  <si>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</si>
  <si>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</si>
  <si>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</si>
  <si>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</si>
  <si>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</si>
  <si>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</si>
  <si>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</si>
  <si>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</si>
  <si>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</si>
  <si>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</si>
  <si>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</si>
  <si>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</si>
  <si>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</si>
  <si>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</si>
  <si>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</si>
  <si>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</si>
  <si>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</si>
  <si>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</si>
  <si>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</si>
  <si>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</si>
  <si>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</si>
  <si>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</si>
  <si>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</si>
  <si>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</si>
  <si>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</si>
  <si>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</si>
  <si>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</si>
  <si>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</si>
  <si>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</si>
  <si>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</si>
  <si>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</si>
  <si>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</si>
  <si>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</si>
  <si>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</si>
  <si>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</si>
  <si>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</si>
  <si>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</si>
  <si>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</si>
  <si>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</si>
  <si>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</si>
  <si>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</si>
  <si>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</si>
  <si>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</si>
  <si>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</si>
  <si>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</si>
  <si>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</si>
  <si>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</si>
  <si>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</si>
  <si>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</si>
  <si>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</si>
  <si>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</si>
  <si>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</si>
  <si>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</si>
  <si>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</si>
  <si>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</si>
  <si>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</si>
  <si>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</si>
  <si>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</si>
  <si>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</si>
  <si>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</si>
  <si>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</si>
  <si>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</si>
  <si>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</si>
  <si>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</si>
  <si>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</si>
  <si>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</si>
  <si>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</si>
  <si>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</si>
  <si>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</si>
  <si>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</si>
  <si>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</si>
  <si>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</si>
  <si>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</si>
  <si>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</si>
  <si>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</si>
  <si>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</si>
  <si>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</si>
  <si>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</si>
  <si>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</si>
  <si>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</si>
  <si>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</si>
  <si>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</si>
  <si>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</si>
  <si>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</si>
  <si>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</si>
  <si>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</si>
  <si>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</si>
  <si>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</si>
  <si>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</si>
  <si>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</si>
  <si>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</si>
  <si>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</si>
  <si>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</si>
  <si>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</si>
  <si>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</si>
  <si>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</si>
  <si>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</si>
  <si>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</si>
  <si>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</si>
  <si>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</si>
  <si>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</si>
  <si>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</si>
  <si>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</si>
  <si>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</si>
  <si>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</si>
  <si>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</si>
  <si>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</si>
  <si>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</si>
  <si>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</si>
  <si>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</si>
  <si>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</si>
  <si>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</si>
  <si>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</si>
  <si>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</si>
  <si>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</si>
  <si>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</si>
  <si>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</si>
  <si>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</si>
  <si>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</si>
  <si>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</si>
  <si>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</si>
  <si>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</si>
  <si>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</si>
  <si>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</si>
  <si>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</si>
  <si>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</si>
  <si>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</si>
  <si>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</si>
  <si>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</si>
  <si>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</si>
  <si>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</si>
  <si>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</si>
  <si>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</si>
  <si>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</si>
  <si>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</si>
  <si>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</si>
  <si>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</si>
  <si>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</si>
  <si>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</si>
  <si>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</si>
  <si>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</si>
  <si>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</si>
  <si>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</si>
  <si>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</si>
  <si>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</si>
  <si>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</si>
  <si>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</si>
  <si>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</si>
  <si>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</si>
  <si>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</si>
  <si>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</si>
  <si>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</si>
  <si>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</si>
  <si>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</si>
  <si>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</si>
  <si>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</si>
  <si>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</si>
  <si>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</si>
  <si>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</si>
  <si>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</si>
  <si>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</si>
  <si>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</si>
  <si>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</si>
  <si>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</si>
  <si>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</si>
  <si>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</si>
  <si>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</si>
  <si>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</si>
  <si>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</si>
  <si>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</si>
  <si>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</si>
  <si>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</si>
  <si>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</si>
  <si>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</si>
  <si>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</si>
  <si>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</si>
  <si>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</si>
  <si>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</si>
  <si>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</si>
  <si>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</si>
  <si>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</si>
  <si>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</si>
  <si>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</si>
  <si>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</si>
  <si>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</si>
  <si>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</si>
  <si>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</si>
  <si>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</si>
  <si>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</si>
  <si>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</si>
  <si>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</si>
  <si>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</si>
  <si>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</si>
  <si>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</si>
  <si>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</si>
  <si>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</si>
  <si>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</si>
  <si>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</si>
  <si>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</si>
  <si>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</si>
  <si>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</si>
  <si>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</si>
  <si>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</si>
  <si>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</si>
  <si>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</si>
  <si>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</si>
  <si>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</si>
  <si>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</si>
  <si>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</si>
  <si>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</si>
  <si>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</si>
  <si>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</si>
  <si>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</si>
  <si>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</si>
  <si>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</si>
  <si>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</si>
  <si>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</si>
  <si>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</si>
  <si>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</si>
  <si>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</si>
  <si>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</si>
  <si>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</si>
  <si>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</si>
  <si>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</si>
  <si>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</si>
  <si>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</si>
  <si>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</si>
  <si>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</si>
  <si>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</si>
  <si>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</si>
  <si>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</si>
  <si>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</si>
  <si>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</si>
  <si>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</si>
  <si>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</si>
  <si>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</si>
  <si>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</si>
  <si>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</si>
  <si>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</si>
  <si>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</si>
  <si>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</si>
  <si>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</si>
  <si>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</si>
  <si>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</si>
  <si>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</si>
  <si>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</si>
  <si>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</si>
  <si>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</si>
  <si>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</si>
  <si>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</si>
  <si>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</si>
  <si>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</si>
  <si>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</si>
  <si>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</si>
  <si>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</si>
  <si>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</si>
  <si>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</si>
  <si>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</si>
  <si>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</si>
  <si>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</si>
  <si>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</si>
  <si>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</si>
  <si>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</si>
  <si>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</si>
  <si>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</si>
  <si>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</si>
  <si>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</si>
  <si>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</si>
  <si>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</si>
  <si>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</si>
  <si>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</si>
  <si>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</si>
  <si>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</si>
  <si>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</si>
  <si>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</si>
  <si>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</si>
  <si>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</si>
  <si>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</si>
  <si>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</si>
  <si>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</si>
  <si>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</si>
  <si>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</si>
  <si>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</si>
  <si>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</si>
  <si>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</si>
  <si>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</si>
  <si>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</si>
  <si>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</si>
  <si>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</si>
  <si>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</si>
  <si>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</si>
  <si>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</si>
  <si>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</si>
  <si>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</si>
  <si>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</si>
  <si>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</si>
  <si>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</si>
  <si>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</si>
  <si>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</si>
  <si>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</si>
  <si>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</si>
  <si>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</si>
  <si>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</si>
  <si>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</si>
  <si>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</si>
  <si>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</si>
  <si>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</si>
  <si>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</si>
  <si>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</si>
  <si>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</si>
  <si>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</si>
  <si>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</si>
  <si>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</si>
  <si>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</si>
  <si>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</si>
  <si>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</si>
  <si>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</si>
  <si>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</si>
  <si>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</si>
  <si>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</si>
  <si>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</si>
  <si>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</si>
  <si>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</si>
  <si>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</si>
  <si>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</si>
  <si>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</si>
  <si>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</si>
  <si>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</si>
  <si>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</si>
  <si>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</si>
  <si>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</si>
  <si>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</si>
  <si>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</si>
  <si>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</si>
  <si>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</si>
  <si>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</si>
  <si>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</si>
  <si>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</si>
  <si>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</si>
  <si>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</si>
  <si>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</si>
  <si>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</si>
  <si>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</si>
  <si>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</si>
  <si>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</si>
  <si>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</si>
  <si>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</si>
  <si>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</si>
  <si>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</si>
  <si>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</si>
  <si>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</si>
  <si>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</si>
  <si>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</si>
  <si>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</si>
  <si>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</si>
  <si>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</si>
  <si>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</si>
  <si>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</si>
  <si>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</si>
  <si>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</si>
  <si>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</si>
  <si>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</si>
  <si>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</si>
  <si>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</si>
  <si>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</si>
  <si>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</si>
  <si>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</si>
  <si>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</si>
  <si>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</si>
  <si>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</si>
  <si>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</si>
  <si>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</si>
  <si>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</si>
  <si>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</si>
  <si>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</si>
  <si>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</si>
  <si>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</si>
  <si>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</si>
  <si>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</si>
  <si>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</si>
  <si>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</si>
  <si>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</si>
  <si>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</si>
  <si>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</si>
  <si>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</si>
  <si>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</si>
  <si>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</si>
  <si>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</si>
  <si>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</si>
  <si>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</si>
  <si>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</si>
  <si>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</si>
  <si>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</si>
  <si>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</si>
  <si>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</si>
  <si>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</si>
  <si>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</si>
  <si>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</si>
  <si>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</si>
  <si>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</si>
  <si>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</si>
  <si>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</si>
  <si>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</si>
  <si>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</si>
  <si>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</si>
  <si>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</si>
  <si>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</si>
  <si>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</si>
  <si>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</si>
  <si>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</si>
  <si>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</si>
  <si>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</si>
  <si>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</si>
  <si>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</si>
  <si>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</si>
  <si>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</si>
  <si>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</si>
  <si>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</si>
  <si>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</si>
  <si>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</si>
  <si>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</si>
  <si>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</si>
  <si>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</si>
  <si>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</si>
  <si>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</si>
  <si>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</si>
  <si>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</si>
  <si>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</si>
  <si>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</si>
  <si>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</si>
  <si>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</si>
  <si>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</si>
  <si>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</si>
  <si>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</si>
  <si>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</si>
  <si>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</si>
  <si>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</si>
  <si>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</si>
  <si>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</si>
  <si>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</si>
  <si>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</si>
  <si>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</si>
  <si>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</si>
  <si>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</si>
  <si>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</si>
  <si>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</si>
  <si>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</si>
  <si>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</si>
  <si>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</si>
  <si>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</si>
  <si>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</si>
  <si>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</si>
  <si>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</si>
  <si>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</si>
  <si>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</si>
  <si>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</si>
  <si>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</si>
  <si>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</si>
  <si>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</si>
  <si>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</si>
  <si>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</si>
  <si>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</si>
  <si>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</si>
  <si>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</si>
  <si>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CHAMPAIGN</t>
  </si>
  <si>
    <t>400 EAST WABASH</t>
  </si>
  <si>
    <t>RANTOUL</t>
  </si>
  <si>
    <t>Michelle Ramage</t>
  </si>
  <si>
    <t>michelle.ramage@rcs.k12.il.us</t>
  </si>
  <si>
    <t>217-893-4171</t>
  </si>
  <si>
    <t>217-893-4313</t>
  </si>
  <si>
    <t>General Obligation School Bonds, Series 2010A</t>
  </si>
  <si>
    <t>General Obligation School Bonds, Series 2010B</t>
  </si>
  <si>
    <t>2016 Qualified School Construction Bonds, Alt. Rev</t>
  </si>
  <si>
    <t>Capital Leases - Copiers</t>
  </si>
  <si>
    <t>Capital Lease</t>
  </si>
  <si>
    <t>No applicable contracts paid in current year.</t>
  </si>
  <si>
    <t>Page 2 - Auditor's Questionnaire</t>
  </si>
  <si>
    <t>Part C - Other Issues - #20 Other Findings</t>
  </si>
  <si>
    <t>Website didn't contain all of ISBE required items</t>
  </si>
  <si>
    <t>Beginning fund balances were off due to payroll being posted into prior year.</t>
  </si>
  <si>
    <t>Page 10 - Acct 1690 - Other Food Service</t>
  </si>
  <si>
    <t>Col 10 - Educational</t>
  </si>
  <si>
    <t>Refunds &amp; Reimbursements - $184</t>
  </si>
  <si>
    <t>Page 11 - Acct 1719 - Admissions - Other</t>
  </si>
  <si>
    <t>Play admissions - $502</t>
  </si>
  <si>
    <t>Page 11 - Acct 1990 - Other Local Revenues</t>
  </si>
  <si>
    <t>Misc refunds &amp; reimbursements - $28,994</t>
  </si>
  <si>
    <t>Col 20 - Operations &amp; Maintenance</t>
  </si>
  <si>
    <t>Col 40 - Transportation</t>
  </si>
  <si>
    <t>Col 80 - Tort</t>
  </si>
  <si>
    <t>Misc refunds &amp; reimbursements - $48,991</t>
  </si>
  <si>
    <t>Misc refunds &amp; reimbursements - $4,760</t>
  </si>
  <si>
    <t>Misc refunds &amp; reimbursements - $15,100</t>
  </si>
  <si>
    <t>Page 12 - Acct 3999 - Other Restricted Revenue from State Sources</t>
  </si>
  <si>
    <t>Other State programs - $54,879</t>
  </si>
  <si>
    <t>Page 13 - Acct 4399 - Title I - Other</t>
  </si>
  <si>
    <t>Title I - School Improvement &amp; Accountability Grant - $57,353</t>
  </si>
  <si>
    <t>Page 14 - Acct 4999 - Other Restricted Revenue from Federal Sources</t>
  </si>
  <si>
    <t>Project Kids Grant - $29,696</t>
  </si>
  <si>
    <t>Other Federal Grants - $26,897</t>
  </si>
  <si>
    <t>Pages 16 &amp; 20 - Acct 2900 - Other Support Services</t>
  </si>
  <si>
    <t>Student Support Salaries &amp; Benefits</t>
  </si>
  <si>
    <t>Page 16 - Acct 4190 - Other Payments to Instate Government Units</t>
  </si>
  <si>
    <t>Payments for othe programs.</t>
  </si>
  <si>
    <t>Page 18 - Acct 5400 - Debt Services - Other</t>
  </si>
  <si>
    <t>Bond Fees - $974</t>
  </si>
  <si>
    <t>AUDITCHECK Tab</t>
  </si>
  <si>
    <t>Number 8 - Error for Long-Term Debt Principal Retired</t>
  </si>
  <si>
    <t>Difference is due to copier leases recorded and paid in the Education Fund</t>
  </si>
  <si>
    <t>Number 13 - Contracts Paid Error</t>
  </si>
  <si>
    <t>No applicable contracts were paid during the year.</t>
  </si>
  <si>
    <t>U.S. Dapartment of Agriculture</t>
  </si>
  <si>
    <t xml:space="preserve">     Passed Through the Illinois State Board of Education</t>
  </si>
  <si>
    <t>(M)National School Lunch-18</t>
  </si>
  <si>
    <t>(M)National School Lunch-19</t>
  </si>
  <si>
    <t xml:space="preserve">        School Breakfast-18</t>
  </si>
  <si>
    <t xml:space="preserve">       School Breakfast-19</t>
  </si>
  <si>
    <t xml:space="preserve">        Commodities</t>
  </si>
  <si>
    <t xml:space="preserve">        Child and Adult</t>
  </si>
  <si>
    <t xml:space="preserve">          Total U.S.Department of Agriculture</t>
  </si>
  <si>
    <t>U.S. Department of Education</t>
  </si>
  <si>
    <t xml:space="preserve">     Illinois State Board of Education</t>
  </si>
  <si>
    <t>(M) Title I-Low Income</t>
  </si>
  <si>
    <t>84.010a</t>
  </si>
  <si>
    <t xml:space="preserve">        PreSchool </t>
  </si>
  <si>
    <t>84.173a</t>
  </si>
  <si>
    <t>84.027a</t>
  </si>
  <si>
    <t xml:space="preserve">       Title III-Long inst/Pay</t>
  </si>
  <si>
    <t>84.365a</t>
  </si>
  <si>
    <t>84.367a</t>
  </si>
  <si>
    <t xml:space="preserve">       Title III-Long Inst/Pay</t>
  </si>
  <si>
    <t xml:space="preserve">       Title I-School Improve and Access</t>
  </si>
  <si>
    <t xml:space="preserve">       Title IV-Student Support</t>
  </si>
  <si>
    <t>84.424a</t>
  </si>
  <si>
    <t xml:space="preserve">          Total U.S. Department of Education</t>
  </si>
  <si>
    <t xml:space="preserve">          Total Illinois State Board of Education</t>
  </si>
  <si>
    <t xml:space="preserve">     Passed Through the Champaign Ford Regional Office of Education</t>
  </si>
  <si>
    <t xml:space="preserve">       Math &amp; Science Partnership</t>
  </si>
  <si>
    <t>84.368b</t>
  </si>
  <si>
    <t xml:space="preserve">          Total Champaign Ford Regional Office of Education</t>
  </si>
  <si>
    <t>U.S. Department of Health &amp; Human Services</t>
  </si>
  <si>
    <t xml:space="preserve">     Passed Through the Illinois Department of Family &amp; Healthcare Services</t>
  </si>
  <si>
    <t xml:space="preserve">       Medicaid-Admin Outreach</t>
  </si>
  <si>
    <t xml:space="preserve">       ERATE </t>
  </si>
  <si>
    <t xml:space="preserve">          Total U.S. Department of Health &amp;Human Services</t>
  </si>
  <si>
    <t xml:space="preserve">          Total FederaL Financial Assistance</t>
  </si>
  <si>
    <t xml:space="preserve">       Title II-Math/Science</t>
  </si>
  <si>
    <t>The accompanying Schedule of Expenditures of Federal Awards includes the federal grant activity of Rantoul City School District No 137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</si>
  <si>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x</t>
  </si>
  <si>
    <t>Of the federal expenditures presented in the schedule, Rantoul City School District No 137 provided federal awards to subrecipients as follows:</t>
  </si>
  <si>
    <t>none</t>
  </si>
  <si>
    <r>
      <t xml:space="preserve">The following amounts were expended in the form of non-cash assistance by Rantoul City School District #137  and </t>
    </r>
    <r>
      <rPr>
        <b/>
        <sz val="9"/>
        <rFont val="Calibri"/>
        <family val="2"/>
        <scheme val="minor"/>
      </rPr>
      <t>should be</t>
    </r>
    <r>
      <rPr>
        <sz val="9"/>
        <rFont val="Calibri"/>
        <family val="2"/>
        <scheme val="minor"/>
      </rPr>
      <t xml:space="preserve"> included in the Schedule of Expenditures of Federal Awards:</t>
    </r>
  </si>
  <si>
    <t>no</t>
  </si>
  <si>
    <t>Adverse-GAAP/Regulatory-Qualified</t>
  </si>
  <si>
    <t>Unmodified</t>
  </si>
  <si>
    <t>Title 1-Low Income</t>
  </si>
  <si>
    <t>School Lunch Regular</t>
  </si>
  <si>
    <t>IDEA-Flow Thru</t>
  </si>
  <si>
    <t>(M)IDEA-Flow Thru</t>
  </si>
  <si>
    <t>Rantoul City SD 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</si>
</sst>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438150</xdr:colOff>
          <xdr:row>3</xdr:row>
          <xdr:rowOff>57150</xdr:rowOff>
        </xdr:from>
        <xdr:to>
          <xdr:col>1</xdr:col>
          <xdr:colOff>1352550</xdr:colOff>
          <xdr:row>7</xdr:row>
          <xdr:rowOff>95250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18" t="s">
        <v>405</v>
      </c>
      <c r="J1" s="2019"/>
      <c r="K1" s="2019"/>
      <c r="L1" s="2019"/>
      <c r="M1" s="2019"/>
      <c r="N1" s="2019"/>
      <c r="O1" s="2019"/>
      <c r="P1" s="2019"/>
      <c r="Q1" s="2019"/>
      <c r="R1" s="2019"/>
      <c r="S1" s="2019"/>
    </row>
    <row r="2" spans="1:28" ht="12" customHeight="1" x14ac:dyDescent="0.2">
      <c r="A2" s="47" t="s">
        <v>1988</v>
      </c>
      <c r="D2" s="48"/>
      <c r="I2" s="2020" t="s">
        <v>979</v>
      </c>
      <c r="J2" s="2019"/>
      <c r="K2" s="2019"/>
      <c r="L2" s="2019"/>
      <c r="M2" s="2019"/>
      <c r="N2" s="2019"/>
      <c r="O2" s="2019"/>
      <c r="P2" s="2019"/>
      <c r="Q2" s="2019"/>
      <c r="R2" s="2019"/>
      <c r="S2" s="2019"/>
    </row>
    <row r="3" spans="1:28" ht="12" customHeight="1" x14ac:dyDescent="0.2">
      <c r="A3" s="155" t="s">
        <v>1940</v>
      </c>
      <c r="B3" s="156"/>
      <c r="C3" s="156"/>
      <c r="D3" s="157"/>
      <c r="I3" s="2020" t="s">
        <v>52</v>
      </c>
      <c r="J3" s="2019"/>
      <c r="K3" s="2019"/>
      <c r="L3" s="2019"/>
      <c r="M3" s="2019"/>
      <c r="N3" s="2019"/>
      <c r="O3" s="2019"/>
      <c r="P3" s="2019"/>
      <c r="Q3" s="2019"/>
      <c r="R3" s="2019"/>
      <c r="S3" s="2019"/>
    </row>
    <row r="4" spans="1:28" ht="12" customHeight="1" x14ac:dyDescent="0.2">
      <c r="A4" s="37"/>
      <c r="I4" s="2020" t="s">
        <v>524</v>
      </c>
      <c r="J4" s="2019"/>
      <c r="K4" s="2019"/>
      <c r="L4" s="2019"/>
      <c r="M4" s="2019"/>
      <c r="N4" s="2019"/>
      <c r="O4" s="2019"/>
      <c r="P4" s="2019"/>
      <c r="Q4" s="2019"/>
      <c r="R4" s="2019"/>
      <c r="S4" s="2019"/>
    </row>
    <row r="5" spans="1:28" ht="14.1" customHeight="1" x14ac:dyDescent="0.2">
      <c r="B5" s="104" t="s">
        <v>2070</v>
      </c>
      <c r="C5" s="26" t="s">
        <v>910</v>
      </c>
      <c r="D5" s="84"/>
      <c r="E5" s="84"/>
      <c r="H5" s="38"/>
      <c r="I5" s="2027" t="s">
        <v>680</v>
      </c>
      <c r="J5" s="1971"/>
      <c r="K5" s="1971"/>
      <c r="L5" s="1971"/>
      <c r="M5" s="1971"/>
      <c r="N5" s="1971"/>
      <c r="O5" s="1971"/>
      <c r="P5" s="1971"/>
      <c r="Q5" s="1971"/>
      <c r="R5" s="1971"/>
      <c r="S5" s="1971"/>
    </row>
    <row r="6" spans="1:28" ht="14.1" customHeight="1" x14ac:dyDescent="0.2">
      <c r="B6" s="104"/>
      <c r="C6" s="26" t="s">
        <v>911</v>
      </c>
      <c r="D6" s="84"/>
      <c r="E6" s="84"/>
      <c r="I6" s="2026" t="s">
        <v>883</v>
      </c>
      <c r="J6" s="1971"/>
      <c r="K6" s="1971"/>
      <c r="L6" s="1971"/>
      <c r="M6" s="1971"/>
      <c r="N6" s="1971"/>
      <c r="O6" s="1971"/>
      <c r="P6" s="1971"/>
      <c r="Q6" s="1971"/>
      <c r="R6" s="1971"/>
      <c r="S6" s="1971"/>
    </row>
    <row r="7" spans="1:28" ht="12.2" customHeight="1" x14ac:dyDescent="0.2">
      <c r="I7" s="2021">
        <v>43646</v>
      </c>
      <c r="J7" s="2022"/>
      <c r="K7" s="2022"/>
      <c r="L7" s="2022"/>
      <c r="M7" s="2022"/>
      <c r="N7" s="2022"/>
      <c r="O7" s="2022"/>
      <c r="P7" s="2022"/>
      <c r="Q7" s="2022"/>
      <c r="R7" s="2022"/>
      <c r="S7" s="202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3" t="s">
        <v>674</v>
      </c>
      <c r="J9" s="2024"/>
      <c r="K9" s="2024"/>
      <c r="L9" s="2024"/>
      <c r="M9" s="2024"/>
      <c r="N9" s="2024"/>
      <c r="O9" s="2024"/>
      <c r="P9" s="2024"/>
      <c r="Q9" s="2024"/>
      <c r="R9" s="2024"/>
      <c r="S9" s="2025"/>
      <c r="T9" s="1967" t="s">
        <v>533</v>
      </c>
      <c r="U9" s="1968"/>
      <c r="V9" s="1968"/>
      <c r="W9" s="1968"/>
      <c r="X9" s="1968"/>
      <c r="Y9" s="1968"/>
      <c r="Z9" s="1968"/>
      <c r="AA9" s="1969"/>
    </row>
    <row r="10" spans="1:28" ht="13.5" customHeight="1" x14ac:dyDescent="0.2">
      <c r="A10" s="1976" t="s">
        <v>675</v>
      </c>
      <c r="B10" s="1977"/>
      <c r="C10" s="1977"/>
      <c r="D10" s="1977"/>
      <c r="E10" s="1977"/>
      <c r="F10" s="1977"/>
      <c r="G10" s="1977"/>
      <c r="H10" s="1978"/>
      <c r="I10" s="29"/>
      <c r="J10" s="30"/>
      <c r="K10" s="28"/>
      <c r="R10" s="30"/>
      <c r="S10" s="30"/>
      <c r="T10" s="1970"/>
      <c r="U10" s="1971"/>
      <c r="V10" s="1971"/>
      <c r="W10" s="1971"/>
      <c r="X10" s="1971"/>
      <c r="Y10" s="1971"/>
      <c r="Z10" s="1971"/>
      <c r="AA10" s="1972"/>
    </row>
    <row r="11" spans="1:28" ht="14.25" customHeight="1" x14ac:dyDescent="0.2">
      <c r="A11" s="1979" t="s">
        <v>955</v>
      </c>
      <c r="B11" s="1980"/>
      <c r="C11" s="1980"/>
      <c r="D11" s="1980"/>
      <c r="E11" s="1980"/>
      <c r="F11" s="1980"/>
      <c r="G11" s="1980"/>
      <c r="H11" s="1981"/>
      <c r="I11" s="27"/>
      <c r="J11" s="74"/>
      <c r="K11" s="27"/>
      <c r="O11" s="148" t="s">
        <v>2070</v>
      </c>
      <c r="P11" s="100" t="s">
        <v>201</v>
      </c>
      <c r="Q11" s="30"/>
      <c r="R11" s="28"/>
      <c r="S11" s="27"/>
      <c r="T11" s="1973"/>
      <c r="U11" s="1974"/>
      <c r="V11" s="1974"/>
      <c r="W11" s="1974"/>
      <c r="X11" s="1974"/>
      <c r="Y11" s="1974"/>
      <c r="Z11" s="1974"/>
      <c r="AA11" s="1975"/>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7">
        <v>9010137002</v>
      </c>
      <c r="B13" s="1988"/>
      <c r="C13" s="1988"/>
      <c r="D13" s="1988"/>
      <c r="E13" s="1988"/>
      <c r="F13" s="1988"/>
      <c r="G13" s="1988"/>
      <c r="H13" s="1989"/>
      <c r="I13" s="31"/>
      <c r="J13" s="30"/>
      <c r="K13" s="28"/>
      <c r="L13" s="30"/>
      <c r="M13" s="30"/>
      <c r="N13" s="30"/>
      <c r="O13" s="30"/>
      <c r="P13" s="30"/>
      <c r="Q13" s="30"/>
      <c r="R13" s="30"/>
      <c r="S13" s="30"/>
      <c r="T13" s="1992" t="s">
        <v>2062</v>
      </c>
      <c r="U13" s="1993"/>
      <c r="V13" s="1993"/>
      <c r="W13" s="1993"/>
      <c r="X13" s="1993"/>
      <c r="Y13" s="1994"/>
      <c r="Z13" s="1994"/>
      <c r="AA13" s="199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5" t="s">
        <v>2073</v>
      </c>
      <c r="B15" s="1990"/>
      <c r="C15" s="1990"/>
      <c r="D15" s="1990"/>
      <c r="E15" s="1990"/>
      <c r="F15" s="1990"/>
      <c r="G15" s="1990"/>
      <c r="H15" s="1991"/>
      <c r="T15" s="1953" t="s">
        <v>2063</v>
      </c>
      <c r="U15" s="1954"/>
      <c r="V15" s="1954"/>
      <c r="W15" s="1954"/>
      <c r="X15" s="1954"/>
      <c r="Y15" s="1996"/>
      <c r="Z15" s="1996"/>
      <c r="AA15" s="199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5" t="s">
        <v>2169</v>
      </c>
      <c r="B17" s="2016"/>
      <c r="C17" s="2016"/>
      <c r="D17" s="2016"/>
      <c r="E17" s="2016"/>
      <c r="F17" s="2016"/>
      <c r="G17" s="2016"/>
      <c r="H17" s="2017"/>
      <c r="T17" s="2002" t="s">
        <v>2064</v>
      </c>
      <c r="U17" s="2003"/>
      <c r="V17" s="2003"/>
      <c r="W17" s="2003"/>
      <c r="X17" s="2003"/>
      <c r="Y17" s="2003"/>
      <c r="Z17" s="2003"/>
      <c r="AA17" s="2004"/>
    </row>
    <row r="18" spans="1:27" ht="13.5" customHeight="1" x14ac:dyDescent="0.2">
      <c r="A18" s="85" t="s">
        <v>530</v>
      </c>
      <c r="B18" s="76"/>
      <c r="C18" s="72"/>
      <c r="D18" s="76"/>
      <c r="E18" s="76"/>
      <c r="F18" s="76"/>
      <c r="G18" s="76"/>
      <c r="H18" s="56"/>
      <c r="I18" s="2012" t="s">
        <v>676</v>
      </c>
      <c r="J18" s="2013"/>
      <c r="K18" s="2013"/>
      <c r="L18" s="2013"/>
      <c r="M18" s="2013"/>
      <c r="N18" s="2013"/>
      <c r="O18" s="2013"/>
      <c r="P18" s="2013"/>
      <c r="Q18" s="2013"/>
      <c r="R18" s="2013"/>
      <c r="S18" s="2014"/>
      <c r="T18" s="85" t="s">
        <v>711</v>
      </c>
      <c r="U18" s="51"/>
      <c r="V18" s="72"/>
      <c r="W18" s="50"/>
      <c r="X18" s="85" t="s">
        <v>266</v>
      </c>
      <c r="Y18" s="81"/>
      <c r="Z18" s="159" t="s">
        <v>677</v>
      </c>
      <c r="AA18" s="46"/>
    </row>
    <row r="19" spans="1:27" ht="13.5" customHeight="1" x14ac:dyDescent="0.2">
      <c r="A19" s="1985" t="s">
        <v>2074</v>
      </c>
      <c r="B19" s="1986"/>
      <c r="C19" s="1986"/>
      <c r="D19" s="1986"/>
      <c r="E19" s="1986"/>
      <c r="F19" s="1986"/>
      <c r="G19" s="1986"/>
      <c r="H19" s="1984"/>
      <c r="I19" s="30"/>
      <c r="J19" s="99"/>
      <c r="K19" s="40"/>
      <c r="L19" s="38"/>
      <c r="M19" s="112" t="s">
        <v>315</v>
      </c>
      <c r="P19" s="27"/>
      <c r="Q19" s="27"/>
      <c r="R19" s="27"/>
      <c r="S19" s="31"/>
      <c r="T19" s="1985" t="s">
        <v>2065</v>
      </c>
      <c r="U19" s="1983"/>
      <c r="V19" s="1983"/>
      <c r="W19" s="1984"/>
      <c r="X19" s="2000" t="s">
        <v>2066</v>
      </c>
      <c r="Y19" s="2001"/>
      <c r="Z19" s="1998">
        <v>60942</v>
      </c>
      <c r="AA19" s="199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2" t="s">
        <v>2075</v>
      </c>
      <c r="B21" s="1983"/>
      <c r="C21" s="1983"/>
      <c r="D21" s="1983"/>
      <c r="E21" s="1983"/>
      <c r="F21" s="1983"/>
      <c r="G21" s="1983"/>
      <c r="H21" s="1984"/>
      <c r="I21" s="2008" t="s">
        <v>678</v>
      </c>
      <c r="J21" s="1971"/>
      <c r="K21" s="1971"/>
      <c r="L21" s="1971"/>
      <c r="M21" s="1971"/>
      <c r="N21" s="1971"/>
      <c r="O21" s="1971"/>
      <c r="P21" s="1971"/>
      <c r="Q21" s="1971"/>
      <c r="R21" s="1971"/>
      <c r="S21" s="1972"/>
      <c r="T21" s="1950" t="s">
        <v>2067</v>
      </c>
      <c r="U21" s="1951"/>
      <c r="V21" s="1951"/>
      <c r="W21" s="1951"/>
      <c r="X21" s="1964" t="s">
        <v>2068</v>
      </c>
      <c r="Y21" s="1965"/>
      <c r="Z21" s="1965"/>
      <c r="AA21" s="1966"/>
    </row>
    <row r="22" spans="1:27" ht="13.5" customHeight="1" x14ac:dyDescent="0.2">
      <c r="A22" s="87" t="s">
        <v>531</v>
      </c>
      <c r="B22" s="59"/>
      <c r="C22" s="59"/>
      <c r="D22" s="59"/>
      <c r="E22" s="59"/>
      <c r="F22" s="59"/>
      <c r="G22" s="59"/>
      <c r="H22" s="60"/>
      <c r="I22" s="2009" t="s">
        <v>1429</v>
      </c>
      <c r="J22" s="2010"/>
      <c r="K22" s="2010"/>
      <c r="L22" s="2010"/>
      <c r="M22" s="2010"/>
      <c r="N22" s="2010"/>
      <c r="O22" s="2010"/>
      <c r="P22" s="2010"/>
      <c r="Q22" s="2010"/>
      <c r="R22" s="2010"/>
      <c r="S22" s="2011"/>
      <c r="T22" s="85" t="s">
        <v>1516</v>
      </c>
      <c r="U22" s="51"/>
      <c r="V22" s="72"/>
      <c r="W22" s="51"/>
      <c r="X22" s="160" t="s">
        <v>1318</v>
      </c>
      <c r="Z22" s="45"/>
      <c r="AA22" s="46"/>
    </row>
    <row r="23" spans="1:27" ht="13.5" customHeight="1" x14ac:dyDescent="0.2">
      <c r="A23" s="2005"/>
      <c r="B23" s="2006"/>
      <c r="C23" s="2006"/>
      <c r="D23" s="2006"/>
      <c r="E23" s="2006"/>
      <c r="F23" s="2006"/>
      <c r="G23" s="2006"/>
      <c r="H23" s="2007"/>
      <c r="T23" s="1945" t="s">
        <v>2071</v>
      </c>
      <c r="U23" s="1946"/>
      <c r="V23" s="1946"/>
      <c r="W23" s="1946"/>
      <c r="X23" s="1961">
        <v>44469</v>
      </c>
      <c r="Y23" s="1962"/>
      <c r="Z23" s="1962"/>
      <c r="AA23" s="1963"/>
    </row>
    <row r="24" spans="1:27" ht="14.1" customHeight="1" x14ac:dyDescent="0.2">
      <c r="A24" s="88" t="s">
        <v>677</v>
      </c>
      <c r="B24" s="49"/>
      <c r="C24" s="49"/>
      <c r="D24" s="49"/>
      <c r="E24" s="49"/>
      <c r="F24" s="49"/>
      <c r="G24" s="49"/>
      <c r="H24" s="61"/>
      <c r="J24" s="2048">
        <f>IF(B5="x",IF(AUDITCHECK!D29="AFR form Incomplete.","",IF(AUDITCHECK!D29="Deficit reduction plan is required.","School District must complete a deficit reduction plan in the 2019-2020 Budget",)),"")</f>
        <v>0</v>
      </c>
      <c r="K24" s="2048"/>
      <c r="L24" s="2048"/>
      <c r="M24" s="2048"/>
      <c r="N24" s="2048"/>
      <c r="O24" s="2048"/>
      <c r="P24" s="2048"/>
      <c r="Q24" s="2048"/>
      <c r="R24" s="2048"/>
      <c r="S24" s="2049"/>
      <c r="T24" s="105" t="s">
        <v>531</v>
      </c>
      <c r="U24" s="106"/>
      <c r="V24" s="106"/>
      <c r="W24" s="106"/>
      <c r="X24" s="107"/>
      <c r="Y24" s="107"/>
      <c r="Z24" s="107"/>
      <c r="AA24" s="108"/>
    </row>
    <row r="25" spans="1:27" ht="14.1" customHeight="1" x14ac:dyDescent="0.2">
      <c r="A25" s="1982">
        <v>61866</v>
      </c>
      <c r="B25" s="1983"/>
      <c r="C25" s="1983"/>
      <c r="D25" s="1983"/>
      <c r="E25" s="1983"/>
      <c r="F25" s="1983"/>
      <c r="G25" s="1983"/>
      <c r="H25" s="1984"/>
      <c r="I25" s="113"/>
      <c r="J25" s="2050"/>
      <c r="K25" s="2050"/>
      <c r="L25" s="2050"/>
      <c r="M25" s="2050"/>
      <c r="N25" s="2050"/>
      <c r="O25" s="2050"/>
      <c r="P25" s="2050"/>
      <c r="Q25" s="2050"/>
      <c r="R25" s="2050"/>
      <c r="S25" s="2051"/>
      <c r="T25" s="1942" t="s">
        <v>2069</v>
      </c>
      <c r="U25" s="1943"/>
      <c r="V25" s="1943"/>
      <c r="W25" s="1943"/>
      <c r="X25" s="1943"/>
      <c r="Y25" s="1943"/>
      <c r="Z25" s="1943"/>
      <c r="AA25" s="194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1" t="s">
        <v>1511</v>
      </c>
      <c r="J27" s="2013"/>
      <c r="K27" s="2013"/>
      <c r="L27" s="2013"/>
      <c r="M27" s="2013"/>
      <c r="N27" s="2013"/>
      <c r="O27" s="2013"/>
      <c r="P27" s="2013"/>
      <c r="Q27" s="2013"/>
      <c r="R27" s="2013"/>
      <c r="S27" s="201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2070</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2070</v>
      </c>
      <c r="C30" s="124" t="s">
        <v>1164</v>
      </c>
      <c r="D30" s="28"/>
      <c r="E30" s="28"/>
      <c r="F30" s="140"/>
      <c r="G30" s="114"/>
      <c r="H30" s="114"/>
      <c r="I30" s="54"/>
      <c r="J30" s="148" t="s">
        <v>2070</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2070</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2070</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6"/>
      <c r="Q35" s="1983"/>
      <c r="R35" s="198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5" t="s">
        <v>2076</v>
      </c>
      <c r="B38" s="2016"/>
      <c r="C38" s="2016"/>
      <c r="D38" s="2016"/>
      <c r="E38" s="2016"/>
      <c r="F38" s="1983"/>
      <c r="G38" s="1983"/>
      <c r="H38" s="1984"/>
      <c r="I38" s="2035"/>
      <c r="J38" s="1954"/>
      <c r="K38" s="1954"/>
      <c r="L38" s="1954"/>
      <c r="M38" s="1954"/>
      <c r="N38" s="1954"/>
      <c r="O38" s="1954"/>
      <c r="P38" s="1955"/>
      <c r="Q38" s="1955"/>
      <c r="R38" s="1955"/>
      <c r="S38" s="1956"/>
      <c r="T38" s="1953"/>
      <c r="U38" s="1954"/>
      <c r="V38" s="1954"/>
      <c r="W38" s="1954"/>
      <c r="X38" s="1955"/>
      <c r="Y38" s="1955"/>
      <c r="Z38" s="1955"/>
      <c r="AA38" s="1956"/>
    </row>
    <row r="39" spans="1:27" ht="12" customHeight="1" x14ac:dyDescent="0.2">
      <c r="A39" s="2039" t="s">
        <v>531</v>
      </c>
      <c r="B39" s="2040"/>
      <c r="C39" s="72"/>
      <c r="D39" s="69"/>
      <c r="E39" s="69"/>
      <c r="F39" s="79"/>
      <c r="G39" s="69"/>
      <c r="H39" s="56"/>
      <c r="I39" s="2039" t="s">
        <v>531</v>
      </c>
      <c r="J39" s="2040"/>
      <c r="K39" s="2040"/>
      <c r="L39" s="2040"/>
      <c r="M39" s="2040"/>
      <c r="N39" s="67"/>
      <c r="O39" s="72"/>
      <c r="P39" s="72"/>
      <c r="Q39" s="78"/>
      <c r="R39" s="72"/>
      <c r="S39" s="56"/>
      <c r="T39" s="72" t="s">
        <v>531</v>
      </c>
      <c r="U39" s="51"/>
      <c r="V39" s="72"/>
      <c r="W39" s="50"/>
      <c r="X39" s="78"/>
      <c r="Y39" s="45"/>
      <c r="Z39" s="45"/>
      <c r="AA39" s="46"/>
    </row>
    <row r="40" spans="1:27" ht="13.5" customHeight="1" x14ac:dyDescent="0.2">
      <c r="A40" s="2042" t="s">
        <v>2077</v>
      </c>
      <c r="B40" s="2043"/>
      <c r="C40" s="2044"/>
      <c r="D40" s="2044"/>
      <c r="E40" s="2044"/>
      <c r="F40" s="2045"/>
      <c r="G40" s="2045"/>
      <c r="H40" s="2046"/>
      <c r="I40" s="1957"/>
      <c r="J40" s="1959"/>
      <c r="K40" s="1959"/>
      <c r="L40" s="1959"/>
      <c r="M40" s="1959"/>
      <c r="N40" s="1959"/>
      <c r="O40" s="1959"/>
      <c r="P40" s="1959"/>
      <c r="Q40" s="1959"/>
      <c r="R40" s="1959"/>
      <c r="S40" s="1960"/>
      <c r="T40" s="1957"/>
      <c r="U40" s="1958"/>
      <c r="V40" s="1959"/>
      <c r="W40" s="1959"/>
      <c r="X40" s="1959"/>
      <c r="Y40" s="1959"/>
      <c r="Z40" s="1959"/>
      <c r="AA40" s="196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2" t="s">
        <v>2078</v>
      </c>
      <c r="B42" s="2033"/>
      <c r="C42" s="2034"/>
      <c r="D42" s="2047" t="s">
        <v>2079</v>
      </c>
      <c r="E42" s="2033"/>
      <c r="F42" s="2033"/>
      <c r="G42" s="2033"/>
      <c r="H42" s="2034"/>
      <c r="I42" s="1952"/>
      <c r="J42" s="1948"/>
      <c r="K42" s="1948"/>
      <c r="L42" s="1948"/>
      <c r="M42" s="1948"/>
      <c r="N42" s="1948"/>
      <c r="O42" s="1949"/>
      <c r="P42" s="1947"/>
      <c r="Q42" s="1948"/>
      <c r="R42" s="1948"/>
      <c r="S42" s="1949"/>
      <c r="T42" s="1952"/>
      <c r="U42" s="1948"/>
      <c r="V42" s="1948"/>
      <c r="W42" s="1949"/>
      <c r="X42" s="1947"/>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6"/>
      <c r="B44" s="2037"/>
      <c r="C44" s="2037"/>
      <c r="D44" s="2037"/>
      <c r="E44" s="2037"/>
      <c r="F44" s="2037"/>
      <c r="G44" s="2037"/>
      <c r="H44" s="2038"/>
      <c r="I44" s="2028"/>
      <c r="J44" s="2030"/>
      <c r="K44" s="2030"/>
      <c r="L44" s="2030"/>
      <c r="M44" s="2030"/>
      <c r="N44" s="2030"/>
      <c r="O44" s="2030"/>
      <c r="P44" s="2030"/>
      <c r="Q44" s="2030"/>
      <c r="R44" s="2030"/>
      <c r="S44" s="2031"/>
      <c r="T44" s="2028"/>
      <c r="U44" s="2029"/>
      <c r="V44" s="2029"/>
      <c r="W44" s="2029"/>
      <c r="X44" s="2029"/>
      <c r="Y44" s="2029"/>
      <c r="Z44" s="2030"/>
      <c r="AA44" s="203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36" t="s">
        <v>1611</v>
      </c>
    </row>
    <row r="23" spans="1:5" x14ac:dyDescent="0.2">
      <c r="A23" s="168"/>
      <c r="B23" s="162" t="s">
        <v>1853</v>
      </c>
      <c r="D23" s="167" t="s">
        <v>637</v>
      </c>
      <c r="E23" s="1836"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5" t="s">
        <v>1773</v>
      </c>
    </row>
    <row r="60" spans="1:3" x14ac:dyDescent="0.2">
      <c r="A60" s="196"/>
      <c r="B60" s="1485"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6"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2070</v>
      </c>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2070</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2072</v>
      </c>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v>101557487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3.0185E-2</v>
      </c>
      <c r="E10" s="356" t="s">
        <v>1005</v>
      </c>
      <c r="F10" s="355">
        <v>3.3639999999999998E-3</v>
      </c>
      <c r="G10" s="356" t="s">
        <v>1005</v>
      </c>
      <c r="H10" s="355">
        <v>2.4030000000000002E-3</v>
      </c>
      <c r="I10" s="356" t="s">
        <v>1006</v>
      </c>
      <c r="J10" s="1732">
        <f>ROUND(D10+F10+H10,5)</f>
        <v>3.5950000000000003E-2</v>
      </c>
      <c r="K10" s="222"/>
      <c r="L10" s="355">
        <v>1.03E-4</v>
      </c>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19711120</v>
      </c>
      <c r="E16" s="356"/>
      <c r="F16" s="1733">
        <f>SUM('Acct Summary 7-8'!C17,'Acct Summary 7-8'!D17,'Acct Summary 7-8'!F17)</f>
        <v>20020181</v>
      </c>
      <c r="G16" s="356"/>
      <c r="H16" s="1733">
        <f>SUM(D16-F16)</f>
        <v>-309061</v>
      </c>
      <c r="I16" s="222"/>
      <c r="J16" s="1733">
        <f>SUM('Acct Summary 7-8'!C81,'Acct Summary 7-8'!D81,'Acct Summary 7-8'!F81,'Acct Summary 7-8'!I81)</f>
        <v>10439486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2070</v>
      </c>
      <c r="C31" s="367" t="s">
        <v>586</v>
      </c>
      <c r="D31" s="237" t="s">
        <v>1072</v>
      </c>
      <c r="E31" s="222"/>
      <c r="F31" s="222"/>
      <c r="G31" s="363"/>
      <c r="H31" s="1735">
        <f>IF(B31="X",(J7*0.069),IF(B32="X",(J7*0.138),"Enter x in a.or b."))</f>
        <v>7007466.6030000011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19420425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Rantoul City SD 137</v>
      </c>
      <c r="E7" s="391"/>
      <c r="G7" s="252"/>
      <c r="H7" s="387"/>
      <c r="I7" s="387"/>
      <c r="J7" s="387"/>
      <c r="K7" s="387"/>
      <c r="L7" s="329"/>
      <c r="M7" s="329"/>
      <c r="N7" s="329"/>
      <c r="O7" s="329"/>
      <c r="P7" s="329"/>
    </row>
    <row r="8" spans="1:18" ht="12.75" x14ac:dyDescent="0.2">
      <c r="A8" s="329"/>
      <c r="B8" s="329"/>
      <c r="C8" s="389" t="s">
        <v>1125</v>
      </c>
      <c r="D8" s="392">
        <f>COVER!A13</f>
        <v>9010137002</v>
      </c>
      <c r="E8" s="393"/>
      <c r="G8" s="329"/>
      <c r="H8" s="329"/>
      <c r="I8" s="329"/>
      <c r="J8" s="329"/>
      <c r="K8" s="329"/>
      <c r="L8" s="329"/>
      <c r="M8" s="329"/>
      <c r="N8" s="329"/>
      <c r="O8" s="329"/>
      <c r="P8" s="329"/>
    </row>
    <row r="9" spans="1:18" ht="12.75" x14ac:dyDescent="0.2">
      <c r="A9" s="329"/>
      <c r="B9" s="329"/>
      <c r="C9" s="389" t="s">
        <v>713</v>
      </c>
      <c r="D9" s="394" t="str">
        <f>COVER!A15</f>
        <v>CHAMPAIGN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10439486</v>
      </c>
      <c r="I12" s="404"/>
      <c r="J12" s="404"/>
      <c r="K12" s="405">
        <f>TRUNC((H12/H13*100000),5)/100000</f>
        <v>0.52962419179999998</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19711120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20020181</v>
      </c>
      <c r="I17" s="404"/>
      <c r="J17" s="416"/>
      <c r="K17" s="405">
        <f>TRUNC((H17/H18*100000),5)/100000</f>
        <v>1.0156795249999999</v>
      </c>
      <c r="L17" s="406"/>
      <c r="M17" s="417" t="s">
        <v>1171</v>
      </c>
      <c r="O17" s="418" t="str">
        <f>IF(AND(O16="2", J20 &gt; 2),"1",IF(AND(O16 = "1", J20 &gt; 2),"2",IF(AND(O16="1", J20 &gt;1),"1","0")))</f>
        <v>0</v>
      </c>
      <c r="P17" s="218"/>
    </row>
    <row r="18" spans="1:18" s="408" customFormat="1" ht="11.25" x14ac:dyDescent="0.2">
      <c r="A18" s="218"/>
      <c r="B18" s="401"/>
      <c r="C18" s="2103" t="s">
        <v>1317</v>
      </c>
      <c r="D18" s="2104"/>
      <c r="E18" s="218"/>
      <c r="F18" s="419" t="s">
        <v>794</v>
      </c>
      <c r="G18" s="402"/>
      <c r="H18" s="403">
        <f>SUM('Acct Summary 7-8'!C8+'Acct Summary 7-8'!D8+'Acct Summary 7-8'!F8+'Acct Summary 7-8'!I8)+H19</f>
        <v>19711120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27.400331999999999</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10461231</v>
      </c>
      <c r="I24" s="422"/>
      <c r="J24" s="422"/>
      <c r="K24" s="423">
        <f>TRUNC(((H24/H25*100000)/100000),2)</f>
        <v>188.11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55611.613890000001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3103342.909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19420425</v>
      </c>
      <c r="I32" s="420"/>
      <c r="J32" s="420"/>
      <c r="K32" s="423">
        <f>TRUNC(100-((((H32/H33*100))*100)/100),2)</f>
        <v>-177.13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7007466.6030000011</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3.3499999999999996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9"/>
      <c r="D3" s="1560"/>
      <c r="E3" s="1560"/>
      <c r="F3" s="1560"/>
      <c r="G3" s="1560"/>
      <c r="H3" s="1560"/>
      <c r="I3" s="1560"/>
      <c r="J3" s="1560"/>
      <c r="K3" s="1560"/>
      <c r="L3" s="1560"/>
      <c r="M3" s="1561"/>
      <c r="N3" s="1562"/>
    </row>
    <row r="4" spans="1:14" ht="13.5" customHeight="1" x14ac:dyDescent="0.2">
      <c r="A4" s="463" t="s">
        <v>1651</v>
      </c>
      <c r="B4" s="464"/>
      <c r="C4" s="465">
        <v>6810974</v>
      </c>
      <c r="D4" s="466">
        <v>703717</v>
      </c>
      <c r="E4" s="466">
        <v>216101</v>
      </c>
      <c r="F4" s="466">
        <v>382658</v>
      </c>
      <c r="G4" s="466">
        <v>130968</v>
      </c>
      <c r="H4" s="466">
        <v>1170558</v>
      </c>
      <c r="I4" s="466">
        <v>553790</v>
      </c>
      <c r="J4" s="467">
        <v>222555</v>
      </c>
      <c r="K4" s="466">
        <v>177458</v>
      </c>
      <c r="L4" s="466">
        <v>31404</v>
      </c>
      <c r="M4" s="468"/>
      <c r="N4" s="469"/>
    </row>
    <row r="5" spans="1:14" x14ac:dyDescent="0.2">
      <c r="A5" s="463" t="s">
        <v>992</v>
      </c>
      <c r="B5" s="470">
        <v>120</v>
      </c>
      <c r="C5" s="465">
        <v>2010092</v>
      </c>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8821066</v>
      </c>
      <c r="D13" s="1737">
        <f t="shared" ref="D13:L13" si="0">SUM(D4:D12)</f>
        <v>703717</v>
      </c>
      <c r="E13" s="1737">
        <f t="shared" si="0"/>
        <v>216101</v>
      </c>
      <c r="F13" s="1737">
        <f t="shared" si="0"/>
        <v>382658</v>
      </c>
      <c r="G13" s="1737">
        <f t="shared" si="0"/>
        <v>130968</v>
      </c>
      <c r="H13" s="1737">
        <f t="shared" si="0"/>
        <v>1170558</v>
      </c>
      <c r="I13" s="1737">
        <f t="shared" si="0"/>
        <v>553790</v>
      </c>
      <c r="J13" s="1737">
        <f t="shared" si="0"/>
        <v>222555</v>
      </c>
      <c r="K13" s="1737">
        <f t="shared" si="0"/>
        <v>177458</v>
      </c>
      <c r="L13" s="1737">
        <f t="shared" si="0"/>
        <v>31404</v>
      </c>
      <c r="M13" s="468"/>
      <c r="N13" s="469"/>
    </row>
    <row r="14" spans="1:14" ht="18" customHeight="1" thickTop="1" x14ac:dyDescent="0.2">
      <c r="A14" s="2112" t="s">
        <v>147</v>
      </c>
      <c r="B14" s="2113"/>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100231</v>
      </c>
      <c r="N16" s="484"/>
    </row>
    <row r="17" spans="1:14" s="485" customFormat="1" ht="12.75" customHeight="1" x14ac:dyDescent="0.2">
      <c r="A17" s="482" t="s">
        <v>1403</v>
      </c>
      <c r="B17" s="483">
        <v>230</v>
      </c>
      <c r="C17" s="477"/>
      <c r="D17" s="477"/>
      <c r="E17" s="477"/>
      <c r="F17" s="477"/>
      <c r="G17" s="477"/>
      <c r="H17" s="477"/>
      <c r="I17" s="477"/>
      <c r="J17" s="477"/>
      <c r="K17" s="477"/>
      <c r="L17" s="477"/>
      <c r="M17" s="467">
        <v>34246857</v>
      </c>
      <c r="N17" s="484"/>
    </row>
    <row r="18" spans="1:14" s="485" customFormat="1" ht="12.75" customHeight="1" x14ac:dyDescent="0.2">
      <c r="A18" s="482" t="s">
        <v>1404</v>
      </c>
      <c r="B18" s="483">
        <v>240</v>
      </c>
      <c r="C18" s="477"/>
      <c r="D18" s="477"/>
      <c r="E18" s="477"/>
      <c r="F18" s="477"/>
      <c r="G18" s="477"/>
      <c r="H18" s="477"/>
      <c r="I18" s="477"/>
      <c r="J18" s="477"/>
      <c r="K18" s="477"/>
      <c r="L18" s="477"/>
      <c r="M18" s="467">
        <v>720198</v>
      </c>
      <c r="N18" s="484"/>
    </row>
    <row r="19" spans="1:14" s="485" customFormat="1" ht="12.75" customHeight="1" x14ac:dyDescent="0.2">
      <c r="A19" s="482" t="s">
        <v>1405</v>
      </c>
      <c r="B19" s="483">
        <v>250</v>
      </c>
      <c r="C19" s="477"/>
      <c r="D19" s="477"/>
      <c r="E19" s="477"/>
      <c r="F19" s="477"/>
      <c r="G19" s="477"/>
      <c r="H19" s="477"/>
      <c r="I19" s="477"/>
      <c r="J19" s="477"/>
      <c r="K19" s="477"/>
      <c r="L19" s="477"/>
      <c r="M19" s="467">
        <v>4347543</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216101</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19204324</v>
      </c>
    </row>
    <row r="23" spans="1:14" ht="13.5" customHeight="1" thickBot="1" x14ac:dyDescent="0.25">
      <c r="A23" s="1736" t="s">
        <v>643</v>
      </c>
      <c r="B23" s="1741"/>
      <c r="C23" s="468"/>
      <c r="D23" s="468"/>
      <c r="E23" s="468"/>
      <c r="F23" s="468"/>
      <c r="G23" s="468"/>
      <c r="H23" s="468"/>
      <c r="I23" s="468"/>
      <c r="J23" s="468"/>
      <c r="K23" s="468"/>
      <c r="L23" s="468"/>
      <c r="M23" s="1688">
        <f>SUM(M15:M22)</f>
        <v>39414829</v>
      </c>
      <c r="N23" s="1688">
        <f>SUM(N21:N22)</f>
        <v>19420425</v>
      </c>
    </row>
    <row r="24" spans="1:14" ht="18" customHeight="1" thickTop="1" x14ac:dyDescent="0.2">
      <c r="A24" s="2114" t="s">
        <v>598</v>
      </c>
      <c r="B24" s="2115"/>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21745</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31404</v>
      </c>
      <c r="M33" s="468"/>
      <c r="N33" s="469"/>
    </row>
    <row r="34" spans="1:14" ht="13.5" customHeight="1" thickBot="1" x14ac:dyDescent="0.25">
      <c r="A34" s="1738" t="s">
        <v>654</v>
      </c>
      <c r="B34" s="1739"/>
      <c r="C34" s="1740">
        <f>SUM(C25:C33)</f>
        <v>21745</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31404</v>
      </c>
      <c r="M34" s="468"/>
      <c r="N34" s="480"/>
    </row>
    <row r="35" spans="1:14" ht="18" customHeight="1" thickTop="1" x14ac:dyDescent="0.2">
      <c r="A35" s="2116" t="s">
        <v>529</v>
      </c>
      <c r="B35" s="211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19420425</v>
      </c>
    </row>
    <row r="37" spans="1:14" ht="13.5" thickBot="1" x14ac:dyDescent="0.25">
      <c r="A37" s="1736" t="s">
        <v>653</v>
      </c>
      <c r="B37" s="1741"/>
      <c r="C37" s="477"/>
      <c r="D37" s="477"/>
      <c r="E37" s="477"/>
      <c r="F37" s="477"/>
      <c r="G37" s="477"/>
      <c r="H37" s="477"/>
      <c r="I37" s="477"/>
      <c r="J37" s="477"/>
      <c r="K37" s="477"/>
      <c r="L37" s="480"/>
      <c r="M37" s="468"/>
      <c r="N37" s="1688">
        <f>SUM(N36:N36)</f>
        <v>19420425</v>
      </c>
    </row>
    <row r="38" spans="1:14" s="329" customFormat="1" ht="13.5" customHeight="1" thickTop="1" x14ac:dyDescent="0.2">
      <c r="A38" s="496" t="s">
        <v>420</v>
      </c>
      <c r="B38" s="483">
        <v>714</v>
      </c>
      <c r="C38" s="466"/>
      <c r="D38" s="466"/>
      <c r="E38" s="466"/>
      <c r="F38" s="466"/>
      <c r="G38" s="466">
        <v>130968</v>
      </c>
      <c r="H38" s="466"/>
      <c r="I38" s="466"/>
      <c r="J38" s="467"/>
      <c r="K38" s="466"/>
      <c r="L38" s="481"/>
      <c r="M38" s="497"/>
      <c r="N38" s="497"/>
    </row>
    <row r="39" spans="1:14" s="329" customFormat="1" ht="13.5" customHeight="1" x14ac:dyDescent="0.2">
      <c r="A39" s="496" t="s">
        <v>342</v>
      </c>
      <c r="B39" s="483">
        <v>730</v>
      </c>
      <c r="C39" s="466">
        <v>8799321</v>
      </c>
      <c r="D39" s="466">
        <v>703717</v>
      </c>
      <c r="E39" s="466">
        <v>216101</v>
      </c>
      <c r="F39" s="466">
        <v>382658</v>
      </c>
      <c r="G39" s="466"/>
      <c r="H39" s="466">
        <v>1170558</v>
      </c>
      <c r="I39" s="466">
        <v>553790</v>
      </c>
      <c r="J39" s="467">
        <v>222555</v>
      </c>
      <c r="K39" s="466">
        <v>177458</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39414829</v>
      </c>
      <c r="N40" s="497"/>
    </row>
    <row r="41" spans="1:14" ht="13.5" customHeight="1" thickBot="1" x14ac:dyDescent="0.25">
      <c r="A41" s="1736" t="s">
        <v>655</v>
      </c>
      <c r="B41" s="1706"/>
      <c r="C41" s="1688">
        <f>(SUM(C34,C37,C38,C39))</f>
        <v>8821066</v>
      </c>
      <c r="D41" s="1688">
        <f t="shared" ref="D41:L41" si="2">SUM(D34,D37,D38:D39)</f>
        <v>703717</v>
      </c>
      <c r="E41" s="1688">
        <f t="shared" si="2"/>
        <v>216101</v>
      </c>
      <c r="F41" s="1688">
        <f t="shared" si="2"/>
        <v>382658</v>
      </c>
      <c r="G41" s="1688">
        <f t="shared" si="2"/>
        <v>130968</v>
      </c>
      <c r="H41" s="1688">
        <f t="shared" si="2"/>
        <v>1170558</v>
      </c>
      <c r="I41" s="1688">
        <f t="shared" si="2"/>
        <v>553790</v>
      </c>
      <c r="J41" s="1688">
        <f t="shared" si="2"/>
        <v>222555</v>
      </c>
      <c r="K41" s="1688">
        <f t="shared" si="2"/>
        <v>177458</v>
      </c>
      <c r="L41" s="1688">
        <f t="shared" si="2"/>
        <v>31404</v>
      </c>
      <c r="M41" s="1688">
        <f>SUM(M40)</f>
        <v>39414829</v>
      </c>
      <c r="N41" s="1688">
        <f>SUM(N37)</f>
        <v>19420425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3"/>
      <c r="D3" s="1574"/>
      <c r="E3" s="1574"/>
      <c r="F3" s="1574"/>
      <c r="G3" s="1574"/>
      <c r="H3" s="1574"/>
      <c r="I3" s="1574"/>
      <c r="J3" s="1574"/>
      <c r="K3" s="1575"/>
      <c r="L3" s="506"/>
    </row>
    <row r="4" spans="1:13" ht="15.75" customHeight="1" x14ac:dyDescent="0.2">
      <c r="A4" s="1928" t="s">
        <v>1499</v>
      </c>
      <c r="B4" s="1929">
        <v>1000</v>
      </c>
      <c r="C4" s="1742">
        <f>'Revenues 9-14'!C109</f>
        <v>2652071</v>
      </c>
      <c r="D4" s="1742">
        <f>'Revenues 9-14'!D109</f>
        <v>556262</v>
      </c>
      <c r="E4" s="1742">
        <f>'Revenues 9-14'!E109</f>
        <v>1205697</v>
      </c>
      <c r="F4" s="1742">
        <f>'Revenues 9-14'!F109</f>
        <v>164242</v>
      </c>
      <c r="G4" s="1742">
        <f>'Revenues 9-14'!G109</f>
        <v>426912</v>
      </c>
      <c r="H4" s="1742">
        <f>'Revenues 9-14'!H109</f>
        <v>128691</v>
      </c>
      <c r="I4" s="1742">
        <f>'Revenues 9-14'!I109</f>
        <v>7367</v>
      </c>
      <c r="J4" s="1742">
        <f>'Revenues 9-14'!J109</f>
        <v>203863</v>
      </c>
      <c r="K4" s="1742">
        <f>'Revenues 9-14'!K109</f>
        <v>22951</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11750508</v>
      </c>
      <c r="D6" s="1743">
        <f>'Revenues 9-14'!D170</f>
        <v>900000</v>
      </c>
      <c r="E6" s="1743">
        <f>'Revenues 9-14'!E170</f>
        <v>0</v>
      </c>
      <c r="F6" s="1743">
        <f>'Revenues 9-14'!F170</f>
        <v>694855</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2985815</v>
      </c>
      <c r="D7" s="1743">
        <f>'Revenues 9-14'!D267</f>
        <v>0</v>
      </c>
      <c r="E7" s="1743">
        <f>'Revenues 9-14'!E267</f>
        <v>562274</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17388394</v>
      </c>
      <c r="D8" s="1688">
        <f t="shared" ref="D8:K8" si="0">SUM(D4:D7)</f>
        <v>1456262</v>
      </c>
      <c r="E8" s="1688">
        <f t="shared" si="0"/>
        <v>1767971</v>
      </c>
      <c r="F8" s="1688">
        <f t="shared" si="0"/>
        <v>859097</v>
      </c>
      <c r="G8" s="1688">
        <f t="shared" si="0"/>
        <v>426912</v>
      </c>
      <c r="H8" s="1688">
        <f t="shared" si="0"/>
        <v>128691</v>
      </c>
      <c r="I8" s="1688">
        <f t="shared" si="0"/>
        <v>7367</v>
      </c>
      <c r="J8" s="1688">
        <f t="shared" si="0"/>
        <v>203863</v>
      </c>
      <c r="K8" s="1688">
        <f t="shared" si="0"/>
        <v>22951</v>
      </c>
      <c r="L8" s="347"/>
    </row>
    <row r="9" spans="1:13" ht="15.75" thickTop="1" x14ac:dyDescent="0.2">
      <c r="A9" s="514" t="s">
        <v>1653</v>
      </c>
      <c r="B9" s="515">
        <v>3998</v>
      </c>
      <c r="C9" s="481">
        <v>6621876</v>
      </c>
      <c r="D9" s="516"/>
      <c r="E9" s="481"/>
      <c r="F9" s="481"/>
      <c r="G9" s="517"/>
      <c r="H9" s="481"/>
      <c r="I9" s="509" t="s">
        <v>1169</v>
      </c>
      <c r="J9" s="478"/>
      <c r="K9" s="481"/>
      <c r="L9" s="347"/>
    </row>
    <row r="10" spans="1:13" s="519" customFormat="1" ht="13.5" thickBot="1" x14ac:dyDescent="0.25">
      <c r="A10" s="1736" t="s">
        <v>1173</v>
      </c>
      <c r="B10" s="1709"/>
      <c r="C10" s="1688">
        <f>SUM(C8:C9)</f>
        <v>24010270</v>
      </c>
      <c r="D10" s="1688">
        <f t="shared" ref="D10:K10" si="1">SUM(D8:D9)</f>
        <v>1456262</v>
      </c>
      <c r="E10" s="1688">
        <f t="shared" si="1"/>
        <v>1767971</v>
      </c>
      <c r="F10" s="1688">
        <f t="shared" si="1"/>
        <v>859097</v>
      </c>
      <c r="G10" s="1688">
        <f t="shared" si="1"/>
        <v>426912</v>
      </c>
      <c r="H10" s="1688">
        <f t="shared" si="1"/>
        <v>128691</v>
      </c>
      <c r="I10" s="1688">
        <f t="shared" si="1"/>
        <v>7367</v>
      </c>
      <c r="J10" s="1688">
        <f t="shared" si="1"/>
        <v>203863</v>
      </c>
      <c r="K10" s="1688">
        <f t="shared" si="1"/>
        <v>22951</v>
      </c>
      <c r="L10" s="518"/>
    </row>
    <row r="11" spans="1:13" s="519" customFormat="1" ht="16.7" customHeight="1" thickTop="1" x14ac:dyDescent="0.2">
      <c r="A11" s="2112" t="s">
        <v>1176</v>
      </c>
      <c r="B11" s="2113"/>
      <c r="C11" s="1570"/>
      <c r="D11" s="1571"/>
      <c r="E11" s="1571"/>
      <c r="F11" s="1571"/>
      <c r="G11" s="1571"/>
      <c r="H11" s="1571"/>
      <c r="I11" s="1571"/>
      <c r="J11" s="1571"/>
      <c r="K11" s="1572"/>
      <c r="L11" s="518"/>
    </row>
    <row r="12" spans="1:13" ht="15.75" customHeight="1" x14ac:dyDescent="0.2">
      <c r="A12" s="1576" t="s">
        <v>456</v>
      </c>
      <c r="B12" s="1578">
        <v>1000</v>
      </c>
      <c r="C12" s="1742">
        <f>'Expenditures 15-22'!K33</f>
        <v>10563499</v>
      </c>
      <c r="D12" s="520" t="s">
        <v>1169</v>
      </c>
      <c r="E12" s="468" t="s">
        <v>1169</v>
      </c>
      <c r="F12" s="468" t="s">
        <v>1169</v>
      </c>
      <c r="G12" s="1742">
        <f>'Expenditures 15-22'!K229</f>
        <v>279185</v>
      </c>
      <c r="H12" s="521"/>
      <c r="I12" s="468" t="s">
        <v>1169</v>
      </c>
      <c r="J12" s="468" t="s">
        <v>1169</v>
      </c>
      <c r="K12" s="521" t="s">
        <v>1169</v>
      </c>
      <c r="L12" s="347"/>
    </row>
    <row r="13" spans="1:13" ht="15.75" customHeight="1" x14ac:dyDescent="0.2">
      <c r="A13" s="1576" t="s">
        <v>457</v>
      </c>
      <c r="B13" s="1578">
        <v>2000</v>
      </c>
      <c r="C13" s="1743">
        <f>'Expenditures 15-22'!K74</f>
        <v>6298255</v>
      </c>
      <c r="D13" s="1743">
        <f>'Expenditures 15-22'!K129</f>
        <v>1436838</v>
      </c>
      <c r="E13" s="469" t="s">
        <v>1169</v>
      </c>
      <c r="F13" s="1743">
        <f>'Expenditures 15-22'!K184</f>
        <v>868664</v>
      </c>
      <c r="G13" s="1743">
        <f>'Expenditures 15-22'!K279</f>
        <v>296632</v>
      </c>
      <c r="H13" s="1743">
        <f>'Expenditures 15-22'!K303</f>
        <v>1938504</v>
      </c>
      <c r="I13" s="468" t="s">
        <v>1169</v>
      </c>
      <c r="J13" s="1743">
        <f>'Expenditures 15-22'!K330</f>
        <v>217056</v>
      </c>
      <c r="K13" s="1747">
        <f>'Expenditures 15-22'!K352</f>
        <v>0</v>
      </c>
      <c r="L13" s="347"/>
    </row>
    <row r="14" spans="1:13" ht="15.75" customHeight="1" x14ac:dyDescent="0.2">
      <c r="A14" s="1576" t="s">
        <v>449</v>
      </c>
      <c r="B14" s="1578">
        <v>3000</v>
      </c>
      <c r="C14" s="1743">
        <f>'Expenditures 15-22'!K75</f>
        <v>187725</v>
      </c>
      <c r="D14" s="1743">
        <f>'Expenditures 15-22'!K130</f>
        <v>0</v>
      </c>
      <c r="E14" s="520" t="s">
        <v>1169</v>
      </c>
      <c r="F14" s="1743">
        <f>'Expenditures 15-22'!K185</f>
        <v>0</v>
      </c>
      <c r="G14" s="1743">
        <f>'Expenditures 15-22'!K280</f>
        <v>5928</v>
      </c>
      <c r="H14" s="512"/>
      <c r="I14" s="468" t="s">
        <v>1169</v>
      </c>
      <c r="J14" s="468" t="s">
        <v>1169</v>
      </c>
      <c r="K14" s="512" t="s">
        <v>1169</v>
      </c>
      <c r="L14" s="347"/>
    </row>
    <row r="15" spans="1:13" ht="15.75" customHeight="1" x14ac:dyDescent="0.2">
      <c r="A15" s="1576" t="s">
        <v>107</v>
      </c>
      <c r="B15" s="1578">
        <v>4000</v>
      </c>
      <c r="C15" s="1743">
        <f>'Expenditures 15-22'!K102</f>
        <v>665200</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1897298</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17714679</v>
      </c>
      <c r="D17" s="1688">
        <f t="shared" si="2"/>
        <v>1436838</v>
      </c>
      <c r="E17" s="1688">
        <f t="shared" si="2"/>
        <v>1897298</v>
      </c>
      <c r="F17" s="1688">
        <f t="shared" si="2"/>
        <v>868664</v>
      </c>
      <c r="G17" s="1688">
        <f t="shared" si="2"/>
        <v>581745</v>
      </c>
      <c r="H17" s="1688">
        <f t="shared" si="2"/>
        <v>1938504</v>
      </c>
      <c r="I17" s="468"/>
      <c r="J17" s="1688">
        <f>SUM(J12:J16)</f>
        <v>217056</v>
      </c>
      <c r="K17" s="1688">
        <f>SUM(K12:K16)</f>
        <v>0</v>
      </c>
      <c r="L17" s="347"/>
    </row>
    <row r="18" spans="1:12" ht="15" customHeight="1" thickTop="1" x14ac:dyDescent="0.2">
      <c r="A18" s="1744" t="s">
        <v>1654</v>
      </c>
      <c r="B18" s="1745">
        <v>4180</v>
      </c>
      <c r="C18" s="1742">
        <f t="shared" ref="C18:H18" si="3">C9</f>
        <v>6621876</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24336555</v>
      </c>
      <c r="D19" s="1688">
        <f t="shared" si="4"/>
        <v>1436838</v>
      </c>
      <c r="E19" s="1688">
        <f t="shared" si="4"/>
        <v>1897298</v>
      </c>
      <c r="F19" s="1688">
        <f t="shared" si="4"/>
        <v>868664</v>
      </c>
      <c r="G19" s="1688">
        <f t="shared" si="4"/>
        <v>581745</v>
      </c>
      <c r="H19" s="1688">
        <f t="shared" si="4"/>
        <v>1938504</v>
      </c>
      <c r="I19" s="468"/>
      <c r="J19" s="1688">
        <f>SUM(J17:J18)</f>
        <v>217056</v>
      </c>
      <c r="K19" s="1688">
        <f>SUM(K17:K18)</f>
        <v>0</v>
      </c>
      <c r="L19" s="347"/>
    </row>
    <row r="20" spans="1:12" ht="16.5" thickTop="1" thickBot="1" x14ac:dyDescent="0.25">
      <c r="A20" s="2128" t="s">
        <v>1655</v>
      </c>
      <c r="B20" s="2129"/>
      <c r="C20" s="1746">
        <f>C8-C17</f>
        <v>-326285</v>
      </c>
      <c r="D20" s="1746">
        <f t="shared" ref="D20:K20" si="5">D8-D17</f>
        <v>19424</v>
      </c>
      <c r="E20" s="1746">
        <f t="shared" si="5"/>
        <v>-129327</v>
      </c>
      <c r="F20" s="1746">
        <f t="shared" si="5"/>
        <v>-9567</v>
      </c>
      <c r="G20" s="1746">
        <f t="shared" si="5"/>
        <v>-154833</v>
      </c>
      <c r="H20" s="1746">
        <f t="shared" si="5"/>
        <v>-1809813</v>
      </c>
      <c r="I20" s="1746">
        <f t="shared" si="5"/>
        <v>7367</v>
      </c>
      <c r="J20" s="1746">
        <f t="shared" si="5"/>
        <v>-13193</v>
      </c>
      <c r="K20" s="1746">
        <f t="shared" si="5"/>
        <v>22951</v>
      </c>
      <c r="L20" s="347"/>
    </row>
    <row r="21" spans="1:12" ht="16.7" customHeight="1" thickTop="1" x14ac:dyDescent="0.2">
      <c r="A21" s="2140" t="s">
        <v>595</v>
      </c>
      <c r="B21" s="2141"/>
      <c r="C21" s="1570"/>
      <c r="D21" s="1571"/>
      <c r="E21" s="1571"/>
      <c r="F21" s="1571"/>
      <c r="G21" s="1571"/>
      <c r="H21" s="1571"/>
      <c r="I21" s="1571"/>
      <c r="J21" s="1571"/>
      <c r="K21" s="1572"/>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1791</v>
      </c>
      <c r="B30" s="527">
        <v>7160</v>
      </c>
      <c r="C30" s="477"/>
      <c r="D30" s="467"/>
      <c r="E30" s="477"/>
      <c r="F30" s="477"/>
      <c r="G30" s="477"/>
      <c r="H30" s="477"/>
      <c r="I30" s="477"/>
      <c r="J30" s="477"/>
      <c r="K30" s="477"/>
      <c r="L30" s="524"/>
    </row>
    <row r="31" spans="1:12" s="485" customFormat="1" ht="26.25" x14ac:dyDescent="0.2">
      <c r="A31" s="1489" t="s">
        <v>1795</v>
      </c>
      <c r="B31" s="527">
        <v>7170</v>
      </c>
      <c r="C31" s="477"/>
      <c r="D31" s="477"/>
      <c r="E31" s="474"/>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2" t="s">
        <v>374</v>
      </c>
      <c r="B44" s="2143"/>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1794</v>
      </c>
      <c r="B52" s="483">
        <v>8160</v>
      </c>
      <c r="C52" s="477"/>
      <c r="D52" s="477"/>
      <c r="E52" s="477"/>
      <c r="F52" s="477"/>
      <c r="G52" s="477"/>
      <c r="H52" s="477"/>
      <c r="I52" s="477"/>
      <c r="J52" s="477"/>
      <c r="K52" s="1743">
        <f>D30</f>
        <v>0</v>
      </c>
      <c r="L52" s="524"/>
    </row>
    <row r="53" spans="1:12" s="485" customFormat="1" ht="26.25" x14ac:dyDescent="0.2">
      <c r="A53" s="1490" t="s">
        <v>1793</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8" t="s">
        <v>440</v>
      </c>
      <c r="B76" s="2119"/>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0" t="s">
        <v>1177</v>
      </c>
      <c r="B77" s="2121"/>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4" t="s">
        <v>597</v>
      </c>
      <c r="B78" s="2125"/>
      <c r="C78" s="1702">
        <f t="shared" ref="C78:K78" si="9">C20+C77</f>
        <v>-326285</v>
      </c>
      <c r="D78" s="1702">
        <f t="shared" si="9"/>
        <v>19424</v>
      </c>
      <c r="E78" s="1702">
        <f t="shared" si="9"/>
        <v>-129327</v>
      </c>
      <c r="F78" s="1702">
        <f t="shared" si="9"/>
        <v>-9567</v>
      </c>
      <c r="G78" s="1702">
        <f t="shared" si="9"/>
        <v>-154833</v>
      </c>
      <c r="H78" s="1702">
        <f t="shared" si="9"/>
        <v>-1809813</v>
      </c>
      <c r="I78" s="1702">
        <f t="shared" si="9"/>
        <v>7367</v>
      </c>
      <c r="J78" s="1702">
        <f t="shared" si="9"/>
        <v>-13193</v>
      </c>
      <c r="K78" s="1702">
        <f t="shared" si="9"/>
        <v>22951</v>
      </c>
      <c r="L78" s="533"/>
    </row>
    <row r="79" spans="1:12" ht="13.5" thickTop="1" x14ac:dyDescent="0.2">
      <c r="A79" s="1494" t="s">
        <v>1944</v>
      </c>
      <c r="B79" s="534"/>
      <c r="C79" s="478">
        <v>9125606</v>
      </c>
      <c r="D79" s="535">
        <v>684293</v>
      </c>
      <c r="E79" s="535">
        <v>345428</v>
      </c>
      <c r="F79" s="535">
        <v>392225</v>
      </c>
      <c r="G79" s="535">
        <v>285801</v>
      </c>
      <c r="H79" s="535">
        <v>2980371</v>
      </c>
      <c r="I79" s="535">
        <v>546423</v>
      </c>
      <c r="J79" s="535">
        <v>235748</v>
      </c>
      <c r="K79" s="535">
        <v>154507</v>
      </c>
      <c r="L79" s="347"/>
    </row>
    <row r="80" spans="1:12" x14ac:dyDescent="0.2">
      <c r="A80" s="2130" t="s">
        <v>1792</v>
      </c>
      <c r="B80" s="2131"/>
      <c r="C80" s="467"/>
      <c r="D80" s="467"/>
      <c r="E80" s="467"/>
      <c r="F80" s="467"/>
      <c r="G80" s="467"/>
      <c r="H80" s="467"/>
      <c r="I80" s="467"/>
      <c r="J80" s="467"/>
      <c r="K80" s="467"/>
      <c r="L80" s="347"/>
    </row>
    <row r="81" spans="1:12" ht="13.5" thickBot="1" x14ac:dyDescent="0.25">
      <c r="A81" s="2122" t="s">
        <v>1945</v>
      </c>
      <c r="B81" s="2123"/>
      <c r="C81" s="1688">
        <f>(SUM(C78:C80))</f>
        <v>8799321</v>
      </c>
      <c r="D81" s="1688">
        <f>SUM(D78:D80)</f>
        <v>703717</v>
      </c>
      <c r="E81" s="1688">
        <f t="shared" ref="E81:K81" si="10">SUM(E78:E80)</f>
        <v>216101</v>
      </c>
      <c r="F81" s="1688">
        <f t="shared" si="10"/>
        <v>382658</v>
      </c>
      <c r="G81" s="1688">
        <f t="shared" si="10"/>
        <v>130968</v>
      </c>
      <c r="H81" s="1688">
        <f t="shared" si="10"/>
        <v>1170558</v>
      </c>
      <c r="I81" s="1688">
        <f t="shared" si="10"/>
        <v>553790</v>
      </c>
      <c r="J81" s="1688">
        <f t="shared" si="10"/>
        <v>222555</v>
      </c>
      <c r="K81" s="1688">
        <f t="shared" si="10"/>
        <v>177458</v>
      </c>
      <c r="L81" s="347"/>
    </row>
    <row r="82" spans="1:12" ht="0.75" customHeight="1" thickTop="1" thickBot="1" x14ac:dyDescent="0.25">
      <c r="A82" s="536" t="s">
        <v>343</v>
      </c>
      <c r="B82" s="537"/>
      <c r="C82" s="538">
        <f>(C81-C79)</f>
        <v>-326285</v>
      </c>
      <c r="D82" s="538">
        <f t="shared" ref="D82:K82" si="11">(D81-D79)</f>
        <v>19424</v>
      </c>
      <c r="E82" s="538">
        <f t="shared" si="11"/>
        <v>-129327</v>
      </c>
      <c r="F82" s="538">
        <f t="shared" si="11"/>
        <v>-9567</v>
      </c>
      <c r="G82" s="538">
        <f t="shared" si="11"/>
        <v>-154833</v>
      </c>
      <c r="H82" s="538">
        <f t="shared" si="11"/>
        <v>-1809813</v>
      </c>
      <c r="I82" s="538">
        <f t="shared" si="11"/>
        <v>7367</v>
      </c>
      <c r="J82" s="538">
        <f t="shared" si="11"/>
        <v>-13193</v>
      </c>
      <c r="K82" s="538">
        <f t="shared" si="11"/>
        <v>22951</v>
      </c>
    </row>
    <row r="83" spans="1:12" ht="14.25" hidden="1" thickTop="1" thickBot="1" x14ac:dyDescent="0.25">
      <c r="A83" s="539" t="s">
        <v>344</v>
      </c>
      <c r="B83" s="464"/>
      <c r="C83" s="540">
        <f>C82/C81</f>
        <v>-3.7080702022349227E-2</v>
      </c>
      <c r="D83" s="540">
        <f t="shared" ref="D83:K83" si="12">D82/D81</f>
        <v>2.760200478317278E-2</v>
      </c>
      <c r="E83" s="540">
        <f t="shared" si="12"/>
        <v>-0.59845627738881357</v>
      </c>
      <c r="F83" s="540">
        <f t="shared" si="12"/>
        <v>-2.5001437314782389E-2</v>
      </c>
      <c r="G83" s="540">
        <f t="shared" si="12"/>
        <v>-1.1822200842954005</v>
      </c>
      <c r="H83" s="540">
        <f t="shared" si="12"/>
        <v>-1.5461113417703352</v>
      </c>
      <c r="I83" s="540">
        <f t="shared" si="12"/>
        <v>1.3302876541649362E-2</v>
      </c>
      <c r="J83" s="540">
        <f t="shared" si="12"/>
        <v>-5.9279728606411897E-2</v>
      </c>
      <c r="K83" s="540">
        <f t="shared" si="12"/>
        <v>0.12933201095470478</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9" activePane="bottomLeft" state="frozen"/>
      <selection pane="bottomLeft" activeCell="C256" sqref="C25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1799</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1974045</v>
      </c>
      <c r="D5" s="481">
        <v>193971</v>
      </c>
      <c r="E5" s="466"/>
      <c r="F5" s="548">
        <v>157902</v>
      </c>
      <c r="G5" s="466">
        <v>191641</v>
      </c>
      <c r="H5" s="466"/>
      <c r="I5" s="466">
        <v>6634</v>
      </c>
      <c r="J5" s="467">
        <v>187109</v>
      </c>
      <c r="K5" s="466">
        <v>22499</v>
      </c>
    </row>
    <row r="6" spans="1:12" ht="15" x14ac:dyDescent="0.2">
      <c r="A6" s="463" t="s">
        <v>1662</v>
      </c>
      <c r="B6" s="470">
        <v>1130</v>
      </c>
      <c r="C6" s="466"/>
      <c r="D6" s="466"/>
      <c r="E6" s="475"/>
      <c r="F6" s="475"/>
      <c r="G6" s="468"/>
      <c r="H6" s="468"/>
      <c r="I6" s="468"/>
      <c r="J6" s="468"/>
      <c r="K6" s="468"/>
    </row>
    <row r="7" spans="1:12" x14ac:dyDescent="0.2">
      <c r="A7" s="463" t="s">
        <v>110</v>
      </c>
      <c r="B7" s="549">
        <v>1140</v>
      </c>
      <c r="C7" s="466">
        <v>202071</v>
      </c>
      <c r="D7" s="466"/>
      <c r="E7" s="468"/>
      <c r="F7" s="467"/>
      <c r="G7" s="467"/>
      <c r="H7" s="467"/>
      <c r="I7" s="468"/>
      <c r="J7" s="468"/>
      <c r="K7" s="468"/>
    </row>
    <row r="8" spans="1:12" x14ac:dyDescent="0.2">
      <c r="A8" s="463" t="s">
        <v>413</v>
      </c>
      <c r="B8" s="470">
        <v>1150</v>
      </c>
      <c r="C8" s="475"/>
      <c r="D8" s="475"/>
      <c r="E8" s="477"/>
      <c r="F8" s="477"/>
      <c r="G8" s="481">
        <v>222040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2176116</v>
      </c>
      <c r="D12" s="1707">
        <f t="shared" si="0"/>
        <v>193971</v>
      </c>
      <c r="E12" s="1707">
        <f t="shared" si="0"/>
        <v>0</v>
      </c>
      <c r="F12" s="1707">
        <f t="shared" si="0"/>
        <v>157902</v>
      </c>
      <c r="G12" s="1707">
        <f t="shared" si="0"/>
        <v>413681</v>
      </c>
      <c r="H12" s="1707">
        <f t="shared" si="0"/>
        <v>0</v>
      </c>
      <c r="I12" s="1707">
        <f t="shared" si="0"/>
        <v>6634</v>
      </c>
      <c r="J12" s="1707">
        <f t="shared" si="0"/>
        <v>187109</v>
      </c>
      <c r="K12" s="1688">
        <f t="shared" si="0"/>
        <v>22499</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7306</v>
      </c>
      <c r="D14" s="466">
        <v>616</v>
      </c>
      <c r="E14" s="466"/>
      <c r="F14" s="466">
        <v>532</v>
      </c>
      <c r="G14" s="466">
        <v>1328</v>
      </c>
      <c r="H14" s="466"/>
      <c r="I14" s="466">
        <v>22</v>
      </c>
      <c r="J14" s="467">
        <v>637</v>
      </c>
      <c r="K14" s="466">
        <v>106</v>
      </c>
    </row>
    <row r="15" spans="1:12" ht="12.75" customHeight="1" x14ac:dyDescent="0.2">
      <c r="A15" s="463" t="s">
        <v>95</v>
      </c>
      <c r="B15" s="470">
        <v>1220</v>
      </c>
      <c r="C15" s="551">
        <v>8955</v>
      </c>
      <c r="D15" s="466">
        <v>755</v>
      </c>
      <c r="E15" s="466"/>
      <c r="F15" s="466">
        <v>652</v>
      </c>
      <c r="G15" s="466">
        <v>1628</v>
      </c>
      <c r="H15" s="466"/>
      <c r="I15" s="466">
        <v>28</v>
      </c>
      <c r="J15" s="467">
        <v>780</v>
      </c>
      <c r="K15" s="466">
        <v>131</v>
      </c>
    </row>
    <row r="16" spans="1:12" ht="15" customHeight="1" x14ac:dyDescent="0.2">
      <c r="A16" s="463" t="s">
        <v>1663</v>
      </c>
      <c r="B16" s="549">
        <v>1230</v>
      </c>
      <c r="C16" s="551">
        <v>205740</v>
      </c>
      <c r="D16" s="466"/>
      <c r="E16" s="466"/>
      <c r="F16" s="466"/>
      <c r="G16" s="466">
        <v>10000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222001</v>
      </c>
      <c r="D18" s="1710">
        <f t="shared" ref="D18:K18" si="1">SUM(D14:D17)</f>
        <v>1371</v>
      </c>
      <c r="E18" s="1710">
        <f t="shared" si="1"/>
        <v>0</v>
      </c>
      <c r="F18" s="1710">
        <f t="shared" si="1"/>
        <v>1184</v>
      </c>
      <c r="G18" s="1710">
        <f t="shared" si="1"/>
        <v>12956</v>
      </c>
      <c r="H18" s="1710">
        <f t="shared" si="1"/>
        <v>0</v>
      </c>
      <c r="I18" s="1710">
        <f t="shared" si="1"/>
        <v>50</v>
      </c>
      <c r="J18" s="1710">
        <f t="shared" si="1"/>
        <v>1417</v>
      </c>
      <c r="K18" s="1711">
        <f t="shared" si="1"/>
        <v>237</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v>33596</v>
      </c>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33596</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29716</v>
      </c>
      <c r="D65" s="466">
        <v>648</v>
      </c>
      <c r="E65" s="466">
        <v>594</v>
      </c>
      <c r="F65" s="467">
        <v>396</v>
      </c>
      <c r="G65" s="466">
        <v>275</v>
      </c>
      <c r="H65" s="466">
        <v>18166</v>
      </c>
      <c r="I65" s="466">
        <v>683</v>
      </c>
      <c r="J65" s="467">
        <v>237</v>
      </c>
      <c r="K65" s="466">
        <v>215</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29716</v>
      </c>
      <c r="D67" s="1688">
        <f t="shared" ref="D67:K67" si="2">SUM(D65:D66)</f>
        <v>648</v>
      </c>
      <c r="E67" s="1688">
        <f t="shared" si="2"/>
        <v>594</v>
      </c>
      <c r="F67" s="1688">
        <f t="shared" si="2"/>
        <v>396</v>
      </c>
      <c r="G67" s="1688">
        <f t="shared" si="2"/>
        <v>275</v>
      </c>
      <c r="H67" s="1688">
        <f t="shared" si="2"/>
        <v>18166</v>
      </c>
      <c r="I67" s="1688">
        <f t="shared" si="2"/>
        <v>683</v>
      </c>
      <c r="J67" s="1688">
        <f t="shared" si="2"/>
        <v>237</v>
      </c>
      <c r="K67" s="1688">
        <f t="shared" si="2"/>
        <v>215</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97</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1359</v>
      </c>
      <c r="D73" s="468"/>
      <c r="E73" s="468"/>
      <c r="F73" s="468"/>
      <c r="G73" s="468"/>
      <c r="H73" s="468"/>
      <c r="I73" s="468"/>
      <c r="J73" s="468"/>
      <c r="K73" s="468"/>
    </row>
    <row r="74" spans="1:11" ht="12.75" customHeight="1" x14ac:dyDescent="0.2">
      <c r="A74" s="463" t="s">
        <v>25</v>
      </c>
      <c r="B74" s="470">
        <v>1690</v>
      </c>
      <c r="C74" s="551">
        <v>184</v>
      </c>
      <c r="D74" s="468"/>
      <c r="E74" s="468"/>
      <c r="F74" s="468"/>
      <c r="G74" s="468"/>
      <c r="H74" s="468"/>
      <c r="I74" s="468"/>
      <c r="J74" s="468"/>
      <c r="K74" s="468"/>
    </row>
    <row r="75" spans="1:11" ht="12.75" customHeight="1" thickBot="1" x14ac:dyDescent="0.25">
      <c r="A75" s="1708" t="s">
        <v>548</v>
      </c>
      <c r="B75" s="1709"/>
      <c r="C75" s="1688">
        <f>SUM(C69:C74)</f>
        <v>1640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13029</v>
      </c>
      <c r="D77" s="466"/>
      <c r="E77" s="468"/>
      <c r="F77" s="468"/>
      <c r="G77" s="468"/>
      <c r="H77" s="468"/>
      <c r="I77" s="468"/>
      <c r="J77" s="468"/>
      <c r="K77" s="468"/>
    </row>
    <row r="78" spans="1:11" ht="12.75" customHeight="1" x14ac:dyDescent="0.2">
      <c r="A78" s="463" t="s">
        <v>76</v>
      </c>
      <c r="B78" s="470">
        <v>1719</v>
      </c>
      <c r="C78" s="551">
        <v>502</v>
      </c>
      <c r="D78" s="466"/>
      <c r="E78" s="468"/>
      <c r="F78" s="468"/>
      <c r="G78" s="468"/>
      <c r="H78" s="468"/>
      <c r="I78" s="468"/>
      <c r="J78" s="468"/>
      <c r="K78" s="468"/>
    </row>
    <row r="79" spans="1:11" ht="12.75" customHeight="1" x14ac:dyDescent="0.2">
      <c r="A79" s="463" t="s">
        <v>550</v>
      </c>
      <c r="B79" s="470">
        <v>1720</v>
      </c>
      <c r="C79" s="551">
        <v>3670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17201</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16264</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16264</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940</v>
      </c>
      <c r="D95" s="551">
        <v>3000</v>
      </c>
      <c r="E95" s="521"/>
      <c r="F95" s="521"/>
      <c r="G95" s="521"/>
      <c r="H95" s="521"/>
      <c r="I95" s="521"/>
      <c r="J95" s="521"/>
      <c r="K95" s="521"/>
    </row>
    <row r="96" spans="1:11" ht="12.75" customHeight="1" x14ac:dyDescent="0.2">
      <c r="A96" s="463" t="s">
        <v>391</v>
      </c>
      <c r="B96" s="470">
        <v>1920</v>
      </c>
      <c r="C96" s="551">
        <v>119707</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5896</v>
      </c>
      <c r="D99" s="466"/>
      <c r="E99" s="466"/>
      <c r="F99" s="466"/>
      <c r="G99" s="466"/>
      <c r="H99" s="466"/>
      <c r="I99" s="468"/>
      <c r="J99" s="467"/>
      <c r="K99" s="466"/>
    </row>
    <row r="100" spans="1:12" ht="12.75" customHeight="1" x14ac:dyDescent="0.2">
      <c r="A100" s="463" t="s">
        <v>245</v>
      </c>
      <c r="B100" s="470">
        <v>1960</v>
      </c>
      <c r="C100" s="489"/>
      <c r="D100" s="489">
        <v>308281</v>
      </c>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v>1205103</v>
      </c>
      <c r="F103" s="468"/>
      <c r="G103" s="468"/>
      <c r="H103" s="489">
        <v>110525</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28994</v>
      </c>
      <c r="D107" s="466">
        <v>48991</v>
      </c>
      <c r="E107" s="466"/>
      <c r="F107" s="466">
        <v>4760</v>
      </c>
      <c r="G107" s="466"/>
      <c r="H107" s="466"/>
      <c r="I107" s="466"/>
      <c r="J107" s="467">
        <v>15100</v>
      </c>
      <c r="K107" s="466"/>
    </row>
    <row r="108" spans="1:12" ht="12.75" customHeight="1" thickBot="1" x14ac:dyDescent="0.25">
      <c r="A108" s="1708" t="s">
        <v>487</v>
      </c>
      <c r="B108" s="1712"/>
      <c r="C108" s="1707">
        <f>SUM(C95:C107)</f>
        <v>155537</v>
      </c>
      <c r="D108" s="1707">
        <f t="shared" ref="D108:K108" si="3">SUM(D95:D107)</f>
        <v>360272</v>
      </c>
      <c r="E108" s="1707">
        <f t="shared" si="3"/>
        <v>1205103</v>
      </c>
      <c r="F108" s="1707">
        <f t="shared" si="3"/>
        <v>4760</v>
      </c>
      <c r="G108" s="1707">
        <f t="shared" si="3"/>
        <v>0</v>
      </c>
      <c r="H108" s="1707">
        <f t="shared" si="3"/>
        <v>110525</v>
      </c>
      <c r="I108" s="1707">
        <f t="shared" si="3"/>
        <v>0</v>
      </c>
      <c r="J108" s="1707">
        <f t="shared" si="3"/>
        <v>15100</v>
      </c>
      <c r="K108" s="1688">
        <f t="shared" si="3"/>
        <v>0</v>
      </c>
    </row>
    <row r="109" spans="1:12" ht="14.25" thickTop="1" thickBot="1" x14ac:dyDescent="0.25">
      <c r="A109" s="1713" t="s">
        <v>248</v>
      </c>
      <c r="B109" s="1714" t="s">
        <v>570</v>
      </c>
      <c r="C109" s="1715">
        <f t="shared" ref="C109:K109" si="4">SUM(C12,C18,C40,C63,C67,C75,C82,C93,C108,)</f>
        <v>2652071</v>
      </c>
      <c r="D109" s="1715">
        <f t="shared" si="4"/>
        <v>556262</v>
      </c>
      <c r="E109" s="1715">
        <f t="shared" si="4"/>
        <v>1205697</v>
      </c>
      <c r="F109" s="1715">
        <f t="shared" si="4"/>
        <v>164242</v>
      </c>
      <c r="G109" s="1715">
        <f t="shared" si="4"/>
        <v>426912</v>
      </c>
      <c r="H109" s="1715">
        <f t="shared" si="4"/>
        <v>128691</v>
      </c>
      <c r="I109" s="1715">
        <f t="shared" si="4"/>
        <v>7367</v>
      </c>
      <c r="J109" s="1715">
        <f t="shared" si="4"/>
        <v>203863</v>
      </c>
      <c r="K109" s="1702">
        <f t="shared" si="4"/>
        <v>22951</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11056487</v>
      </c>
      <c r="D117" s="481">
        <v>900000</v>
      </c>
      <c r="E117" s="466"/>
      <c r="F117" s="481">
        <v>130000</v>
      </c>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30" t="s">
        <v>1931</v>
      </c>
      <c r="B120" s="562">
        <v>3030</v>
      </c>
      <c r="C120" s="551"/>
      <c r="D120" s="466"/>
      <c r="E120" s="466"/>
      <c r="F120" s="466"/>
      <c r="G120" s="466"/>
      <c r="H120" s="466"/>
      <c r="I120" s="468"/>
      <c r="J120" s="467"/>
      <c r="K120" s="466"/>
    </row>
    <row r="121" spans="1:11" x14ac:dyDescent="0.2">
      <c r="A121" s="1496" t="s">
        <v>1798</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11056487</v>
      </c>
      <c r="D122" s="1707">
        <f t="shared" si="5"/>
        <v>900000</v>
      </c>
      <c r="E122" s="1707">
        <f t="shared" si="5"/>
        <v>0</v>
      </c>
      <c r="F122" s="1707">
        <f t="shared" si="5"/>
        <v>130000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225464</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14058</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239522</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21910</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138900</v>
      </c>
      <c r="G152" s="467"/>
      <c r="H152" s="468"/>
      <c r="I152" s="468"/>
      <c r="J152" s="468"/>
      <c r="K152" s="468"/>
    </row>
    <row r="153" spans="1:11" ht="12.75" customHeight="1" x14ac:dyDescent="0.2">
      <c r="A153" s="463" t="s">
        <v>1057</v>
      </c>
      <c r="B153" s="562">
        <v>3510</v>
      </c>
      <c r="C153" s="551"/>
      <c r="D153" s="466"/>
      <c r="E153" s="561"/>
      <c r="F153" s="466">
        <v>295144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434044</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377710</v>
      </c>
      <c r="D159" s="578"/>
      <c r="E159" s="561"/>
      <c r="F159" s="576">
        <v>130811</v>
      </c>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54879</v>
      </c>
      <c r="D168" s="580"/>
      <c r="E168" s="580"/>
      <c r="F168" s="580"/>
      <c r="G168" s="581"/>
      <c r="H168" s="582"/>
      <c r="I168" s="581"/>
      <c r="J168" s="581"/>
      <c r="K168" s="582"/>
    </row>
    <row r="169" spans="1:11" ht="12.75" customHeight="1" thickTop="1" thickBot="1" x14ac:dyDescent="0.25">
      <c r="A169" s="2146" t="s">
        <v>398</v>
      </c>
      <c r="B169" s="2147"/>
      <c r="C169" s="1722">
        <f t="shared" ref="C169:K169" si="6">SUM(C132,C141,C145,C146:C150,C155,C156:C167,C168)</f>
        <v>694021</v>
      </c>
      <c r="D169" s="1722">
        <f t="shared" si="6"/>
        <v>0</v>
      </c>
      <c r="E169" s="1722">
        <f t="shared" si="6"/>
        <v>0</v>
      </c>
      <c r="F169" s="1722">
        <f t="shared" si="6"/>
        <v>564855</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11750508</v>
      </c>
      <c r="D170" s="1715">
        <f t="shared" si="7"/>
        <v>900000</v>
      </c>
      <c r="E170" s="1715">
        <f t="shared" si="7"/>
        <v>0</v>
      </c>
      <c r="F170" s="1715">
        <f t="shared" si="7"/>
        <v>694855</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2" t="s">
        <v>1665</v>
      </c>
      <c r="B175" s="215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4" t="s">
        <v>785</v>
      </c>
      <c r="B181" s="215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0" t="s">
        <v>1800</v>
      </c>
      <c r="B182" s="2151"/>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762592</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299750</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v>12185</v>
      </c>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1074527</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1020921</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57353</v>
      </c>
      <c r="D203" s="466"/>
      <c r="E203" s="468"/>
      <c r="F203" s="466"/>
      <c r="G203" s="466"/>
      <c r="H203" s="468"/>
      <c r="I203" s="468"/>
      <c r="J203" s="468"/>
      <c r="K203" s="468"/>
    </row>
    <row r="204" spans="1:11" ht="12.75" customHeight="1" thickBot="1" x14ac:dyDescent="0.25">
      <c r="A204" s="1708" t="s">
        <v>400</v>
      </c>
      <c r="B204" s="1709"/>
      <c r="C204" s="1707">
        <f>SUM(C200:C203)</f>
        <v>1078274</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8809</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8809</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20140</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560365</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580505</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v>562274</v>
      </c>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562274</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v>39038</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10280</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1932</v>
      </c>
      <c r="B261" s="470">
        <v>4981</v>
      </c>
      <c r="C261" s="575"/>
      <c r="D261" s="576"/>
      <c r="E261" s="468"/>
      <c r="F261" s="576"/>
      <c r="G261" s="576"/>
      <c r="H261" s="468"/>
      <c r="I261" s="468"/>
      <c r="J261" s="468"/>
      <c r="K261" s="468"/>
    </row>
    <row r="262" spans="1:11" ht="12.75" customHeight="1" thickTop="1" thickBot="1" x14ac:dyDescent="0.25">
      <c r="A262" s="1931"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48472</v>
      </c>
      <c r="D263" s="576"/>
      <c r="E263" s="468"/>
      <c r="F263" s="576"/>
      <c r="G263" s="576"/>
      <c r="H263" s="468"/>
      <c r="I263" s="468"/>
      <c r="J263" s="468"/>
      <c r="K263" s="468"/>
    </row>
    <row r="264" spans="1:11" ht="12.75" customHeight="1" thickTop="1" thickBot="1" x14ac:dyDescent="0.25">
      <c r="A264" s="463" t="s">
        <v>377</v>
      </c>
      <c r="B264" s="470">
        <v>4992</v>
      </c>
      <c r="C264" s="575">
        <v>89317</v>
      </c>
      <c r="D264" s="576"/>
      <c r="E264" s="468"/>
      <c r="F264" s="576"/>
      <c r="G264" s="576"/>
      <c r="H264" s="468"/>
      <c r="I264" s="468"/>
      <c r="J264" s="468"/>
      <c r="K264" s="468"/>
    </row>
    <row r="265" spans="1:11" s="593" customFormat="1" ht="12.75" customHeight="1" thickTop="1" thickBot="1" x14ac:dyDescent="0.25">
      <c r="A265" s="563" t="s">
        <v>75</v>
      </c>
      <c r="B265" s="557">
        <v>4999</v>
      </c>
      <c r="C265" s="575">
        <v>56593</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2985815</v>
      </c>
      <c r="D266" s="1715">
        <f t="shared" si="10"/>
        <v>0</v>
      </c>
      <c r="E266" s="1715">
        <f t="shared" si="10"/>
        <v>562274</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2985815</v>
      </c>
      <c r="D267" s="1715">
        <f>SUM(D175,D181,D266)</f>
        <v>0</v>
      </c>
      <c r="E267" s="1715">
        <f>SUM(E175,E266)</f>
        <v>562274</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17388394</v>
      </c>
      <c r="D268" s="1715">
        <f t="shared" si="12"/>
        <v>1456262</v>
      </c>
      <c r="E268" s="1715">
        <f t="shared" si="12"/>
        <v>1767971</v>
      </c>
      <c r="F268" s="1715">
        <f t="shared" si="12"/>
        <v>859097</v>
      </c>
      <c r="G268" s="1715">
        <f t="shared" si="12"/>
        <v>426912</v>
      </c>
      <c r="H268" s="1715">
        <f t="shared" si="12"/>
        <v>128691</v>
      </c>
      <c r="I268" s="1715">
        <f t="shared" si="12"/>
        <v>7367</v>
      </c>
      <c r="J268" s="1715">
        <f t="shared" si="12"/>
        <v>203863</v>
      </c>
      <c r="K268" s="1702">
        <f t="shared" si="12"/>
        <v>22951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76" activePane="bottomLeft" state="frozen"/>
      <selection pane="bottomLeft" activeCell="K342" sqref="K34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4" t="s">
        <v>297</v>
      </c>
      <c r="B3" s="2165"/>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5492906</v>
      </c>
      <c r="D5" s="466">
        <v>926284</v>
      </c>
      <c r="E5" s="466">
        <v>260982</v>
      </c>
      <c r="F5" s="466">
        <v>376133</v>
      </c>
      <c r="G5" s="466">
        <v>77215</v>
      </c>
      <c r="H5" s="466">
        <v>1229</v>
      </c>
      <c r="I5" s="467"/>
      <c r="J5" s="467"/>
      <c r="K5" s="1671">
        <f>SUM(C5:J5)</f>
        <v>7134749</v>
      </c>
      <c r="L5" s="466">
        <v>7549439</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244542</v>
      </c>
      <c r="D7" s="467">
        <v>40539</v>
      </c>
      <c r="E7" s="467">
        <v>2892</v>
      </c>
      <c r="F7" s="467">
        <v>58777</v>
      </c>
      <c r="G7" s="467">
        <v>3726</v>
      </c>
      <c r="H7" s="467"/>
      <c r="I7" s="467"/>
      <c r="J7" s="467"/>
      <c r="K7" s="1671">
        <f t="shared" ref="K7:K32" si="0">SUM(C7:J7)</f>
        <v>350476</v>
      </c>
      <c r="L7" s="466">
        <v>439521</v>
      </c>
    </row>
    <row r="8" spans="1:14" x14ac:dyDescent="0.2">
      <c r="A8" s="1504" t="s">
        <v>164</v>
      </c>
      <c r="B8" s="614">
        <v>1200</v>
      </c>
      <c r="C8" s="466">
        <v>1711716</v>
      </c>
      <c r="D8" s="466">
        <v>276843</v>
      </c>
      <c r="E8" s="466">
        <v>19308</v>
      </c>
      <c r="F8" s="466">
        <v>25355</v>
      </c>
      <c r="G8" s="466">
        <v>1245</v>
      </c>
      <c r="H8" s="466"/>
      <c r="I8" s="467"/>
      <c r="J8" s="467"/>
      <c r="K8" s="1671">
        <f t="shared" si="0"/>
        <v>2034467</v>
      </c>
      <c r="L8" s="466">
        <v>2662956</v>
      </c>
    </row>
    <row r="9" spans="1:14" x14ac:dyDescent="0.2">
      <c r="A9" s="1504" t="s">
        <v>721</v>
      </c>
      <c r="B9" s="614" t="s">
        <v>968</v>
      </c>
      <c r="C9" s="467">
        <v>97837</v>
      </c>
      <c r="D9" s="467">
        <v>13636</v>
      </c>
      <c r="E9" s="467"/>
      <c r="F9" s="467">
        <v>1088</v>
      </c>
      <c r="G9" s="467"/>
      <c r="H9" s="467"/>
      <c r="I9" s="467"/>
      <c r="J9" s="467"/>
      <c r="K9" s="1671">
        <f t="shared" si="0"/>
        <v>112561</v>
      </c>
      <c r="L9" s="466">
        <v>122149</v>
      </c>
    </row>
    <row r="10" spans="1:14" x14ac:dyDescent="0.2">
      <c r="A10" s="1504" t="s">
        <v>722</v>
      </c>
      <c r="B10" s="614">
        <v>1250</v>
      </c>
      <c r="C10" s="466">
        <v>18642</v>
      </c>
      <c r="D10" s="466">
        <v>5229</v>
      </c>
      <c r="E10" s="466">
        <v>6805</v>
      </c>
      <c r="F10" s="466">
        <v>65950</v>
      </c>
      <c r="G10" s="466"/>
      <c r="H10" s="466"/>
      <c r="I10" s="467"/>
      <c r="J10" s="467"/>
      <c r="K10" s="1671">
        <f t="shared" si="0"/>
        <v>96626</v>
      </c>
      <c r="L10" s="466">
        <v>96625</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53127</v>
      </c>
      <c r="D14" s="466">
        <v>1684</v>
      </c>
      <c r="E14" s="466">
        <v>10680</v>
      </c>
      <c r="F14" s="466">
        <v>5974</v>
      </c>
      <c r="G14" s="466"/>
      <c r="H14" s="466">
        <v>3674</v>
      </c>
      <c r="I14" s="467"/>
      <c r="J14" s="467"/>
      <c r="K14" s="1671">
        <f t="shared" si="0"/>
        <v>75139</v>
      </c>
      <c r="L14" s="466">
        <v>82750</v>
      </c>
    </row>
    <row r="15" spans="1:14" x14ac:dyDescent="0.2">
      <c r="A15" s="1504" t="s">
        <v>964</v>
      </c>
      <c r="B15" s="614">
        <v>1600</v>
      </c>
      <c r="C15" s="466">
        <v>5744</v>
      </c>
      <c r="D15" s="466">
        <v>615</v>
      </c>
      <c r="E15" s="466"/>
      <c r="F15" s="466"/>
      <c r="G15" s="466"/>
      <c r="H15" s="466"/>
      <c r="I15" s="467"/>
      <c r="J15" s="467"/>
      <c r="K15" s="1671">
        <f t="shared" si="0"/>
        <v>6359</v>
      </c>
      <c r="L15" s="466">
        <v>5375</v>
      </c>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v>612564</v>
      </c>
      <c r="D18" s="466">
        <v>80345</v>
      </c>
      <c r="E18" s="466">
        <v>2503</v>
      </c>
      <c r="F18" s="466">
        <v>57710</v>
      </c>
      <c r="G18" s="466"/>
      <c r="H18" s="466"/>
      <c r="I18" s="467"/>
      <c r="J18" s="467"/>
      <c r="K18" s="1671">
        <f t="shared" si="0"/>
        <v>753122</v>
      </c>
      <c r="L18" s="466">
        <v>973458</v>
      </c>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8237078</v>
      </c>
      <c r="D33" s="1670">
        <f t="shared" ref="D33:L33" si="1">SUM(D5:D32)</f>
        <v>1345175</v>
      </c>
      <c r="E33" s="1670">
        <f t="shared" si="1"/>
        <v>303170</v>
      </c>
      <c r="F33" s="1670">
        <f t="shared" si="1"/>
        <v>590987</v>
      </c>
      <c r="G33" s="1670">
        <f t="shared" si="1"/>
        <v>82186</v>
      </c>
      <c r="H33" s="1670">
        <f t="shared" si="1"/>
        <v>4903</v>
      </c>
      <c r="I33" s="1670">
        <f t="shared" si="1"/>
        <v>0</v>
      </c>
      <c r="J33" s="1670">
        <f t="shared" si="1"/>
        <v>0</v>
      </c>
      <c r="K33" s="1670">
        <f t="shared" si="1"/>
        <v>10563499</v>
      </c>
      <c r="L33" s="1670">
        <f t="shared" si="1"/>
        <v>11932273</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265208</v>
      </c>
      <c r="D36" s="481">
        <v>103103</v>
      </c>
      <c r="E36" s="481">
        <v>329</v>
      </c>
      <c r="F36" s="481">
        <v>4151</v>
      </c>
      <c r="G36" s="481"/>
      <c r="H36" s="481"/>
      <c r="I36" s="467"/>
      <c r="J36" s="467"/>
      <c r="K36" s="1671">
        <f t="shared" ref="K36:K41" si="2">SUM(C36:J36)</f>
        <v>372791</v>
      </c>
      <c r="L36" s="466">
        <v>462323</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v>281990</v>
      </c>
      <c r="D38" s="466">
        <v>46744</v>
      </c>
      <c r="E38" s="466">
        <v>4133</v>
      </c>
      <c r="F38" s="466">
        <v>3262</v>
      </c>
      <c r="G38" s="466">
        <v>8544</v>
      </c>
      <c r="H38" s="466"/>
      <c r="I38" s="467"/>
      <c r="J38" s="467"/>
      <c r="K38" s="1671">
        <f t="shared" si="2"/>
        <v>344673</v>
      </c>
      <c r="L38" s="466">
        <v>389299</v>
      </c>
    </row>
    <row r="39" spans="1:14" x14ac:dyDescent="0.2">
      <c r="A39" s="1504" t="s">
        <v>199</v>
      </c>
      <c r="B39" s="614">
        <v>2140</v>
      </c>
      <c r="C39" s="466">
        <v>207143</v>
      </c>
      <c r="D39" s="466">
        <v>21272</v>
      </c>
      <c r="E39" s="466">
        <v>4255</v>
      </c>
      <c r="F39" s="466">
        <v>4577</v>
      </c>
      <c r="G39" s="466"/>
      <c r="H39" s="466"/>
      <c r="I39" s="467"/>
      <c r="J39" s="467"/>
      <c r="K39" s="1671">
        <f t="shared" si="2"/>
        <v>237247</v>
      </c>
      <c r="L39" s="466">
        <v>282590</v>
      </c>
    </row>
    <row r="40" spans="1:14" x14ac:dyDescent="0.2">
      <c r="A40" s="1504" t="s">
        <v>200</v>
      </c>
      <c r="B40" s="614">
        <v>2150</v>
      </c>
      <c r="C40" s="466">
        <v>202487</v>
      </c>
      <c r="D40" s="466">
        <v>23423</v>
      </c>
      <c r="E40" s="466">
        <v>259217</v>
      </c>
      <c r="F40" s="466">
        <v>7420</v>
      </c>
      <c r="G40" s="466">
        <v>538</v>
      </c>
      <c r="H40" s="466"/>
      <c r="I40" s="467"/>
      <c r="J40" s="467"/>
      <c r="K40" s="1671">
        <f t="shared" si="2"/>
        <v>493085</v>
      </c>
      <c r="L40" s="466">
        <v>530274</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956828</v>
      </c>
      <c r="D42" s="1670">
        <f t="shared" ref="D42:L42" si="3">SUM(D36:D41)</f>
        <v>194542</v>
      </c>
      <c r="E42" s="1670">
        <f t="shared" si="3"/>
        <v>267934</v>
      </c>
      <c r="F42" s="1670">
        <f t="shared" si="3"/>
        <v>19410</v>
      </c>
      <c r="G42" s="1670">
        <f t="shared" si="3"/>
        <v>9082</v>
      </c>
      <c r="H42" s="1670">
        <f t="shared" si="3"/>
        <v>0</v>
      </c>
      <c r="I42" s="1670">
        <f t="shared" si="3"/>
        <v>0</v>
      </c>
      <c r="J42" s="1670">
        <f t="shared" si="3"/>
        <v>0</v>
      </c>
      <c r="K42" s="1670">
        <f t="shared" si="3"/>
        <v>1447796</v>
      </c>
      <c r="L42" s="1670">
        <f t="shared" si="3"/>
        <v>1664486</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440492</v>
      </c>
      <c r="D44" s="481">
        <v>51483</v>
      </c>
      <c r="E44" s="481">
        <v>110348</v>
      </c>
      <c r="F44" s="481">
        <v>77952</v>
      </c>
      <c r="G44" s="481"/>
      <c r="H44" s="481"/>
      <c r="I44" s="467"/>
      <c r="J44" s="467"/>
      <c r="K44" s="1672">
        <f>SUM(C44:J44)</f>
        <v>680275</v>
      </c>
      <c r="L44" s="481">
        <v>876596</v>
      </c>
    </row>
    <row r="45" spans="1:14" x14ac:dyDescent="0.2">
      <c r="A45" s="1504" t="s">
        <v>815</v>
      </c>
      <c r="B45" s="614">
        <v>2220</v>
      </c>
      <c r="C45" s="466">
        <v>143741</v>
      </c>
      <c r="D45" s="466">
        <v>31112</v>
      </c>
      <c r="E45" s="466">
        <v>127435</v>
      </c>
      <c r="F45" s="466">
        <v>50636</v>
      </c>
      <c r="G45" s="466">
        <v>66078</v>
      </c>
      <c r="H45" s="466"/>
      <c r="I45" s="467"/>
      <c r="J45" s="467"/>
      <c r="K45" s="1672">
        <f>SUM(C45:J45)</f>
        <v>419002</v>
      </c>
      <c r="L45" s="466">
        <v>516704</v>
      </c>
    </row>
    <row r="46" spans="1:14" x14ac:dyDescent="0.2">
      <c r="A46" s="1504" t="s">
        <v>816</v>
      </c>
      <c r="B46" s="614">
        <v>2230</v>
      </c>
      <c r="C46" s="466"/>
      <c r="D46" s="466"/>
      <c r="E46" s="466">
        <v>19100</v>
      </c>
      <c r="F46" s="466"/>
      <c r="G46" s="466"/>
      <c r="H46" s="466"/>
      <c r="I46" s="467"/>
      <c r="J46" s="467"/>
      <c r="K46" s="1672">
        <f>SUM(C46:J46)</f>
        <v>19100</v>
      </c>
      <c r="L46" s="466">
        <v>19924</v>
      </c>
    </row>
    <row r="47" spans="1:14" ht="12.75" customHeight="1" thickBot="1" x14ac:dyDescent="0.25">
      <c r="A47" s="1668" t="s">
        <v>561</v>
      </c>
      <c r="B47" s="1669" t="s">
        <v>32</v>
      </c>
      <c r="C47" s="1670">
        <f>SUM(C44:C46)</f>
        <v>584233</v>
      </c>
      <c r="D47" s="1670">
        <f t="shared" ref="D47:K47" si="4">SUM(D44:D46)</f>
        <v>82595</v>
      </c>
      <c r="E47" s="1670">
        <f t="shared" si="4"/>
        <v>256883</v>
      </c>
      <c r="F47" s="1670">
        <f t="shared" si="4"/>
        <v>128588</v>
      </c>
      <c r="G47" s="1670">
        <f t="shared" si="4"/>
        <v>66078</v>
      </c>
      <c r="H47" s="1670">
        <f t="shared" si="4"/>
        <v>0</v>
      </c>
      <c r="I47" s="1670">
        <f t="shared" si="4"/>
        <v>0</v>
      </c>
      <c r="J47" s="1670">
        <f t="shared" si="4"/>
        <v>0</v>
      </c>
      <c r="K47" s="1670">
        <f t="shared" si="4"/>
        <v>1118377</v>
      </c>
      <c r="L47" s="1670">
        <f>SUM(L44:L46)</f>
        <v>1413224</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v>32693</v>
      </c>
      <c r="E49" s="481">
        <v>124234</v>
      </c>
      <c r="F49" s="481">
        <v>10778</v>
      </c>
      <c r="G49" s="481"/>
      <c r="H49" s="481">
        <v>11574</v>
      </c>
      <c r="I49" s="467"/>
      <c r="J49" s="467"/>
      <c r="K49" s="1672">
        <f>SUM(C49:J49)</f>
        <v>179279</v>
      </c>
      <c r="L49" s="481">
        <v>151400</v>
      </c>
    </row>
    <row r="50" spans="1:14" x14ac:dyDescent="0.2">
      <c r="A50" s="1504" t="s">
        <v>818</v>
      </c>
      <c r="B50" s="614">
        <v>2320</v>
      </c>
      <c r="C50" s="466">
        <v>346364</v>
      </c>
      <c r="D50" s="466">
        <v>48729</v>
      </c>
      <c r="E50" s="466">
        <v>56315</v>
      </c>
      <c r="F50" s="466">
        <v>10273</v>
      </c>
      <c r="G50" s="466"/>
      <c r="H50" s="466">
        <v>5974</v>
      </c>
      <c r="I50" s="467"/>
      <c r="J50" s="467"/>
      <c r="K50" s="1672">
        <f>SUM(C50:J50)</f>
        <v>467655</v>
      </c>
      <c r="L50" s="466">
        <v>463029</v>
      </c>
    </row>
    <row r="51" spans="1:14" x14ac:dyDescent="0.2">
      <c r="A51" s="1504" t="s">
        <v>42</v>
      </c>
      <c r="B51" s="614">
        <v>2330</v>
      </c>
      <c r="C51" s="466">
        <v>300553</v>
      </c>
      <c r="D51" s="466">
        <v>49916</v>
      </c>
      <c r="E51" s="466">
        <v>11570</v>
      </c>
      <c r="F51" s="466">
        <v>3869</v>
      </c>
      <c r="G51" s="466"/>
      <c r="H51" s="466">
        <v>1979</v>
      </c>
      <c r="I51" s="467"/>
      <c r="J51" s="467"/>
      <c r="K51" s="1672">
        <f>SUM(C51:J51)</f>
        <v>367887</v>
      </c>
      <c r="L51" s="466">
        <v>375422</v>
      </c>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646917</v>
      </c>
      <c r="D53" s="1670">
        <f t="shared" ref="D53:L53" si="5">SUM(D49:D52)</f>
        <v>131338</v>
      </c>
      <c r="E53" s="1670">
        <f t="shared" si="5"/>
        <v>192119</v>
      </c>
      <c r="F53" s="1670">
        <f t="shared" si="5"/>
        <v>24920</v>
      </c>
      <c r="G53" s="1670">
        <f t="shared" si="5"/>
        <v>0</v>
      </c>
      <c r="H53" s="1670">
        <f t="shared" si="5"/>
        <v>19527</v>
      </c>
      <c r="I53" s="1670">
        <f t="shared" si="5"/>
        <v>0</v>
      </c>
      <c r="J53" s="1670">
        <f t="shared" si="5"/>
        <v>0</v>
      </c>
      <c r="K53" s="1670">
        <f t="shared" si="5"/>
        <v>1014821</v>
      </c>
      <c r="L53" s="1670">
        <f t="shared" si="5"/>
        <v>989851</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1083444</v>
      </c>
      <c r="D55" s="481">
        <v>222652</v>
      </c>
      <c r="E55" s="481">
        <v>80927</v>
      </c>
      <c r="F55" s="481">
        <v>15506</v>
      </c>
      <c r="G55" s="481"/>
      <c r="H55" s="481">
        <v>4771</v>
      </c>
      <c r="I55" s="467"/>
      <c r="J55" s="467"/>
      <c r="K55" s="1672">
        <f>SUM(C55:J55)</f>
        <v>1407300</v>
      </c>
      <c r="L55" s="481">
        <v>1432487</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1083444</v>
      </c>
      <c r="D57" s="1674">
        <f t="shared" ref="D57:K57" si="6">SUM(D55:D56)</f>
        <v>222652</v>
      </c>
      <c r="E57" s="1674">
        <f t="shared" si="6"/>
        <v>80927</v>
      </c>
      <c r="F57" s="1674">
        <f t="shared" si="6"/>
        <v>15506</v>
      </c>
      <c r="G57" s="1674">
        <f t="shared" si="6"/>
        <v>0</v>
      </c>
      <c r="H57" s="1674">
        <f t="shared" si="6"/>
        <v>4771</v>
      </c>
      <c r="I57" s="1674">
        <f t="shared" si="6"/>
        <v>0</v>
      </c>
      <c r="J57" s="1674">
        <f t="shared" si="6"/>
        <v>0</v>
      </c>
      <c r="K57" s="1674">
        <f t="shared" si="6"/>
        <v>1407300</v>
      </c>
      <c r="L57" s="1670">
        <f>SUM(L55:L56)</f>
        <v>1432487</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173317</v>
      </c>
      <c r="D60" s="466">
        <v>25040</v>
      </c>
      <c r="E60" s="466">
        <v>10363</v>
      </c>
      <c r="F60" s="466">
        <v>1162</v>
      </c>
      <c r="G60" s="466"/>
      <c r="H60" s="466">
        <v>855</v>
      </c>
      <c r="I60" s="467"/>
      <c r="J60" s="467"/>
      <c r="K60" s="1672">
        <f t="shared" si="7"/>
        <v>210737</v>
      </c>
      <c r="L60" s="466">
        <v>226367</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272915</v>
      </c>
      <c r="D63" s="466">
        <v>75215</v>
      </c>
      <c r="E63" s="466">
        <v>16199</v>
      </c>
      <c r="F63" s="466">
        <v>404169</v>
      </c>
      <c r="G63" s="466">
        <v>22991</v>
      </c>
      <c r="H63" s="466">
        <v>2004</v>
      </c>
      <c r="I63" s="467"/>
      <c r="J63" s="467"/>
      <c r="K63" s="1672">
        <f t="shared" si="7"/>
        <v>793493</v>
      </c>
      <c r="L63" s="466">
        <v>876476</v>
      </c>
    </row>
    <row r="64" spans="1:14" s="609" customFormat="1" x14ac:dyDescent="0.2">
      <c r="A64" s="1509" t="s">
        <v>101</v>
      </c>
      <c r="B64" s="630">
        <v>2570</v>
      </c>
      <c r="C64" s="481">
        <v>28171</v>
      </c>
      <c r="D64" s="481">
        <v>342</v>
      </c>
      <c r="E64" s="481">
        <v>2364</v>
      </c>
      <c r="F64" s="481">
        <v>31792</v>
      </c>
      <c r="G64" s="481">
        <v>32120</v>
      </c>
      <c r="H64" s="481"/>
      <c r="I64" s="467"/>
      <c r="J64" s="467"/>
      <c r="K64" s="1672">
        <f t="shared" si="7"/>
        <v>94789</v>
      </c>
      <c r="L64" s="481">
        <v>79025</v>
      </c>
    </row>
    <row r="65" spans="1:14" s="343" customFormat="1" ht="12.75" customHeight="1" thickBot="1" x14ac:dyDescent="0.25">
      <c r="A65" s="1668" t="s">
        <v>719</v>
      </c>
      <c r="B65" s="1669" t="s">
        <v>35</v>
      </c>
      <c r="C65" s="1670">
        <f>SUM(C59:C64)</f>
        <v>474403</v>
      </c>
      <c r="D65" s="1670">
        <f t="shared" ref="D65:L65" si="8">SUM(D59:D64)</f>
        <v>100597</v>
      </c>
      <c r="E65" s="1670">
        <f t="shared" si="8"/>
        <v>28926</v>
      </c>
      <c r="F65" s="1670">
        <f t="shared" si="8"/>
        <v>437123</v>
      </c>
      <c r="G65" s="1670">
        <f t="shared" si="8"/>
        <v>55111</v>
      </c>
      <c r="H65" s="1670">
        <f t="shared" si="8"/>
        <v>2859</v>
      </c>
      <c r="I65" s="1670">
        <f t="shared" si="8"/>
        <v>0</v>
      </c>
      <c r="J65" s="1670">
        <f t="shared" si="8"/>
        <v>0</v>
      </c>
      <c r="K65" s="1670">
        <f t="shared" si="8"/>
        <v>1099019</v>
      </c>
      <c r="L65" s="1670">
        <f t="shared" si="8"/>
        <v>1181868</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v>12535</v>
      </c>
      <c r="F68" s="466"/>
      <c r="G68" s="466"/>
      <c r="H68" s="466"/>
      <c r="I68" s="467"/>
      <c r="J68" s="467"/>
      <c r="K68" s="1672">
        <f>SUM(C68:J68)</f>
        <v>12535</v>
      </c>
      <c r="L68" s="466">
        <v>12535</v>
      </c>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v>44400</v>
      </c>
      <c r="D70" s="466">
        <v>5220</v>
      </c>
      <c r="E70" s="466"/>
      <c r="F70" s="466"/>
      <c r="G70" s="466"/>
      <c r="H70" s="466"/>
      <c r="I70" s="467"/>
      <c r="J70" s="467"/>
      <c r="K70" s="1672">
        <f>SUM(C70:J70)</f>
        <v>49620</v>
      </c>
      <c r="L70" s="466">
        <v>50001</v>
      </c>
      <c r="M70" s="609"/>
      <c r="N70" s="609"/>
    </row>
    <row r="71" spans="1:14" s="343" customFormat="1" x14ac:dyDescent="0.2">
      <c r="A71" s="1504" t="s">
        <v>404</v>
      </c>
      <c r="B71" s="614">
        <v>2660</v>
      </c>
      <c r="C71" s="466">
        <v>64943</v>
      </c>
      <c r="D71" s="466">
        <v>44</v>
      </c>
      <c r="E71" s="466">
        <v>65967</v>
      </c>
      <c r="F71" s="466"/>
      <c r="G71" s="466"/>
      <c r="H71" s="466"/>
      <c r="I71" s="467"/>
      <c r="J71" s="467"/>
      <c r="K71" s="1672">
        <f>SUM(C71:J71)</f>
        <v>130954</v>
      </c>
      <c r="L71" s="466">
        <v>146288</v>
      </c>
      <c r="M71" s="609"/>
      <c r="N71" s="609"/>
    </row>
    <row r="72" spans="1:14" s="343" customFormat="1" ht="12.75" customHeight="1" thickBot="1" x14ac:dyDescent="0.25">
      <c r="A72" s="1668" t="s">
        <v>37</v>
      </c>
      <c r="B72" s="1675" t="s">
        <v>36</v>
      </c>
      <c r="C72" s="1670">
        <f>SUM(C67:C71)</f>
        <v>109343</v>
      </c>
      <c r="D72" s="1670">
        <f t="shared" ref="D72:K72" si="9">SUM(D67:D71)</f>
        <v>5264</v>
      </c>
      <c r="E72" s="1670">
        <f t="shared" si="9"/>
        <v>78502</v>
      </c>
      <c r="F72" s="1670">
        <f t="shared" si="9"/>
        <v>0</v>
      </c>
      <c r="G72" s="1670">
        <f t="shared" si="9"/>
        <v>0</v>
      </c>
      <c r="H72" s="1670">
        <f t="shared" si="9"/>
        <v>0</v>
      </c>
      <c r="I72" s="1670">
        <f t="shared" si="9"/>
        <v>0</v>
      </c>
      <c r="J72" s="1670">
        <f t="shared" si="9"/>
        <v>0</v>
      </c>
      <c r="K72" s="1670">
        <f t="shared" si="9"/>
        <v>193109</v>
      </c>
      <c r="L72" s="1670">
        <f>SUM(L67:L71)</f>
        <v>208824</v>
      </c>
      <c r="M72" s="609"/>
      <c r="N72" s="609"/>
    </row>
    <row r="73" spans="1:14" s="343" customFormat="1" ht="14.25" thickTop="1" thickBot="1" x14ac:dyDescent="0.25">
      <c r="A73" s="1510" t="s">
        <v>980</v>
      </c>
      <c r="B73" s="632" t="s">
        <v>574</v>
      </c>
      <c r="C73" s="573">
        <v>17331</v>
      </c>
      <c r="D73" s="573">
        <v>502</v>
      </c>
      <c r="E73" s="573"/>
      <c r="F73" s="573"/>
      <c r="G73" s="573"/>
      <c r="H73" s="573"/>
      <c r="I73" s="531"/>
      <c r="J73" s="531"/>
      <c r="K73" s="1670">
        <f>SUM(C73:J73)</f>
        <v>17833</v>
      </c>
      <c r="L73" s="576">
        <v>43188</v>
      </c>
      <c r="M73" s="609"/>
      <c r="N73" s="609"/>
    </row>
    <row r="74" spans="1:14" ht="12.75" customHeight="1" thickTop="1" thickBot="1" x14ac:dyDescent="0.25">
      <c r="A74" s="1668" t="s">
        <v>811</v>
      </c>
      <c r="B74" s="1676">
        <v>2000</v>
      </c>
      <c r="C74" s="1677">
        <f>SUM(C42,C47,C53,C57,C65,C72,C73)</f>
        <v>3872499</v>
      </c>
      <c r="D74" s="1677">
        <f t="shared" ref="D74:K74" si="10">SUM(D42,D47,D53,D57,D65,D72,D73)</f>
        <v>737490</v>
      </c>
      <c r="E74" s="1677">
        <f t="shared" si="10"/>
        <v>905291</v>
      </c>
      <c r="F74" s="1677">
        <f t="shared" si="10"/>
        <v>625547</v>
      </c>
      <c r="G74" s="1677">
        <f t="shared" si="10"/>
        <v>130271</v>
      </c>
      <c r="H74" s="1677">
        <f t="shared" si="10"/>
        <v>27157</v>
      </c>
      <c r="I74" s="1677">
        <f t="shared" si="10"/>
        <v>0</v>
      </c>
      <c r="J74" s="1677">
        <f t="shared" si="10"/>
        <v>0</v>
      </c>
      <c r="K74" s="1677">
        <f t="shared" si="10"/>
        <v>6298255</v>
      </c>
      <c r="L74" s="1677">
        <f>SUM(L42,L47,L53,L57,L65,L72,L73)</f>
        <v>6933928</v>
      </c>
    </row>
    <row r="75" spans="1:14" s="259" customFormat="1" ht="15.75" customHeight="1" thickTop="1" thickBot="1" x14ac:dyDescent="0.25">
      <c r="A75" s="1610" t="s">
        <v>47</v>
      </c>
      <c r="B75" s="1611" t="s">
        <v>575</v>
      </c>
      <c r="C75" s="573">
        <v>40115</v>
      </c>
      <c r="D75" s="573">
        <v>6963</v>
      </c>
      <c r="E75" s="573">
        <v>107204</v>
      </c>
      <c r="F75" s="573">
        <v>32843</v>
      </c>
      <c r="G75" s="573">
        <v>600</v>
      </c>
      <c r="H75" s="573"/>
      <c r="I75" s="531"/>
      <c r="J75" s="531"/>
      <c r="K75" s="1670">
        <f>SUM(C75:J75)</f>
        <v>187725</v>
      </c>
      <c r="L75" s="576">
        <v>266924</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v>32916</v>
      </c>
      <c r="F83" s="616"/>
      <c r="G83" s="616"/>
      <c r="H83" s="466">
        <v>9200</v>
      </c>
      <c r="I83" s="477"/>
      <c r="J83" s="477"/>
      <c r="K83" s="1671">
        <f t="shared" si="11"/>
        <v>42116</v>
      </c>
      <c r="L83" s="466">
        <v>77698</v>
      </c>
    </row>
    <row r="84" spans="1:12" ht="13.5" thickBot="1" x14ac:dyDescent="0.25">
      <c r="A84" s="1668" t="s">
        <v>1485</v>
      </c>
      <c r="B84" s="1678">
        <v>4100</v>
      </c>
      <c r="C84" s="616"/>
      <c r="D84" s="616"/>
      <c r="E84" s="1670">
        <f>SUM(E78:E83)</f>
        <v>32916</v>
      </c>
      <c r="F84" s="616"/>
      <c r="G84" s="616"/>
      <c r="H84" s="1670">
        <f>SUM(H78:H83)</f>
        <v>9200</v>
      </c>
      <c r="I84" s="477"/>
      <c r="J84" s="477"/>
      <c r="K84" s="1670">
        <f>SUM(K78:K83)</f>
        <v>42116</v>
      </c>
      <c r="L84" s="1670">
        <f>SUM(L78:L83)</f>
        <v>77698</v>
      </c>
    </row>
    <row r="85" spans="1:12" ht="12.75" customHeight="1" thickTop="1" thickBot="1" x14ac:dyDescent="0.25">
      <c r="A85" s="1511" t="s">
        <v>255</v>
      </c>
      <c r="B85" s="635">
        <v>4210</v>
      </c>
      <c r="C85" s="616"/>
      <c r="D85" s="616"/>
      <c r="E85" s="636"/>
      <c r="F85" s="616"/>
      <c r="G85" s="616"/>
      <c r="H85" s="535">
        <v>14400</v>
      </c>
      <c r="I85" s="477"/>
      <c r="J85" s="477"/>
      <c r="K85" s="1677">
        <f>H85</f>
        <v>14400</v>
      </c>
      <c r="L85" s="530">
        <v>15000</v>
      </c>
    </row>
    <row r="86" spans="1:12" ht="12.75" customHeight="1" thickTop="1" thickBot="1" x14ac:dyDescent="0.25">
      <c r="A86" s="1512" t="s">
        <v>699</v>
      </c>
      <c r="B86" s="637">
        <v>4220</v>
      </c>
      <c r="C86" s="616"/>
      <c r="D86" s="616"/>
      <c r="E86" s="638"/>
      <c r="F86" s="616"/>
      <c r="G86" s="616"/>
      <c r="H86" s="467">
        <v>608684</v>
      </c>
      <c r="I86" s="477"/>
      <c r="J86" s="477"/>
      <c r="K86" s="1677">
        <f t="shared" ref="K86:K98" si="12">H86</f>
        <v>608684</v>
      </c>
      <c r="L86" s="530">
        <v>643000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623084</v>
      </c>
      <c r="I92" s="477"/>
      <c r="J92" s="477"/>
      <c r="K92" s="1677">
        <f t="shared" si="12"/>
        <v>623084</v>
      </c>
      <c r="L92" s="1670">
        <f>SUM(L85:L91)</f>
        <v>658000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32916</v>
      </c>
      <c r="F102" s="616"/>
      <c r="G102" s="616"/>
      <c r="H102" s="1677">
        <f>SUM(H84,H92,H100,H101)</f>
        <v>632284</v>
      </c>
      <c r="I102" s="477"/>
      <c r="J102" s="477"/>
      <c r="K102" s="1677">
        <f>SUM(K84,K92,K100,K101)</f>
        <v>665200</v>
      </c>
      <c r="L102" s="1677">
        <f>SUM(L84,L92,L100,L101)</f>
        <v>735698</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50000</v>
      </c>
      <c r="M113" s="613"/>
      <c r="N113" s="613"/>
    </row>
    <row r="114" spans="1:14" ht="12.75" customHeight="1" thickTop="1" thickBot="1" x14ac:dyDescent="0.25">
      <c r="A114" s="1668" t="s">
        <v>48</v>
      </c>
      <c r="B114" s="1682"/>
      <c r="C114" s="1670">
        <f>SUM(C33,C74,C75,C102,C112,C113)</f>
        <v>12149692</v>
      </c>
      <c r="D114" s="1670">
        <f t="shared" ref="D114:K114" si="13">SUM(D33,D74,D75,D102,D112,D113)</f>
        <v>2089628</v>
      </c>
      <c r="E114" s="1670">
        <f t="shared" si="13"/>
        <v>1348581</v>
      </c>
      <c r="F114" s="1670">
        <f t="shared" si="13"/>
        <v>1249377</v>
      </c>
      <c r="G114" s="1670">
        <f t="shared" si="13"/>
        <v>213057</v>
      </c>
      <c r="H114" s="1670">
        <f>SUM(H33,H74,H75,H102,H112,H113)</f>
        <v>664344</v>
      </c>
      <c r="I114" s="1670">
        <f t="shared" si="13"/>
        <v>0</v>
      </c>
      <c r="J114" s="1670">
        <f t="shared" si="13"/>
        <v>0</v>
      </c>
      <c r="K114" s="1670">
        <f t="shared" si="13"/>
        <v>17714679</v>
      </c>
      <c r="L114" s="1670">
        <f>SUM(L33,L74,L75,L102,L112,L113)</f>
        <v>19918823</v>
      </c>
    </row>
    <row r="115" spans="1:14" ht="13.5" thickTop="1" x14ac:dyDescent="0.2">
      <c r="A115" s="2183" t="s">
        <v>996</v>
      </c>
      <c r="B115" s="2184"/>
      <c r="C115" s="618"/>
      <c r="D115" s="618"/>
      <c r="E115" s="618"/>
      <c r="F115" s="618"/>
      <c r="G115" s="618"/>
      <c r="H115" s="618"/>
      <c r="I115" s="618"/>
      <c r="J115" s="618"/>
      <c r="K115" s="1684">
        <f>'Revenues 9-14'!C268-'Expenditures 15-22'!K114</f>
        <v>-326285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1" t="s">
        <v>296</v>
      </c>
      <c r="B117" s="2162"/>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2055</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413260</v>
      </c>
      <c r="D124" s="466">
        <v>86534</v>
      </c>
      <c r="E124" s="466">
        <v>398779</v>
      </c>
      <c r="F124" s="466">
        <v>454399</v>
      </c>
      <c r="G124" s="466">
        <v>83866</v>
      </c>
      <c r="H124" s="466"/>
      <c r="I124" s="467"/>
      <c r="J124" s="467"/>
      <c r="K124" s="1670">
        <f>SUM(C124:J124)</f>
        <v>1436838</v>
      </c>
      <c r="L124" s="466">
        <v>1511821</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413260</v>
      </c>
      <c r="D127" s="1670">
        <f t="shared" ref="D127:L127" si="14">SUM(D122:D126)</f>
        <v>86534</v>
      </c>
      <c r="E127" s="1670">
        <f t="shared" si="14"/>
        <v>398779</v>
      </c>
      <c r="F127" s="1670">
        <f t="shared" si="14"/>
        <v>454399</v>
      </c>
      <c r="G127" s="1670">
        <f t="shared" si="14"/>
        <v>83866</v>
      </c>
      <c r="H127" s="1670">
        <f t="shared" si="14"/>
        <v>0</v>
      </c>
      <c r="I127" s="1670">
        <f t="shared" si="14"/>
        <v>0</v>
      </c>
      <c r="J127" s="1670">
        <f t="shared" si="14"/>
        <v>0</v>
      </c>
      <c r="K127" s="1670">
        <f t="shared" si="14"/>
        <v>1436838</v>
      </c>
      <c r="L127" s="1670">
        <f t="shared" si="14"/>
        <v>1511821</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413260</v>
      </c>
      <c r="D129" s="1677">
        <f t="shared" ref="D129:L129" si="15">SUM(D120,D127,D128)</f>
        <v>86534</v>
      </c>
      <c r="E129" s="1677">
        <f t="shared" si="15"/>
        <v>398779</v>
      </c>
      <c r="F129" s="1677">
        <f t="shared" si="15"/>
        <v>454399</v>
      </c>
      <c r="G129" s="1677">
        <f t="shared" si="15"/>
        <v>83866</v>
      </c>
      <c r="H129" s="1677">
        <f t="shared" si="15"/>
        <v>0</v>
      </c>
      <c r="I129" s="1677">
        <f t="shared" si="15"/>
        <v>0</v>
      </c>
      <c r="J129" s="1677">
        <f t="shared" si="15"/>
        <v>0</v>
      </c>
      <c r="K129" s="1677">
        <f t="shared" si="15"/>
        <v>1436838</v>
      </c>
      <c r="L129" s="1677">
        <f t="shared" si="15"/>
        <v>1511821</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1841</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100000</v>
      </c>
    </row>
    <row r="151" spans="1:14" ht="12.75" customHeight="1" thickTop="1" thickBot="1" x14ac:dyDescent="0.25">
      <c r="A151" s="2173" t="s">
        <v>620</v>
      </c>
      <c r="B151" s="2155"/>
      <c r="C151" s="1670">
        <f>SUM(C129,C130,C139,C149,C150)</f>
        <v>413260</v>
      </c>
      <c r="D151" s="1670">
        <f t="shared" ref="D151:K151" si="16">SUM(D129,D130,D139,D149,D150)</f>
        <v>86534</v>
      </c>
      <c r="E151" s="1670">
        <f t="shared" si="16"/>
        <v>398779</v>
      </c>
      <c r="F151" s="1670">
        <f t="shared" si="16"/>
        <v>454399</v>
      </c>
      <c r="G151" s="1670">
        <f t="shared" si="16"/>
        <v>83866</v>
      </c>
      <c r="H151" s="1670">
        <f t="shared" si="16"/>
        <v>0</v>
      </c>
      <c r="I151" s="1670">
        <f t="shared" si="16"/>
        <v>0</v>
      </c>
      <c r="J151" s="1670">
        <f t="shared" si="16"/>
        <v>0</v>
      </c>
      <c r="K151" s="1670">
        <f t="shared" si="16"/>
        <v>1436838</v>
      </c>
      <c r="L151" s="1670">
        <f>SUM(L129,L130,L139,L149,L150)</f>
        <v>1611821</v>
      </c>
    </row>
    <row r="152" spans="1:14" ht="12.75" customHeight="1" thickTop="1" x14ac:dyDescent="0.2">
      <c r="A152" s="2176" t="s">
        <v>1178</v>
      </c>
      <c r="B152" s="2177"/>
      <c r="C152" s="618"/>
      <c r="D152" s="618"/>
      <c r="E152" s="618"/>
      <c r="F152" s="618"/>
      <c r="G152" s="618"/>
      <c r="H152" s="618"/>
      <c r="I152" s="618"/>
      <c r="J152" s="616"/>
      <c r="K152" s="1684">
        <f>'Revenues 9-14'!D268-'Expenditures 15-22'!K151</f>
        <v>19424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1" t="s">
        <v>621</v>
      </c>
      <c r="B154" s="216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1841</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1843</v>
      </c>
      <c r="C158" s="616"/>
      <c r="D158" s="616"/>
      <c r="E158" s="616"/>
      <c r="F158" s="616"/>
      <c r="G158" s="616"/>
      <c r="H158" s="467"/>
      <c r="I158" s="616"/>
      <c r="J158" s="616"/>
      <c r="K158" s="1671">
        <f>H158</f>
        <v>0</v>
      </c>
      <c r="L158" s="467"/>
      <c r="M158" s="619"/>
      <c r="N158" s="619"/>
    </row>
    <row r="159" spans="1:14" s="620" customFormat="1" ht="12" x14ac:dyDescent="0.2">
      <c r="A159" s="1826" t="s">
        <v>1844</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1845</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1021324</v>
      </c>
      <c r="I169" s="616"/>
      <c r="J169" s="616"/>
      <c r="K169" s="1671">
        <f>SUM(C169:H169)</f>
        <v>1021324</v>
      </c>
      <c r="L169" s="656">
        <v>1021325</v>
      </c>
    </row>
    <row r="170" spans="1:14" ht="33.75" customHeight="1" x14ac:dyDescent="0.2">
      <c r="A170" s="669" t="s">
        <v>1670</v>
      </c>
      <c r="B170" s="671" t="s">
        <v>31</v>
      </c>
      <c r="C170" s="616"/>
      <c r="D170" s="616"/>
      <c r="E170" s="616"/>
      <c r="F170" s="616"/>
      <c r="G170" s="616"/>
      <c r="H170" s="569">
        <v>875000</v>
      </c>
      <c r="I170" s="616"/>
      <c r="J170" s="616"/>
      <c r="K170" s="1671">
        <f>SUM(C170:J170)</f>
        <v>875000</v>
      </c>
      <c r="L170" s="569">
        <v>875000</v>
      </c>
    </row>
    <row r="171" spans="1:14" ht="15.75" customHeight="1" x14ac:dyDescent="0.2">
      <c r="A171" s="621" t="s">
        <v>766</v>
      </c>
      <c r="B171" s="672" t="s">
        <v>84</v>
      </c>
      <c r="C171" s="616"/>
      <c r="D171" s="616"/>
      <c r="E171" s="466"/>
      <c r="F171" s="616"/>
      <c r="G171" s="616"/>
      <c r="H171" s="569">
        <v>974</v>
      </c>
      <c r="I171" s="477"/>
      <c r="J171" s="616"/>
      <c r="K171" s="1671">
        <f>SUM(C171:J171)</f>
        <v>974</v>
      </c>
      <c r="L171" s="569">
        <v>1200</v>
      </c>
    </row>
    <row r="172" spans="1:14" ht="12.75" customHeight="1" thickBot="1" x14ac:dyDescent="0.25">
      <c r="A172" s="1668" t="s">
        <v>638</v>
      </c>
      <c r="B172" s="1669" t="s">
        <v>492</v>
      </c>
      <c r="C172" s="616"/>
      <c r="D172" s="616"/>
      <c r="E172" s="1677">
        <f>SUM(E168,E169,E170,E171)</f>
        <v>0</v>
      </c>
      <c r="F172" s="616"/>
      <c r="G172" s="616"/>
      <c r="H172" s="1677">
        <f>SUM(H168,H169,H170,H171)</f>
        <v>1897298</v>
      </c>
      <c r="I172" s="638"/>
      <c r="J172" s="616"/>
      <c r="K172" s="1677">
        <f>SUM(K168,K169,K170,K171)</f>
        <v>1897298</v>
      </c>
      <c r="L172" s="1677">
        <f>SUM(L168,L169,L170,L171)</f>
        <v>1897525</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1897298</v>
      </c>
      <c r="I174" s="638"/>
      <c r="J174" s="616"/>
      <c r="K174" s="1677">
        <f>SUM(K160,K172,K173)</f>
        <v>1897298</v>
      </c>
      <c r="L174" s="1677">
        <f>SUM(L160,L172,L173)</f>
        <v>1897525</v>
      </c>
    </row>
    <row r="175" spans="1:14" ht="13.5" thickTop="1" x14ac:dyDescent="0.2">
      <c r="A175" s="2183" t="s">
        <v>996</v>
      </c>
      <c r="B175" s="2184"/>
      <c r="C175" s="616"/>
      <c r="D175" s="616"/>
      <c r="E175" s="616"/>
      <c r="F175" s="616"/>
      <c r="G175" s="616"/>
      <c r="H175" s="618"/>
      <c r="I175" s="616"/>
      <c r="J175" s="616"/>
      <c r="K175" s="1684">
        <f>'Revenues 9-14'!E268-'Expenditures 15-22'!K174</f>
        <v>-129327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2055</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v>717244</v>
      </c>
      <c r="F182" s="466">
        <v>151420</v>
      </c>
      <c r="G182" s="466"/>
      <c r="H182" s="466"/>
      <c r="I182" s="467"/>
      <c r="J182" s="467"/>
      <c r="K182" s="1671">
        <f>SUM(C182:J182)</f>
        <v>868664</v>
      </c>
      <c r="L182" s="466">
        <v>892586</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717244</v>
      </c>
      <c r="F184" s="1677">
        <f t="shared" si="17"/>
        <v>151420</v>
      </c>
      <c r="G184" s="1677">
        <f t="shared" si="17"/>
        <v>0</v>
      </c>
      <c r="H184" s="1677">
        <f t="shared" si="17"/>
        <v>0</v>
      </c>
      <c r="I184" s="1677">
        <f t="shared" si="17"/>
        <v>0</v>
      </c>
      <c r="J184" s="1677">
        <f t="shared" si="17"/>
        <v>0</v>
      </c>
      <c r="K184" s="1677">
        <f>SUM(K180,K182,K183)</f>
        <v>868664</v>
      </c>
      <c r="L184" s="1677">
        <f>SUM(L180, L182:L183)</f>
        <v>892586</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717244</v>
      </c>
      <c r="F210" s="1670">
        <f>SUM(F184,F185)</f>
        <v>151420</v>
      </c>
      <c r="G210" s="1670">
        <f>SUM(G184,G185)</f>
        <v>0</v>
      </c>
      <c r="H210" s="1670">
        <f>SUM(H184,H185,H196,H208,H209)</f>
        <v>0</v>
      </c>
      <c r="I210" s="1670">
        <f>SUM(I184,I185)</f>
        <v>0</v>
      </c>
      <c r="J210" s="1670">
        <f>SUM(J184,J185)</f>
        <v>0</v>
      </c>
      <c r="K210" s="1671">
        <f>SUM(K184,K185,K196,K208,K209)</f>
        <v>868664</v>
      </c>
      <c r="L210" s="1670">
        <f>SUM(L184,L185,L196,L208,L209)</f>
        <v>892586</v>
      </c>
    </row>
    <row r="211" spans="1:14" ht="13.5" thickTop="1" x14ac:dyDescent="0.2">
      <c r="A211" s="2183" t="s">
        <v>996</v>
      </c>
      <c r="B211" s="2184"/>
      <c r="C211" s="618"/>
      <c r="D211" s="618"/>
      <c r="E211" s="618"/>
      <c r="F211" s="618"/>
      <c r="G211" s="618"/>
      <c r="H211" s="618"/>
      <c r="I211" s="616"/>
      <c r="J211" s="616"/>
      <c r="K211" s="1684">
        <f>'Revenues 9-14'!F268-'Expenditures 15-22'!K210</f>
        <v>-9567</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8" t="s">
        <v>965</v>
      </c>
      <c r="B213" s="2179"/>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92066</v>
      </c>
      <c r="E215" s="616"/>
      <c r="F215" s="616"/>
      <c r="G215" s="616"/>
      <c r="H215" s="616"/>
      <c r="I215" s="616"/>
      <c r="J215" s="616"/>
      <c r="K215" s="1671">
        <f>D215</f>
        <v>92066</v>
      </c>
      <c r="L215" s="466">
        <v>104605</v>
      </c>
    </row>
    <row r="216" spans="1:14" x14ac:dyDescent="0.2">
      <c r="A216" s="1504" t="s">
        <v>163</v>
      </c>
      <c r="B216" s="614" t="s">
        <v>967</v>
      </c>
      <c r="C216" s="616"/>
      <c r="D216" s="467">
        <v>15893</v>
      </c>
      <c r="E216" s="616"/>
      <c r="F216" s="616"/>
      <c r="G216" s="616"/>
      <c r="H216" s="616"/>
      <c r="I216" s="616"/>
      <c r="J216" s="616"/>
      <c r="K216" s="1671">
        <f t="shared" ref="K216:K228" si="19">D216</f>
        <v>15893</v>
      </c>
      <c r="L216" s="466">
        <v>19577</v>
      </c>
    </row>
    <row r="217" spans="1:14" x14ac:dyDescent="0.2">
      <c r="A217" s="1504" t="s">
        <v>164</v>
      </c>
      <c r="B217" s="614">
        <v>1200</v>
      </c>
      <c r="C217" s="616"/>
      <c r="D217" s="466">
        <v>125545</v>
      </c>
      <c r="E217" s="616"/>
      <c r="F217" s="616"/>
      <c r="G217" s="616"/>
      <c r="H217" s="616"/>
      <c r="I217" s="616"/>
      <c r="J217" s="616"/>
      <c r="K217" s="1671">
        <f t="shared" si="19"/>
        <v>125545</v>
      </c>
      <c r="L217" s="466">
        <v>182917</v>
      </c>
    </row>
    <row r="218" spans="1:14" x14ac:dyDescent="0.2">
      <c r="A218" s="1504" t="s">
        <v>278</v>
      </c>
      <c r="B218" s="614" t="s">
        <v>968</v>
      </c>
      <c r="C218" s="616"/>
      <c r="D218" s="467">
        <v>9411</v>
      </c>
      <c r="E218" s="616"/>
      <c r="F218" s="616"/>
      <c r="G218" s="616"/>
      <c r="H218" s="616"/>
      <c r="I218" s="616"/>
      <c r="J218" s="616"/>
      <c r="K218" s="1671">
        <f t="shared" si="19"/>
        <v>9411</v>
      </c>
      <c r="L218" s="466">
        <v>10235</v>
      </c>
    </row>
    <row r="219" spans="1:14" x14ac:dyDescent="0.2">
      <c r="A219" s="1504" t="s">
        <v>279</v>
      </c>
      <c r="B219" s="614">
        <v>1250</v>
      </c>
      <c r="C219" s="616"/>
      <c r="D219" s="466">
        <v>9986</v>
      </c>
      <c r="E219" s="616"/>
      <c r="F219" s="616"/>
      <c r="G219" s="616"/>
      <c r="H219" s="616"/>
      <c r="I219" s="616"/>
      <c r="J219" s="616"/>
      <c r="K219" s="1671">
        <f t="shared" si="19"/>
        <v>9986</v>
      </c>
      <c r="L219" s="466">
        <v>3287</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c r="E223" s="616"/>
      <c r="F223" s="616"/>
      <c r="G223" s="616"/>
      <c r="H223" s="616"/>
      <c r="I223" s="616"/>
      <c r="J223" s="616"/>
      <c r="K223" s="1671">
        <f t="shared" si="19"/>
        <v>0</v>
      </c>
      <c r="L223" s="466">
        <v>4920</v>
      </c>
    </row>
    <row r="224" spans="1:14" x14ac:dyDescent="0.2">
      <c r="A224" s="1504" t="s">
        <v>964</v>
      </c>
      <c r="B224" s="614">
        <v>1600</v>
      </c>
      <c r="C224" s="616"/>
      <c r="D224" s="466">
        <v>185</v>
      </c>
      <c r="E224" s="616"/>
      <c r="F224" s="616"/>
      <c r="G224" s="616"/>
      <c r="H224" s="616"/>
      <c r="I224" s="616"/>
      <c r="J224" s="616"/>
      <c r="K224" s="1671">
        <f t="shared" si="19"/>
        <v>185</v>
      </c>
      <c r="L224" s="466">
        <v>126</v>
      </c>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v>26099</v>
      </c>
      <c r="E227" s="616"/>
      <c r="F227" s="616"/>
      <c r="G227" s="616"/>
      <c r="H227" s="616"/>
      <c r="I227" s="616"/>
      <c r="J227" s="616"/>
      <c r="K227" s="1671">
        <f t="shared" si="19"/>
        <v>26099</v>
      </c>
      <c r="L227" s="466">
        <v>36176</v>
      </c>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279185</v>
      </c>
      <c r="E229" s="616"/>
      <c r="F229" s="616"/>
      <c r="G229" s="616"/>
      <c r="H229" s="616"/>
      <c r="I229" s="616"/>
      <c r="J229" s="616"/>
      <c r="K229" s="1670">
        <f>SUM(K215:K228)</f>
        <v>279185</v>
      </c>
      <c r="L229" s="1670">
        <f>SUM(L215:L228)</f>
        <v>361843</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8431</v>
      </c>
      <c r="E232" s="616"/>
      <c r="F232" s="616"/>
      <c r="G232" s="616"/>
      <c r="H232" s="616"/>
      <c r="I232" s="616"/>
      <c r="J232" s="616"/>
      <c r="K232" s="1671">
        <f t="shared" ref="K232:K237" si="20">D232</f>
        <v>8431</v>
      </c>
      <c r="L232" s="466">
        <v>12447</v>
      </c>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v>36471</v>
      </c>
      <c r="E234" s="616"/>
      <c r="F234" s="616"/>
      <c r="G234" s="616"/>
      <c r="H234" s="616"/>
      <c r="I234" s="616"/>
      <c r="J234" s="616"/>
      <c r="K234" s="1671">
        <f t="shared" si="20"/>
        <v>36471</v>
      </c>
      <c r="L234" s="466">
        <v>34120</v>
      </c>
    </row>
    <row r="235" spans="1:12" x14ac:dyDescent="0.2">
      <c r="A235" s="1504" t="s">
        <v>199</v>
      </c>
      <c r="B235" s="614">
        <v>2140</v>
      </c>
      <c r="C235" s="616"/>
      <c r="D235" s="466">
        <v>2959</v>
      </c>
      <c r="E235" s="616"/>
      <c r="F235" s="616"/>
      <c r="G235" s="616"/>
      <c r="H235" s="616"/>
      <c r="I235" s="616"/>
      <c r="J235" s="616"/>
      <c r="K235" s="1671">
        <f t="shared" si="20"/>
        <v>2959</v>
      </c>
      <c r="L235" s="466">
        <v>3249</v>
      </c>
    </row>
    <row r="236" spans="1:12" x14ac:dyDescent="0.2">
      <c r="A236" s="1504" t="s">
        <v>200</v>
      </c>
      <c r="B236" s="614">
        <v>2150</v>
      </c>
      <c r="C236" s="616"/>
      <c r="D236" s="466">
        <v>2831</v>
      </c>
      <c r="E236" s="616"/>
      <c r="F236" s="616"/>
      <c r="G236" s="616"/>
      <c r="H236" s="616"/>
      <c r="I236" s="616"/>
      <c r="J236" s="616"/>
      <c r="K236" s="1671">
        <f t="shared" si="20"/>
        <v>2831</v>
      </c>
      <c r="L236" s="466">
        <v>3381</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50692</v>
      </c>
      <c r="E238" s="616"/>
      <c r="F238" s="616"/>
      <c r="G238" s="616"/>
      <c r="H238" s="616"/>
      <c r="I238" s="616"/>
      <c r="J238" s="616"/>
      <c r="K238" s="1670">
        <f>SUM(K232:K237)</f>
        <v>50692</v>
      </c>
      <c r="L238" s="1670">
        <f>SUM(L232:L237)</f>
        <v>53197</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6476</v>
      </c>
      <c r="E240" s="616"/>
      <c r="F240" s="616"/>
      <c r="G240" s="616"/>
      <c r="H240" s="616"/>
      <c r="I240" s="616"/>
      <c r="J240" s="616"/>
      <c r="K240" s="1672">
        <f>D240</f>
        <v>6476</v>
      </c>
      <c r="L240" s="481">
        <v>8653</v>
      </c>
    </row>
    <row r="241" spans="1:12" x14ac:dyDescent="0.2">
      <c r="A241" s="1504" t="s">
        <v>815</v>
      </c>
      <c r="B241" s="614">
        <v>2220</v>
      </c>
      <c r="C241" s="616"/>
      <c r="D241" s="466">
        <v>16984</v>
      </c>
      <c r="E241" s="616"/>
      <c r="F241" s="616"/>
      <c r="G241" s="616"/>
      <c r="H241" s="616"/>
      <c r="I241" s="616"/>
      <c r="J241" s="616"/>
      <c r="K241" s="1672">
        <f>D241</f>
        <v>16984</v>
      </c>
      <c r="L241" s="466">
        <v>22460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23460</v>
      </c>
      <c r="E243" s="616"/>
      <c r="F243" s="616"/>
      <c r="G243" s="616"/>
      <c r="H243" s="616"/>
      <c r="I243" s="616"/>
      <c r="J243" s="616"/>
      <c r="K243" s="1670">
        <f>SUM(K240:K242)</f>
        <v>23460</v>
      </c>
      <c r="L243" s="1670">
        <f>SUM(L240:L242)</f>
        <v>31113</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11620</v>
      </c>
      <c r="E246" s="616"/>
      <c r="F246" s="616"/>
      <c r="G246" s="616"/>
      <c r="H246" s="616"/>
      <c r="I246" s="616"/>
      <c r="J246" s="616"/>
      <c r="K246" s="1672">
        <f t="shared" ref="K246:K256" si="21">D246</f>
        <v>11620</v>
      </c>
      <c r="L246" s="466">
        <v>14200</v>
      </c>
    </row>
    <row r="247" spans="1:12" x14ac:dyDescent="0.2">
      <c r="A247" s="1504" t="s">
        <v>819</v>
      </c>
      <c r="B247" s="614">
        <v>2330</v>
      </c>
      <c r="C247" s="616"/>
      <c r="D247" s="466">
        <v>13870</v>
      </c>
      <c r="E247" s="616"/>
      <c r="F247" s="616"/>
      <c r="G247" s="616"/>
      <c r="H247" s="616"/>
      <c r="I247" s="616"/>
      <c r="J247" s="616"/>
      <c r="K247" s="1672">
        <f t="shared" si="21"/>
        <v>13870</v>
      </c>
      <c r="L247" s="466">
        <v>15868</v>
      </c>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1802</v>
      </c>
      <c r="B249" s="683" t="s">
        <v>282</v>
      </c>
      <c r="C249" s="616"/>
      <c r="D249" s="474"/>
      <c r="E249" s="616"/>
      <c r="F249" s="616"/>
      <c r="G249" s="616"/>
      <c r="H249" s="616"/>
      <c r="I249" s="616"/>
      <c r="J249" s="616"/>
      <c r="K249" s="1672">
        <f t="shared" si="21"/>
        <v>0</v>
      </c>
      <c r="L249" s="466"/>
    </row>
    <row r="250" spans="1:12" x14ac:dyDescent="0.2">
      <c r="A250" s="1505" t="s">
        <v>1803</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25490</v>
      </c>
      <c r="E257" s="616"/>
      <c r="F257" s="616"/>
      <c r="G257" s="616"/>
      <c r="H257" s="616"/>
      <c r="I257" s="616"/>
      <c r="J257" s="616"/>
      <c r="K257" s="1670">
        <f>SUM(K245:K256)</f>
        <v>25490</v>
      </c>
      <c r="L257" s="1670">
        <f>SUM(L245:L256)</f>
        <v>30068</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53284</v>
      </c>
      <c r="E259" s="616"/>
      <c r="F259" s="616"/>
      <c r="G259" s="616"/>
      <c r="H259" s="616"/>
      <c r="I259" s="616"/>
      <c r="J259" s="616"/>
      <c r="K259" s="1672">
        <f>D259</f>
        <v>53284</v>
      </c>
      <c r="L259" s="481">
        <v>64050</v>
      </c>
    </row>
    <row r="260" spans="1:14" s="597" customFormat="1" x14ac:dyDescent="0.2">
      <c r="A260" s="1522" t="s">
        <v>1801</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53284</v>
      </c>
      <c r="E261" s="616"/>
      <c r="F261" s="616"/>
      <c r="G261" s="616"/>
      <c r="H261" s="616"/>
      <c r="I261" s="616"/>
      <c r="J261" s="616"/>
      <c r="K261" s="1670">
        <f>SUM(K259:K260)</f>
        <v>53284</v>
      </c>
      <c r="L261" s="1670">
        <f>SUM(L259:L260)</f>
        <v>64050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25444</v>
      </c>
      <c r="E264" s="616"/>
      <c r="F264" s="616"/>
      <c r="G264" s="616"/>
      <c r="H264" s="616"/>
      <c r="I264" s="616"/>
      <c r="J264" s="616"/>
      <c r="K264" s="1672">
        <f t="shared" ref="K264:K269" si="22">D264</f>
        <v>25444</v>
      </c>
      <c r="L264" s="466">
        <v>33077</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65585</v>
      </c>
      <c r="E266" s="616"/>
      <c r="F266" s="616"/>
      <c r="G266" s="616"/>
      <c r="H266" s="616"/>
      <c r="I266" s="616"/>
      <c r="J266" s="616"/>
      <c r="K266" s="1672">
        <f t="shared" si="22"/>
        <v>65585</v>
      </c>
      <c r="L266" s="466">
        <v>90725</v>
      </c>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v>36752</v>
      </c>
      <c r="E268" s="616"/>
      <c r="F268" s="616"/>
      <c r="G268" s="616"/>
      <c r="H268" s="616"/>
      <c r="I268" s="616"/>
      <c r="J268" s="616"/>
      <c r="K268" s="1672">
        <f t="shared" si="22"/>
        <v>36752</v>
      </c>
      <c r="L268" s="466">
        <v>52451</v>
      </c>
    </row>
    <row r="269" spans="1:14" x14ac:dyDescent="0.2">
      <c r="A269" s="1504" t="s">
        <v>101</v>
      </c>
      <c r="B269" s="614">
        <v>2570</v>
      </c>
      <c r="C269" s="616"/>
      <c r="D269" s="466">
        <v>4449</v>
      </c>
      <c r="E269" s="616"/>
      <c r="F269" s="616"/>
      <c r="G269" s="616"/>
      <c r="H269" s="616"/>
      <c r="I269" s="616"/>
      <c r="J269" s="616"/>
      <c r="K269" s="1672">
        <f t="shared" si="22"/>
        <v>4449</v>
      </c>
      <c r="L269" s="466">
        <v>7350</v>
      </c>
    </row>
    <row r="270" spans="1:14" ht="12.75" customHeight="1" thickBot="1" x14ac:dyDescent="0.25">
      <c r="A270" s="1668" t="s">
        <v>719</v>
      </c>
      <c r="B270" s="1675" t="s">
        <v>35</v>
      </c>
      <c r="C270" s="616"/>
      <c r="D270" s="1670">
        <f>SUM(D263:D269)</f>
        <v>132230</v>
      </c>
      <c r="E270" s="616"/>
      <c r="F270" s="616"/>
      <c r="G270" s="616"/>
      <c r="H270" s="616"/>
      <c r="I270" s="616"/>
      <c r="J270" s="616"/>
      <c r="K270" s="1670">
        <f>SUM(K263:K269)</f>
        <v>132230</v>
      </c>
      <c r="L270" s="1670">
        <f>SUM(L263:L269)</f>
        <v>183603</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v>634</v>
      </c>
      <c r="E275" s="616"/>
      <c r="F275" s="616"/>
      <c r="G275" s="616"/>
      <c r="H275" s="616"/>
      <c r="I275" s="616"/>
      <c r="J275" s="616"/>
      <c r="K275" s="1672">
        <f>D275</f>
        <v>634</v>
      </c>
      <c r="L275" s="466">
        <v>634</v>
      </c>
    </row>
    <row r="276" spans="1:12" x14ac:dyDescent="0.2">
      <c r="A276" s="1504" t="s">
        <v>404</v>
      </c>
      <c r="B276" s="614">
        <v>2660</v>
      </c>
      <c r="C276" s="616"/>
      <c r="D276" s="466">
        <v>10595</v>
      </c>
      <c r="E276" s="616"/>
      <c r="F276" s="616"/>
      <c r="G276" s="616"/>
      <c r="H276" s="616"/>
      <c r="I276" s="616"/>
      <c r="J276" s="616"/>
      <c r="K276" s="1672">
        <f>D276</f>
        <v>10595</v>
      </c>
      <c r="L276" s="466">
        <v>11800</v>
      </c>
    </row>
    <row r="277" spans="1:12" ht="12.75" customHeight="1" thickBot="1" x14ac:dyDescent="0.25">
      <c r="A277" s="1691" t="s">
        <v>37</v>
      </c>
      <c r="B277" s="1669" t="s">
        <v>36</v>
      </c>
      <c r="C277" s="616"/>
      <c r="D277" s="1670">
        <f>SUM(D272:D276)</f>
        <v>11229</v>
      </c>
      <c r="E277" s="616"/>
      <c r="F277" s="616"/>
      <c r="G277" s="616"/>
      <c r="H277" s="616"/>
      <c r="I277" s="616"/>
      <c r="J277" s="616"/>
      <c r="K277" s="1670">
        <f>SUM(K272:K276)</f>
        <v>11229</v>
      </c>
      <c r="L277" s="1670">
        <f>SUM(L272:L276)</f>
        <v>12434</v>
      </c>
    </row>
    <row r="278" spans="1:12" ht="13.5" customHeight="1" thickTop="1" x14ac:dyDescent="0.2">
      <c r="A278" s="1510" t="s">
        <v>980</v>
      </c>
      <c r="B278" s="655" t="s">
        <v>574</v>
      </c>
      <c r="C278" s="616"/>
      <c r="D278" s="656">
        <v>247</v>
      </c>
      <c r="E278" s="616"/>
      <c r="F278" s="616"/>
      <c r="G278" s="616"/>
      <c r="H278" s="616"/>
      <c r="I278" s="616"/>
      <c r="J278" s="616"/>
      <c r="K278" s="1685">
        <f>D278</f>
        <v>247</v>
      </c>
      <c r="L278" s="656">
        <v>630</v>
      </c>
    </row>
    <row r="279" spans="1:12" ht="12.75" customHeight="1" thickBot="1" x14ac:dyDescent="0.25">
      <c r="A279" s="1698" t="s">
        <v>811</v>
      </c>
      <c r="B279" s="1681">
        <v>2000</v>
      </c>
      <c r="C279" s="616"/>
      <c r="D279" s="1677">
        <f>SUM(D238,D243,D257,D261,D270,D277,D278)</f>
        <v>296632</v>
      </c>
      <c r="E279" s="616"/>
      <c r="F279" s="616"/>
      <c r="G279" s="616"/>
      <c r="H279" s="616"/>
      <c r="I279" s="616"/>
      <c r="J279" s="616"/>
      <c r="K279" s="1677">
        <f>SUM(K238,K243,K257,K261,K270,K277,K278)</f>
        <v>296632</v>
      </c>
      <c r="L279" s="1677">
        <f>SUM(L238,L243,L257,L261,L270,L277,L278)</f>
        <v>375095</v>
      </c>
    </row>
    <row r="280" spans="1:12" ht="15.75" customHeight="1" thickTop="1" thickBot="1" x14ac:dyDescent="0.25">
      <c r="A280" s="1624" t="s">
        <v>875</v>
      </c>
      <c r="B280" s="1613">
        <v>3000</v>
      </c>
      <c r="C280" s="616"/>
      <c r="D280" s="576">
        <v>5928</v>
      </c>
      <c r="E280" s="616"/>
      <c r="F280" s="616"/>
      <c r="G280" s="616"/>
      <c r="H280" s="616"/>
      <c r="I280" s="616"/>
      <c r="J280" s="616"/>
      <c r="K280" s="1679">
        <f>D280</f>
        <v>5928</v>
      </c>
      <c r="L280" s="576">
        <v>5843</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1841</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4" t="s">
        <v>505</v>
      </c>
      <c r="B295" s="2175"/>
      <c r="C295" s="616"/>
      <c r="D295" s="1670">
        <f>SUM(D229,D279,D280,D285)</f>
        <v>581745</v>
      </c>
      <c r="E295" s="616"/>
      <c r="F295" s="616"/>
      <c r="G295" s="616"/>
      <c r="H295" s="1670">
        <f>H293</f>
        <v>0</v>
      </c>
      <c r="I295" s="616"/>
      <c r="J295" s="616"/>
      <c r="K295" s="1670">
        <f>SUM(K229,K279,K280,K285,K293,K294)</f>
        <v>581745</v>
      </c>
      <c r="L295" s="1670">
        <f>SUM(L229,L279,L280,L285,L293,L294)</f>
        <v>742781</v>
      </c>
    </row>
    <row r="296" spans="1:14" ht="13.5" thickTop="1" x14ac:dyDescent="0.2">
      <c r="A296" s="2183" t="s">
        <v>996</v>
      </c>
      <c r="B296" s="2184"/>
      <c r="C296" s="616"/>
      <c r="D296" s="618"/>
      <c r="E296" s="616"/>
      <c r="F296" s="616"/>
      <c r="G296" s="616"/>
      <c r="H296" s="687"/>
      <c r="I296" s="616"/>
      <c r="J296" s="616"/>
      <c r="K296" s="1684">
        <f>'Revenues 9-14'!G268-'Expenditures 15-22'!K295</f>
        <v>-154833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6" t="s">
        <v>143</v>
      </c>
      <c r="B298" s="2160"/>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50495</v>
      </c>
      <c r="F301" s="466"/>
      <c r="G301" s="466">
        <v>1888009</v>
      </c>
      <c r="H301" s="466"/>
      <c r="I301" s="467"/>
      <c r="J301" s="467"/>
      <c r="K301" s="1671">
        <f>SUM(C301:J301)</f>
        <v>1938504</v>
      </c>
      <c r="L301" s="467">
        <v>2036550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50495</v>
      </c>
      <c r="F303" s="1677">
        <f t="shared" si="23"/>
        <v>0</v>
      </c>
      <c r="G303" s="1677">
        <f t="shared" si="23"/>
        <v>1888009</v>
      </c>
      <c r="H303" s="1677">
        <f t="shared" si="23"/>
        <v>0</v>
      </c>
      <c r="I303" s="1677">
        <f t="shared" si="23"/>
        <v>0</v>
      </c>
      <c r="J303" s="1677">
        <f t="shared" si="23"/>
        <v>0</v>
      </c>
      <c r="K303" s="1677">
        <f t="shared" si="23"/>
        <v>1938504</v>
      </c>
      <c r="L303" s="1677">
        <f t="shared" si="23"/>
        <v>2036550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1846</v>
      </c>
      <c r="B306" s="690" t="s">
        <v>1841</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1" t="s">
        <v>277</v>
      </c>
      <c r="B312" s="2172"/>
      <c r="C312" s="1670">
        <f>SUM(C303)</f>
        <v>0</v>
      </c>
      <c r="D312" s="1670">
        <f>SUM(D303)</f>
        <v>0</v>
      </c>
      <c r="E312" s="1670">
        <f>SUM(E303,E310)</f>
        <v>50495</v>
      </c>
      <c r="F312" s="1670">
        <f>SUM(F303)</f>
        <v>0</v>
      </c>
      <c r="G312" s="1670">
        <f>SUM(G303)</f>
        <v>1888009</v>
      </c>
      <c r="H312" s="1670">
        <f>SUM(H303,H310)</f>
        <v>0</v>
      </c>
      <c r="I312" s="1670">
        <f>SUM(I303)</f>
        <v>0</v>
      </c>
      <c r="J312" s="1670">
        <f>SUM(J303)</f>
        <v>0</v>
      </c>
      <c r="K312" s="1670">
        <f>SUM(K303,K310,K311)</f>
        <v>1938504</v>
      </c>
      <c r="L312" s="1670">
        <f>SUM(L303,L310,L311)</f>
        <v>2036550</v>
      </c>
      <c r="M312" s="665"/>
      <c r="N312" s="665"/>
    </row>
    <row r="313" spans="1:14" ht="13.5" thickTop="1" x14ac:dyDescent="0.2">
      <c r="A313" s="2167" t="s">
        <v>996</v>
      </c>
      <c r="B313" s="2168"/>
      <c r="C313" s="626"/>
      <c r="D313" s="626"/>
      <c r="E313" s="626"/>
      <c r="F313" s="626"/>
      <c r="G313" s="626"/>
      <c r="H313" s="626"/>
      <c r="I313" s="626"/>
      <c r="J313" s="626"/>
      <c r="K313" s="1685">
        <f>'Revenues 9-14'!H268-'Expenditures 15-22'!K312</f>
        <v>-1809813</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0" t="s">
        <v>149</v>
      </c>
      <c r="B315" s="2181"/>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2" t="s">
        <v>898</v>
      </c>
      <c r="B317" s="2181"/>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1802</v>
      </c>
      <c r="B320" s="698" t="s">
        <v>282</v>
      </c>
      <c r="C320" s="467"/>
      <c r="D320" s="467"/>
      <c r="E320" s="467">
        <v>67135</v>
      </c>
      <c r="F320" s="467"/>
      <c r="G320" s="467"/>
      <c r="H320" s="467"/>
      <c r="I320" s="467"/>
      <c r="J320" s="467"/>
      <c r="K320" s="1671">
        <f t="shared" ref="K320:K327" si="24">SUM(C320:J320)</f>
        <v>67135</v>
      </c>
      <c r="L320" s="467">
        <v>67135</v>
      </c>
      <c r="M320" s="665"/>
      <c r="N320" s="665"/>
    </row>
    <row r="321" spans="1:14" s="674" customFormat="1" x14ac:dyDescent="0.2">
      <c r="A321" s="1519" t="s">
        <v>300</v>
      </c>
      <c r="B321" s="697" t="s">
        <v>283</v>
      </c>
      <c r="C321" s="467"/>
      <c r="D321" s="467"/>
      <c r="E321" s="467">
        <v>1116</v>
      </c>
      <c r="F321" s="467"/>
      <c r="G321" s="467"/>
      <c r="H321" s="467"/>
      <c r="I321" s="467"/>
      <c r="J321" s="467"/>
      <c r="K321" s="1671">
        <f t="shared" si="24"/>
        <v>1116</v>
      </c>
      <c r="L321" s="467">
        <v>15000</v>
      </c>
      <c r="M321" s="665"/>
      <c r="N321" s="665"/>
    </row>
    <row r="322" spans="1:14" s="674" customFormat="1" x14ac:dyDescent="0.2">
      <c r="A322" s="1519" t="s">
        <v>238</v>
      </c>
      <c r="B322" s="697" t="s">
        <v>284</v>
      </c>
      <c r="C322" s="467"/>
      <c r="D322" s="467"/>
      <c r="E322" s="467">
        <v>2101</v>
      </c>
      <c r="F322" s="467"/>
      <c r="G322" s="467"/>
      <c r="H322" s="467"/>
      <c r="I322" s="467"/>
      <c r="J322" s="467"/>
      <c r="K322" s="1671">
        <f t="shared" si="24"/>
        <v>2101</v>
      </c>
      <c r="L322" s="467">
        <v>10000</v>
      </c>
      <c r="M322" s="665"/>
      <c r="N322" s="665"/>
    </row>
    <row r="323" spans="1:14" s="674" customFormat="1" x14ac:dyDescent="0.2">
      <c r="A323" s="1519" t="s">
        <v>702</v>
      </c>
      <c r="B323" s="697" t="s">
        <v>285</v>
      </c>
      <c r="C323" s="467"/>
      <c r="D323" s="467"/>
      <c r="E323" s="467">
        <v>75706</v>
      </c>
      <c r="F323" s="467"/>
      <c r="G323" s="467"/>
      <c r="H323" s="467"/>
      <c r="I323" s="467"/>
      <c r="J323" s="467"/>
      <c r="K323" s="1671">
        <f t="shared" si="24"/>
        <v>75706</v>
      </c>
      <c r="L323" s="467">
        <v>15000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v>95000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v>67880</v>
      </c>
      <c r="F328" s="474"/>
      <c r="G328" s="474"/>
      <c r="H328" s="474"/>
      <c r="I328" s="474"/>
      <c r="J328" s="474"/>
      <c r="K328" s="1699">
        <f>SUM(C328:J328)</f>
        <v>67880</v>
      </c>
      <c r="L328" s="474">
        <v>38019</v>
      </c>
      <c r="M328" s="665"/>
      <c r="N328" s="665"/>
    </row>
    <row r="329" spans="1:14" s="674" customFormat="1" x14ac:dyDescent="0.2">
      <c r="A329" s="1520" t="s">
        <v>1133</v>
      </c>
      <c r="B329" s="690" t="s">
        <v>1134</v>
      </c>
      <c r="C329" s="474"/>
      <c r="D329" s="474"/>
      <c r="E329" s="474">
        <v>3118</v>
      </c>
      <c r="F329" s="474"/>
      <c r="G329" s="474"/>
      <c r="H329" s="474"/>
      <c r="I329" s="474"/>
      <c r="J329" s="474"/>
      <c r="K329" s="1699">
        <f>SUM(C329:J329)</f>
        <v>3118</v>
      </c>
      <c r="L329" s="474">
        <v>3118</v>
      </c>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217056</v>
      </c>
      <c r="F330" s="1670">
        <f t="shared" si="25"/>
        <v>0</v>
      </c>
      <c r="G330" s="1670">
        <f t="shared" si="25"/>
        <v>0</v>
      </c>
      <c r="H330" s="1670">
        <f t="shared" si="25"/>
        <v>0</v>
      </c>
      <c r="I330" s="1670">
        <f t="shared" si="25"/>
        <v>0</v>
      </c>
      <c r="J330" s="1670">
        <f t="shared" si="25"/>
        <v>0</v>
      </c>
      <c r="K330" s="1670">
        <f>SUM(K319:K329)</f>
        <v>217056</v>
      </c>
      <c r="L330" s="1670">
        <f>SUM(L319:L329)</f>
        <v>243272</v>
      </c>
      <c r="M330" s="665"/>
      <c r="N330" s="665"/>
    </row>
    <row r="331" spans="1:14" s="674" customFormat="1" ht="12.75" customHeight="1" thickTop="1" x14ac:dyDescent="0.2">
      <c r="A331" s="1831" t="s">
        <v>1847</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1841</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1843</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1848</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217056</v>
      </c>
      <c r="F342" s="1670">
        <f>SUM(F330)</f>
        <v>0</v>
      </c>
      <c r="G342" s="1670">
        <f>SUM(G330)</f>
        <v>0</v>
      </c>
      <c r="H342" s="1670">
        <f>SUM(H330,H334,H340)</f>
        <v>0</v>
      </c>
      <c r="I342" s="1670">
        <f>SUM(I330)</f>
        <v>0</v>
      </c>
      <c r="J342" s="1670">
        <f>SUM(J330)</f>
        <v>0</v>
      </c>
      <c r="K342" s="1670">
        <f>SUM(K330,K334,K340)</f>
        <v>217056</v>
      </c>
      <c r="L342" s="1677">
        <f>SUM(L330,L334,L340,L341)</f>
        <v>243272</v>
      </c>
    </row>
    <row r="343" spans="1:14" ht="12.75" customHeight="1" thickTop="1" x14ac:dyDescent="0.2">
      <c r="A343" s="2169" t="s">
        <v>996</v>
      </c>
      <c r="B343" s="2170"/>
      <c r="C343" s="616"/>
      <c r="D343" s="616"/>
      <c r="E343" s="616"/>
      <c r="F343" s="616"/>
      <c r="G343" s="616"/>
      <c r="H343" s="616"/>
      <c r="I343" s="616"/>
      <c r="J343" s="616"/>
      <c r="K343" s="1684">
        <f>'Revenues 9-14'!J268-'Expenditures 15-22'!K342</f>
        <v>-13193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9" t="s">
        <v>966</v>
      </c>
      <c r="B345" s="2160"/>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c r="I354" s="701"/>
      <c r="J354" s="616"/>
      <c r="K354" s="1699">
        <f>H354</f>
        <v>0</v>
      </c>
      <c r="L354" s="471"/>
    </row>
    <row r="355" spans="1:14" ht="12.75" customHeight="1" x14ac:dyDescent="0.2">
      <c r="A355" s="1513" t="s">
        <v>1850</v>
      </c>
      <c r="B355" s="690" t="s">
        <v>1843</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3" t="s">
        <v>996</v>
      </c>
      <c r="B368" s="2184"/>
      <c r="C368" s="654"/>
      <c r="D368" s="654"/>
      <c r="E368" s="626"/>
      <c r="F368" s="626"/>
      <c r="G368" s="626"/>
      <c r="H368" s="626"/>
      <c r="I368" s="626"/>
      <c r="J368" s="623"/>
      <c r="K368" s="1671">
        <f>'Revenues 9-14'!K268-'Expenditures 15-22'!K367</f>
        <v>22951</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5" t="s">
        <v>1799</v>
      </c>
      <c r="B2" s="1528" t="s">
        <v>1946</v>
      </c>
      <c r="C2" s="714" t="s">
        <v>1947</v>
      </c>
      <c r="D2" s="714" t="s">
        <v>1948</v>
      </c>
      <c r="E2" s="714" t="s">
        <v>1949</v>
      </c>
      <c r="F2" s="714" t="s">
        <v>1950</v>
      </c>
    </row>
    <row r="3" spans="1:6" ht="12" customHeight="1" x14ac:dyDescent="0.2">
      <c r="A3" s="2186"/>
      <c r="B3" s="1525"/>
      <c r="C3" s="1526"/>
      <c r="D3" s="1527" t="s">
        <v>256</v>
      </c>
      <c r="E3" s="1526"/>
      <c r="F3" s="1527" t="s">
        <v>257</v>
      </c>
    </row>
    <row r="4" spans="1:6" ht="13.7" customHeight="1" x14ac:dyDescent="0.2">
      <c r="A4" s="715" t="s">
        <v>1155</v>
      </c>
      <c r="B4" s="1749">
        <f>'Revenues 9-14'!C5</f>
        <v>1974045</v>
      </c>
      <c r="C4" s="1524">
        <v>573159</v>
      </c>
      <c r="D4" s="1752">
        <f>B4-C4</f>
        <v>1400886</v>
      </c>
      <c r="E4" s="1524">
        <v>3065513</v>
      </c>
      <c r="F4" s="1752">
        <f>E4-C4</f>
        <v>2492354</v>
      </c>
    </row>
    <row r="5" spans="1:6" ht="13.7" customHeight="1" x14ac:dyDescent="0.2">
      <c r="A5" s="715" t="s">
        <v>870</v>
      </c>
      <c r="B5" s="1750">
        <f>'Revenues 9-14'!D5</f>
        <v>193971</v>
      </c>
      <c r="C5" s="585">
        <v>63877</v>
      </c>
      <c r="D5" s="1753">
        <f t="shared" ref="D5:D18" si="0">B5-C5</f>
        <v>130094</v>
      </c>
      <c r="E5" s="585">
        <v>341639</v>
      </c>
      <c r="F5" s="1753">
        <f>E5-C5</f>
        <v>277762</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157902</v>
      </c>
      <c r="C7" s="585">
        <v>45629</v>
      </c>
      <c r="D7" s="1753">
        <f t="shared" si="0"/>
        <v>112273</v>
      </c>
      <c r="E7" s="585">
        <v>244043</v>
      </c>
      <c r="F7" s="1753">
        <f t="shared" si="1"/>
        <v>198414</v>
      </c>
    </row>
    <row r="8" spans="1:6" ht="13.7" customHeight="1" x14ac:dyDescent="0.2">
      <c r="A8" s="715" t="s">
        <v>1179</v>
      </c>
      <c r="B8" s="1750">
        <f>'Revenues 9-14'!G5</f>
        <v>191641</v>
      </c>
      <c r="C8" s="585">
        <v>59319</v>
      </c>
      <c r="D8" s="1753">
        <f t="shared" si="0"/>
        <v>132322</v>
      </c>
      <c r="E8" s="585">
        <v>317266</v>
      </c>
      <c r="F8" s="1753">
        <f t="shared" si="1"/>
        <v>257947</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6634</v>
      </c>
      <c r="C10" s="585">
        <v>1956</v>
      </c>
      <c r="D10" s="1753">
        <f t="shared" si="0"/>
        <v>4678</v>
      </c>
      <c r="E10" s="585">
        <v>10460</v>
      </c>
      <c r="F10" s="1753">
        <f t="shared" si="1"/>
        <v>8504</v>
      </c>
    </row>
    <row r="11" spans="1:6" x14ac:dyDescent="0.2">
      <c r="A11" s="715" t="s">
        <v>409</v>
      </c>
      <c r="B11" s="1750">
        <f>'Revenues 9-14'!J5</f>
        <v>187109</v>
      </c>
      <c r="C11" s="585">
        <v>52559</v>
      </c>
      <c r="D11" s="1753">
        <f t="shared" si="0"/>
        <v>134550</v>
      </c>
      <c r="E11" s="585">
        <v>281111</v>
      </c>
      <c r="F11" s="1753">
        <f t="shared" si="1"/>
        <v>228552</v>
      </c>
    </row>
    <row r="12" spans="1:6" ht="13.7" customHeight="1" x14ac:dyDescent="0.2">
      <c r="A12" s="715" t="s">
        <v>157</v>
      </c>
      <c r="B12" s="1750">
        <f>'Revenues 9-14'!K5</f>
        <v>22499</v>
      </c>
      <c r="C12" s="585"/>
      <c r="D12" s="1753">
        <f t="shared" si="0"/>
        <v>22499</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202071</v>
      </c>
      <c r="C14" s="585">
        <v>58388</v>
      </c>
      <c r="D14" s="1753">
        <f t="shared" si="0"/>
        <v>143683</v>
      </c>
      <c r="E14" s="585">
        <v>312289</v>
      </c>
      <c r="F14" s="1753">
        <f t="shared" si="1"/>
        <v>253901</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222040</v>
      </c>
      <c r="C16" s="585">
        <v>73902</v>
      </c>
      <c r="D16" s="1753">
        <f t="shared" si="0"/>
        <v>148138</v>
      </c>
      <c r="E16" s="585">
        <v>395262</v>
      </c>
      <c r="F16" s="1753">
        <f t="shared" si="1"/>
        <v>321360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3157912</v>
      </c>
      <c r="C19" s="1751">
        <f>SUM(C4:C18)</f>
        <v>928789</v>
      </c>
      <c r="D19" s="1751">
        <f>SUM(D4:D18)</f>
        <v>2229123</v>
      </c>
      <c r="E19" s="1751">
        <f>SUM(E4:E18)</f>
        <v>4967583</v>
      </c>
      <c r="F19" s="1751">
        <f>SUM(F4:F18)</f>
        <v>4038794</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I34" sqref="I3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1" t="s">
        <v>629</v>
      </c>
      <c r="B1" s="2192"/>
      <c r="C1" s="721"/>
    </row>
    <row r="2" spans="1:7" ht="33.75" x14ac:dyDescent="0.2">
      <c r="A2" s="2200" t="s">
        <v>1799</v>
      </c>
      <c r="B2" s="2201"/>
      <c r="C2" s="1884" t="s">
        <v>1951</v>
      </c>
      <c r="D2" s="723" t="s">
        <v>1952</v>
      </c>
      <c r="E2" s="723" t="s">
        <v>1953</v>
      </c>
      <c r="F2" s="1884" t="s">
        <v>1954</v>
      </c>
    </row>
    <row r="3" spans="1:7" ht="15.75" customHeight="1" x14ac:dyDescent="0.2">
      <c r="A3" s="2204" t="s">
        <v>1114</v>
      </c>
      <c r="B3" s="2205"/>
      <c r="C3" s="2193"/>
      <c r="D3" s="2194"/>
      <c r="E3" s="2194"/>
      <c r="F3" s="2195"/>
    </row>
    <row r="4" spans="1:7" ht="12.75" customHeight="1" thickBot="1" x14ac:dyDescent="0.25">
      <c r="A4" s="2202" t="s">
        <v>630</v>
      </c>
      <c r="B4" s="2203"/>
      <c r="C4" s="581"/>
      <c r="D4" s="581"/>
      <c r="E4" s="581"/>
      <c r="F4" s="1755">
        <f>SUM(C4+D4)-E4</f>
        <v>0</v>
      </c>
    </row>
    <row r="5" spans="1:7" ht="15.75" customHeight="1" thickTop="1" x14ac:dyDescent="0.2">
      <c r="A5" s="2187" t="s">
        <v>1110</v>
      </c>
      <c r="B5" s="2188"/>
      <c r="C5" s="2196"/>
      <c r="D5" s="2197"/>
      <c r="E5" s="2197"/>
      <c r="F5" s="2198"/>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9" t="s">
        <v>631</v>
      </c>
      <c r="B15" s="2190"/>
      <c r="C15" s="1755">
        <f>SUM(C6:C14)</f>
        <v>0</v>
      </c>
      <c r="D15" s="1755">
        <f>SUM(D6:D14)</f>
        <v>0</v>
      </c>
      <c r="E15" s="1755">
        <f>SUM(E6:E14)</f>
        <v>0</v>
      </c>
      <c r="F15" s="1755">
        <f>SUM(F6:F14)</f>
        <v>0</v>
      </c>
      <c r="G15" s="552"/>
    </row>
    <row r="16" spans="1:7" s="202" customFormat="1" ht="15.75" customHeight="1" thickTop="1" x14ac:dyDescent="0.2">
      <c r="A16" s="2199" t="s">
        <v>1111</v>
      </c>
      <c r="B16" s="2188"/>
      <c r="C16" s="2196"/>
      <c r="D16" s="2197"/>
      <c r="E16" s="2197"/>
      <c r="F16" s="2198"/>
    </row>
    <row r="17" spans="1:11" ht="12.75" customHeight="1" thickBot="1" x14ac:dyDescent="0.25">
      <c r="A17" s="2212" t="s">
        <v>64</v>
      </c>
      <c r="B17" s="2213"/>
      <c r="C17" s="726"/>
      <c r="D17" s="585"/>
      <c r="E17" s="726"/>
      <c r="F17" s="1755">
        <f>SUM(C17+D17)-E17</f>
        <v>0</v>
      </c>
    </row>
    <row r="18" spans="1:11" ht="12.75" customHeight="1" thickTop="1" thickBot="1" x14ac:dyDescent="0.25">
      <c r="A18" s="2212" t="s">
        <v>6</v>
      </c>
      <c r="B18" s="2213"/>
      <c r="C18" s="726"/>
      <c r="D18" s="585"/>
      <c r="E18" s="726"/>
      <c r="F18" s="1755">
        <f>SUM(C18+D18)-E18</f>
        <v>0</v>
      </c>
    </row>
    <row r="19" spans="1:11" ht="12.75" customHeight="1" thickTop="1" thickBot="1" x14ac:dyDescent="0.25">
      <c r="A19" s="2212" t="s">
        <v>388</v>
      </c>
      <c r="B19" s="2213"/>
      <c r="C19" s="726"/>
      <c r="D19" s="585"/>
      <c r="E19" s="726"/>
      <c r="F19" s="1755">
        <f>SUM(C19+D19)-E19</f>
        <v>0</v>
      </c>
    </row>
    <row r="20" spans="1:11" ht="12.75" customHeight="1" thickTop="1" thickBot="1" x14ac:dyDescent="0.25">
      <c r="A20" s="2212" t="s">
        <v>448</v>
      </c>
      <c r="B20" s="2213"/>
      <c r="C20" s="726"/>
      <c r="D20" s="585"/>
      <c r="E20" s="726"/>
      <c r="F20" s="1755">
        <f>SUM(C20+D20)-E20</f>
        <v>0</v>
      </c>
    </row>
    <row r="21" spans="1:11" ht="14.25" thickTop="1" thickBot="1" x14ac:dyDescent="0.25">
      <c r="A21" s="2189" t="s">
        <v>632</v>
      </c>
      <c r="B21" s="2190"/>
      <c r="C21" s="1755">
        <f>SUM(C17:C20)</f>
        <v>0</v>
      </c>
      <c r="D21" s="1755">
        <f>SUM(D17:D20)</f>
        <v>0</v>
      </c>
      <c r="E21" s="1755">
        <f>SUM(E17:E20)</f>
        <v>0</v>
      </c>
      <c r="F21" s="1755">
        <f>SUM(F17:F20)</f>
        <v>0</v>
      </c>
      <c r="G21" s="552"/>
    </row>
    <row r="22" spans="1:11" ht="15.75" customHeight="1" thickTop="1" x14ac:dyDescent="0.2">
      <c r="A22" s="2214" t="s">
        <v>1112</v>
      </c>
      <c r="B22" s="2188"/>
      <c r="C22" s="2196"/>
      <c r="D22" s="2197"/>
      <c r="E22" s="2197"/>
      <c r="F22" s="2198"/>
    </row>
    <row r="23" spans="1:11" ht="13.5" thickBot="1" x14ac:dyDescent="0.25">
      <c r="A23" s="2202" t="s">
        <v>633</v>
      </c>
      <c r="B23" s="2203"/>
      <c r="C23" s="581"/>
      <c r="D23" s="581"/>
      <c r="E23" s="581"/>
      <c r="F23" s="1755">
        <f>SUM(C23+D23)-E23</f>
        <v>0</v>
      </c>
      <c r="G23" s="552"/>
    </row>
    <row r="24" spans="1:11" ht="15.75" customHeight="1" thickTop="1" x14ac:dyDescent="0.2">
      <c r="A24" s="2214" t="s">
        <v>1113</v>
      </c>
      <c r="B24" s="2188"/>
      <c r="C24" s="2196"/>
      <c r="D24" s="2197"/>
      <c r="E24" s="2197"/>
      <c r="F24" s="2198"/>
    </row>
    <row r="25" spans="1:11" ht="13.5" thickBot="1" x14ac:dyDescent="0.25">
      <c r="A25" s="2202" t="s">
        <v>634</v>
      </c>
      <c r="B25" s="2203"/>
      <c r="C25" s="581"/>
      <c r="D25" s="581"/>
      <c r="E25" s="581"/>
      <c r="F25" s="1755">
        <f>SUM(C25+D25)-E25</f>
        <v>0</v>
      </c>
      <c r="G25" s="552"/>
    </row>
    <row r="26" spans="1:11" ht="15.75" customHeight="1" thickTop="1" x14ac:dyDescent="0.2">
      <c r="A26" s="2187" t="s">
        <v>657</v>
      </c>
      <c r="B26" s="2188"/>
      <c r="C26" s="727"/>
      <c r="D26" s="727"/>
      <c r="E26" s="727"/>
      <c r="F26" s="728"/>
    </row>
    <row r="27" spans="1:11" ht="13.5" thickBot="1" x14ac:dyDescent="0.25">
      <c r="A27" s="2189" t="s">
        <v>1070</v>
      </c>
      <c r="B27" s="2190"/>
      <c r="C27" s="585"/>
      <c r="D27" s="585"/>
      <c r="E27" s="585"/>
      <c r="F27" s="1755">
        <f>SUM(C27+D27)-E27</f>
        <v>0</v>
      </c>
      <c r="G27" s="552"/>
    </row>
    <row r="28" spans="1:11" ht="7.5" customHeight="1" thickTop="1" x14ac:dyDescent="0.2">
      <c r="A28" s="593"/>
    </row>
    <row r="29" spans="1:11" ht="23.25" customHeight="1" x14ac:dyDescent="0.2">
      <c r="A29" s="2215" t="s">
        <v>582</v>
      </c>
      <c r="B29" s="2192"/>
      <c r="C29" s="729"/>
      <c r="D29" s="729"/>
      <c r="E29" s="729"/>
      <c r="F29" s="729"/>
      <c r="G29" s="729"/>
      <c r="H29" s="729"/>
      <c r="I29" s="729"/>
      <c r="J29" s="729"/>
    </row>
    <row r="30" spans="1:11" ht="33.75" x14ac:dyDescent="0.2">
      <c r="A30" s="1529" t="s">
        <v>1071</v>
      </c>
      <c r="B30" s="730" t="s">
        <v>1124</v>
      </c>
      <c r="C30" s="1885" t="s">
        <v>583</v>
      </c>
      <c r="D30" s="1885" t="s">
        <v>1673</v>
      </c>
      <c r="E30" s="1885" t="s">
        <v>1955</v>
      </c>
      <c r="F30" s="1885" t="s">
        <v>1956</v>
      </c>
      <c r="G30" s="1885" t="s">
        <v>1907</v>
      </c>
      <c r="H30" s="1885" t="s">
        <v>1957</v>
      </c>
      <c r="I30" s="1885" t="s">
        <v>1958</v>
      </c>
      <c r="J30" s="1886" t="s">
        <v>2</v>
      </c>
      <c r="K30" s="731"/>
    </row>
    <row r="31" spans="1:11" ht="12" customHeight="1" x14ac:dyDescent="0.2">
      <c r="A31" s="732" t="s">
        <v>2080</v>
      </c>
      <c r="B31" s="733">
        <v>40238</v>
      </c>
      <c r="C31" s="734">
        <v>8500000</v>
      </c>
      <c r="D31" s="735">
        <v>2</v>
      </c>
      <c r="E31" s="734">
        <v>5500000</v>
      </c>
      <c r="F31" s="734"/>
      <c r="G31" s="734"/>
      <c r="H31" s="734">
        <v>500000</v>
      </c>
      <c r="I31" s="1756">
        <f>((E31+F31)-H31)+G31</f>
        <v>5000000</v>
      </c>
      <c r="J31" s="734">
        <v>4783899</v>
      </c>
      <c r="K31" s="736"/>
    </row>
    <row r="32" spans="1:11" ht="12" customHeight="1" x14ac:dyDescent="0.2">
      <c r="A32" s="732" t="s">
        <v>2081</v>
      </c>
      <c r="B32" s="733">
        <v>40386</v>
      </c>
      <c r="C32" s="734">
        <v>6500000</v>
      </c>
      <c r="D32" s="735">
        <v>2</v>
      </c>
      <c r="E32" s="734">
        <v>5200000</v>
      </c>
      <c r="F32" s="734"/>
      <c r="G32" s="734"/>
      <c r="H32" s="734">
        <v>190000</v>
      </c>
      <c r="I32" s="1756">
        <f>((E32+F32)-H32)+G32</f>
        <v>5010000</v>
      </c>
      <c r="J32" s="734">
        <v>5010000</v>
      </c>
      <c r="K32" s="736"/>
    </row>
    <row r="33" spans="1:11" ht="12" customHeight="1" x14ac:dyDescent="0.2">
      <c r="A33" s="732" t="s">
        <v>2082</v>
      </c>
      <c r="B33" s="733">
        <v>42492</v>
      </c>
      <c r="C33" s="734">
        <v>10000000</v>
      </c>
      <c r="D33" s="735">
        <v>6</v>
      </c>
      <c r="E33" s="734">
        <v>9595000</v>
      </c>
      <c r="F33" s="734"/>
      <c r="G33" s="734"/>
      <c r="H33" s="734">
        <v>185000</v>
      </c>
      <c r="I33" s="1756">
        <f t="shared" ref="I33:I48" si="1">((E33+F33)-H33)+G33</f>
        <v>9410000</v>
      </c>
      <c r="J33" s="734">
        <v>9410000</v>
      </c>
      <c r="K33" s="736"/>
    </row>
    <row r="34" spans="1:11" ht="12" customHeight="1" x14ac:dyDescent="0.2">
      <c r="A34" s="732" t="s">
        <v>2083</v>
      </c>
      <c r="B34" s="733">
        <v>40085</v>
      </c>
      <c r="C34" s="734">
        <v>115906</v>
      </c>
      <c r="D34" s="735">
        <v>7</v>
      </c>
      <c r="E34" s="734">
        <v>25909</v>
      </c>
      <c r="F34" s="734"/>
      <c r="G34" s="734"/>
      <c r="H34" s="734">
        <v>25484</v>
      </c>
      <c r="I34" s="1756">
        <f t="shared" si="1"/>
        <v>425</v>
      </c>
      <c r="J34" s="734">
        <v>425</v>
      </c>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25115906</v>
      </c>
      <c r="D49" s="745"/>
      <c r="E49" s="1756">
        <f t="shared" ref="E49:J49" si="2">SUM(E31:E48)</f>
        <v>20320909</v>
      </c>
      <c r="F49" s="1756">
        <f t="shared" si="2"/>
        <v>0</v>
      </c>
      <c r="G49" s="1756">
        <f t="shared" si="2"/>
        <v>0</v>
      </c>
      <c r="H49" s="1756">
        <f t="shared" si="2"/>
        <v>900484</v>
      </c>
      <c r="I49" s="1756">
        <f t="shared" si="2"/>
        <v>19420425</v>
      </c>
      <c r="J49" s="1756">
        <f t="shared" si="2"/>
        <v>19204324</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06" t="s">
        <v>584</v>
      </c>
      <c r="C52" s="2207"/>
      <c r="D52" s="2207"/>
      <c r="E52" s="749" t="s">
        <v>845</v>
      </c>
      <c r="F52" s="2208" t="s">
        <v>2084</v>
      </c>
      <c r="G52" s="2209"/>
      <c r="H52" s="736"/>
      <c r="I52" s="736"/>
      <c r="J52" s="746"/>
    </row>
    <row r="53" spans="1:11" ht="11.25" customHeight="1" x14ac:dyDescent="0.2">
      <c r="A53" s="750" t="s">
        <v>913</v>
      </c>
      <c r="B53" s="751" t="s">
        <v>951</v>
      </c>
      <c r="C53" s="746"/>
      <c r="D53" s="737"/>
      <c r="E53" s="749" t="s">
        <v>497</v>
      </c>
      <c r="F53" s="2210"/>
      <c r="G53" s="2211"/>
      <c r="H53" s="736"/>
      <c r="I53" s="736"/>
      <c r="J53" s="746"/>
    </row>
    <row r="54" spans="1:11" ht="11.25" customHeight="1" x14ac:dyDescent="0.2">
      <c r="A54" s="752" t="s">
        <v>914</v>
      </c>
      <c r="B54" s="747" t="s">
        <v>952</v>
      </c>
      <c r="C54" s="746"/>
      <c r="D54" s="737"/>
      <c r="E54" s="749" t="s">
        <v>498</v>
      </c>
      <c r="F54" s="2210"/>
      <c r="G54" s="221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0" t="s">
        <v>856</v>
      </c>
      <c r="B1" s="2241"/>
      <c r="C1" s="2241"/>
      <c r="D1" s="2241"/>
      <c r="E1" s="2241"/>
      <c r="F1" s="2241"/>
      <c r="G1" s="2242"/>
      <c r="H1" s="1530"/>
      <c r="I1" s="760"/>
      <c r="J1" s="433"/>
    </row>
    <row r="2" spans="1:11" ht="26.25" x14ac:dyDescent="0.2">
      <c r="A2" s="2219" t="s">
        <v>1677</v>
      </c>
      <c r="B2" s="2220"/>
      <c r="C2" s="2220"/>
      <c r="D2" s="2220"/>
      <c r="E2" s="2221"/>
      <c r="F2" s="761" t="s">
        <v>904</v>
      </c>
      <c r="G2" s="762" t="s">
        <v>1674</v>
      </c>
      <c r="H2" s="762" t="s">
        <v>410</v>
      </c>
      <c r="I2" s="762" t="s">
        <v>1158</v>
      </c>
      <c r="J2" s="762" t="s">
        <v>1809</v>
      </c>
      <c r="K2" s="762" t="s">
        <v>138</v>
      </c>
    </row>
    <row r="3" spans="1:11" x14ac:dyDescent="0.2">
      <c r="A3" s="2222" t="s">
        <v>1959</v>
      </c>
      <c r="B3" s="2223"/>
      <c r="C3" s="2223"/>
      <c r="D3" s="2223"/>
      <c r="E3" s="2224"/>
      <c r="F3" s="763"/>
      <c r="G3" s="764"/>
      <c r="H3" s="764"/>
      <c r="I3" s="764"/>
      <c r="J3" s="765"/>
      <c r="K3" s="765"/>
    </row>
    <row r="4" spans="1:11" x14ac:dyDescent="0.2">
      <c r="A4" s="2225" t="s">
        <v>369</v>
      </c>
      <c r="B4" s="2226"/>
      <c r="C4" s="2226"/>
      <c r="D4" s="2226"/>
      <c r="E4" s="2207"/>
      <c r="F4" s="766"/>
      <c r="G4" s="767"/>
      <c r="H4" s="768"/>
      <c r="I4" s="767"/>
      <c r="J4" s="769"/>
      <c r="K4" s="769"/>
    </row>
    <row r="5" spans="1:11" x14ac:dyDescent="0.2">
      <c r="A5" s="2243" t="s">
        <v>1069</v>
      </c>
      <c r="B5" s="2216"/>
      <c r="C5" s="2216"/>
      <c r="D5" s="2216"/>
      <c r="E5" s="2244"/>
      <c r="F5" s="770" t="s">
        <v>848</v>
      </c>
      <c r="G5" s="771"/>
      <c r="H5" s="764">
        <v>202071</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v>1315628</v>
      </c>
      <c r="K8" s="769"/>
    </row>
    <row r="9" spans="1:11" x14ac:dyDescent="0.2">
      <c r="A9" s="778" t="s">
        <v>138</v>
      </c>
      <c r="B9" s="779"/>
      <c r="C9" s="779"/>
      <c r="D9" s="779"/>
      <c r="E9" s="780"/>
      <c r="F9" s="777" t="s">
        <v>853</v>
      </c>
      <c r="G9" s="782"/>
      <c r="H9" s="771"/>
      <c r="I9" s="771"/>
      <c r="J9" s="781"/>
      <c r="K9" s="765"/>
    </row>
    <row r="10" spans="1:11" x14ac:dyDescent="0.2">
      <c r="A10" s="2243" t="s">
        <v>1810</v>
      </c>
      <c r="B10" s="2216"/>
      <c r="C10" s="2216"/>
      <c r="D10" s="2216"/>
      <c r="E10" s="2245"/>
      <c r="F10" s="783" t="s">
        <v>862</v>
      </c>
      <c r="G10" s="782"/>
      <c r="H10" s="784"/>
      <c r="I10" s="764"/>
      <c r="J10" s="765"/>
      <c r="K10" s="765"/>
    </row>
    <row r="11" spans="1:11" x14ac:dyDescent="0.2">
      <c r="A11" s="2243" t="s">
        <v>160</v>
      </c>
      <c r="B11" s="2216"/>
      <c r="C11" s="2216"/>
      <c r="D11" s="2216"/>
      <c r="E11" s="2244"/>
      <c r="F11" s="770" t="s">
        <v>852</v>
      </c>
      <c r="G11" s="771"/>
      <c r="H11" s="764"/>
      <c r="I11" s="764"/>
      <c r="J11" s="765"/>
      <c r="K11" s="773"/>
    </row>
    <row r="12" spans="1:11" ht="13.5" thickBot="1" x14ac:dyDescent="0.25">
      <c r="A12" s="2233" t="s">
        <v>905</v>
      </c>
      <c r="B12" s="2234"/>
      <c r="C12" s="2234"/>
      <c r="D12" s="2234"/>
      <c r="E12" s="2235"/>
      <c r="F12" s="1757"/>
      <c r="G12" s="1758">
        <f>SUM(G5:G11)</f>
        <v>0</v>
      </c>
      <c r="H12" s="1758">
        <f>SUM(H5:H11)</f>
        <v>202071</v>
      </c>
      <c r="I12" s="1758">
        <f>SUM(I5:I11)</f>
        <v>0</v>
      </c>
      <c r="J12" s="1758">
        <f>SUM(J5:J11)</f>
        <v>1315628</v>
      </c>
      <c r="K12" s="1758">
        <f>SUM(K5:K11)</f>
        <v>0</v>
      </c>
    </row>
    <row r="13" spans="1:11" ht="13.5" thickTop="1" x14ac:dyDescent="0.2">
      <c r="A13" s="2227" t="s">
        <v>370</v>
      </c>
      <c r="B13" s="2228"/>
      <c r="C13" s="2228"/>
      <c r="D13" s="2228"/>
      <c r="E13" s="2229"/>
      <c r="F13" s="785"/>
      <c r="G13" s="786"/>
      <c r="H13" s="787"/>
      <c r="I13" s="788"/>
      <c r="J13" s="788"/>
      <c r="K13" s="788"/>
    </row>
    <row r="14" spans="1:11" x14ac:dyDescent="0.2">
      <c r="A14" s="2249" t="s">
        <v>456</v>
      </c>
      <c r="B14" s="2249"/>
      <c r="C14" s="2249"/>
      <c r="D14" s="2249"/>
      <c r="E14" s="2250"/>
      <c r="F14" s="789" t="s">
        <v>854</v>
      </c>
      <c r="G14" s="782"/>
      <c r="H14" s="764">
        <v>202071</v>
      </c>
      <c r="I14" s="771"/>
      <c r="J14" s="773"/>
      <c r="K14" s="765"/>
    </row>
    <row r="15" spans="1:11" x14ac:dyDescent="0.2">
      <c r="A15" s="2216" t="s">
        <v>4</v>
      </c>
      <c r="B15" s="2216"/>
      <c r="C15" s="2216"/>
      <c r="D15" s="2216"/>
      <c r="E15" s="2244"/>
      <c r="F15" s="789" t="s">
        <v>855</v>
      </c>
      <c r="G15" s="771"/>
      <c r="H15" s="764"/>
      <c r="I15" s="764"/>
      <c r="J15" s="765">
        <v>110525</v>
      </c>
      <c r="K15" s="765"/>
    </row>
    <row r="16" spans="1:11" x14ac:dyDescent="0.2">
      <c r="A16" s="2216" t="s">
        <v>298</v>
      </c>
      <c r="B16" s="2216"/>
      <c r="C16" s="2216"/>
      <c r="D16" s="2216"/>
      <c r="E16" s="2244"/>
      <c r="F16" s="789" t="s">
        <v>923</v>
      </c>
      <c r="G16" s="772"/>
      <c r="H16" s="767"/>
      <c r="I16" s="767"/>
      <c r="J16" s="769"/>
      <c r="K16" s="769"/>
    </row>
    <row r="17" spans="1:11" x14ac:dyDescent="0.2">
      <c r="A17" s="2238" t="s">
        <v>935</v>
      </c>
      <c r="B17" s="2238"/>
      <c r="C17" s="2238"/>
      <c r="D17" s="2238"/>
      <c r="E17" s="2239"/>
      <c r="F17" s="790"/>
      <c r="G17" s="791"/>
      <c r="H17" s="792"/>
      <c r="I17" s="792"/>
      <c r="J17" s="793"/>
      <c r="K17" s="794"/>
    </row>
    <row r="18" spans="1:11" x14ac:dyDescent="0.2">
      <c r="A18" s="2230" t="s">
        <v>368</v>
      </c>
      <c r="B18" s="2231"/>
      <c r="C18" s="2231"/>
      <c r="D18" s="2231"/>
      <c r="E18" s="2232"/>
      <c r="F18" s="789" t="s">
        <v>932</v>
      </c>
      <c r="G18" s="782"/>
      <c r="H18" s="782"/>
      <c r="I18" s="782"/>
      <c r="J18" s="765">
        <v>1205103</v>
      </c>
      <c r="K18" s="795"/>
    </row>
    <row r="19" spans="1:11" ht="21.75" customHeight="1" x14ac:dyDescent="0.2">
      <c r="A19" s="2251" t="s">
        <v>1806</v>
      </c>
      <c r="B19" s="2251"/>
      <c r="C19" s="2251"/>
      <c r="D19" s="2251"/>
      <c r="E19" s="2252"/>
      <c r="F19" s="789" t="s">
        <v>933</v>
      </c>
      <c r="G19" s="782"/>
      <c r="H19" s="782"/>
      <c r="I19" s="782"/>
      <c r="J19" s="765"/>
      <c r="K19" s="795"/>
    </row>
    <row r="20" spans="1:11" x14ac:dyDescent="0.2">
      <c r="A20" s="2230" t="s">
        <v>1811</v>
      </c>
      <c r="B20" s="2231"/>
      <c r="C20" s="2231"/>
      <c r="D20" s="2231"/>
      <c r="E20" s="2232"/>
      <c r="F20" s="789" t="s">
        <v>934</v>
      </c>
      <c r="G20" s="782"/>
      <c r="H20" s="782"/>
      <c r="I20" s="782"/>
      <c r="J20" s="765"/>
      <c r="K20" s="795"/>
    </row>
    <row r="21" spans="1:11" ht="13.5" thickBot="1" x14ac:dyDescent="0.25">
      <c r="A21" s="2236" t="s">
        <v>638</v>
      </c>
      <c r="B21" s="2236"/>
      <c r="C21" s="2236"/>
      <c r="D21" s="2236"/>
      <c r="E21" s="2236"/>
      <c r="F21" s="1759"/>
      <c r="G21" s="792"/>
      <c r="H21" s="796"/>
      <c r="I21" s="796"/>
      <c r="J21" s="1760">
        <f>SUM(J18:J20)</f>
        <v>1205103</v>
      </c>
      <c r="K21" s="793"/>
    </row>
    <row r="22" spans="1:11" ht="13.5" thickTop="1" x14ac:dyDescent="0.2">
      <c r="A22" s="2216" t="s">
        <v>1812</v>
      </c>
      <c r="B22" s="2216"/>
      <c r="C22" s="2216"/>
      <c r="D22" s="2216"/>
      <c r="E22" s="2244"/>
      <c r="F22" s="789" t="s">
        <v>862</v>
      </c>
      <c r="G22" s="782"/>
      <c r="H22" s="764"/>
      <c r="I22" s="764"/>
      <c r="J22" s="797"/>
      <c r="K22" s="765"/>
    </row>
    <row r="23" spans="1:11" ht="13.5" thickBot="1" x14ac:dyDescent="0.25">
      <c r="A23" s="2237" t="s">
        <v>906</v>
      </c>
      <c r="B23" s="2236"/>
      <c r="C23" s="2236"/>
      <c r="D23" s="2236"/>
      <c r="E23" s="2236"/>
      <c r="F23" s="1761"/>
      <c r="G23" s="1758">
        <f>SUM(G14:G16,G21,G22)</f>
        <v>0</v>
      </c>
      <c r="H23" s="1758">
        <f>SUM(H14:H16,H21,H22)</f>
        <v>202071</v>
      </c>
      <c r="I23" s="1758">
        <f>SUM(I14:I16,I21,I22)</f>
        <v>0</v>
      </c>
      <c r="J23" s="1758">
        <f>SUM(J14:J16,J21,J22)</f>
        <v>1315628</v>
      </c>
      <c r="K23" s="1758">
        <f>SUM(K14:K16,K21,K22)</f>
        <v>0</v>
      </c>
    </row>
    <row r="24" spans="1:11" ht="14.25" thickTop="1" thickBot="1" x14ac:dyDescent="0.25">
      <c r="A24" s="2237" t="s">
        <v>1960</v>
      </c>
      <c r="B24" s="2236"/>
      <c r="C24" s="2236"/>
      <c r="D24" s="2236"/>
      <c r="E24" s="2236"/>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6"/>
      <c r="I31" s="2247"/>
      <c r="J31" s="2247"/>
      <c r="K31" s="2247"/>
    </row>
    <row r="32" spans="1:11" x14ac:dyDescent="0.2">
      <c r="A32" s="809"/>
      <c r="B32" s="237"/>
      <c r="C32" s="237"/>
      <c r="D32" s="237"/>
      <c r="E32" s="805"/>
      <c r="F32" s="811" t="s">
        <v>540</v>
      </c>
      <c r="G32" s="764"/>
      <c r="H32" s="2248"/>
      <c r="I32" s="2247"/>
      <c r="J32" s="2247"/>
      <c r="K32" s="2247"/>
    </row>
    <row r="33" spans="1:11" ht="1.5" customHeight="1" x14ac:dyDescent="0.2">
      <c r="A33" s="812" t="s">
        <v>1169</v>
      </c>
      <c r="B33" s="364"/>
      <c r="C33" s="364"/>
      <c r="D33" s="364"/>
      <c r="E33" s="364"/>
      <c r="F33" s="364"/>
      <c r="G33" s="813"/>
      <c r="H33" s="2248"/>
      <c r="I33" s="2247"/>
      <c r="J33" s="2247"/>
      <c r="K33" s="2247"/>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17"/>
      <c r="C41" s="2217"/>
      <c r="D41" s="2217"/>
      <c r="E41" s="2217"/>
      <c r="F41" s="2218"/>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1807</v>
      </c>
      <c r="B46" s="408" t="s">
        <v>1675</v>
      </c>
    </row>
    <row r="47" spans="1:11" s="823" customFormat="1" ht="12.75" customHeight="1" x14ac:dyDescent="0.2">
      <c r="A47" s="821"/>
      <c r="B47" s="822" t="s">
        <v>1676</v>
      </c>
      <c r="E47" s="822"/>
      <c r="K47" s="824"/>
    </row>
    <row r="48" spans="1:11" ht="12.75" customHeight="1" x14ac:dyDescent="0.2">
      <c r="A48" s="1532"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L16" sqref="L1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1905</v>
      </c>
      <c r="B1" s="2256"/>
      <c r="C1" s="2257"/>
      <c r="D1" s="826"/>
      <c r="E1" s="827"/>
      <c r="F1" s="827"/>
      <c r="G1" s="828"/>
      <c r="H1" s="829"/>
      <c r="I1" s="830"/>
      <c r="J1" s="2253"/>
      <c r="K1" s="2254"/>
      <c r="L1" s="2254"/>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100231</v>
      </c>
      <c r="D5" s="841"/>
      <c r="E5" s="841"/>
      <c r="F5" s="1760">
        <f>(C5+D5)-E5</f>
        <v>100231</v>
      </c>
      <c r="G5" s="837"/>
      <c r="H5" s="842"/>
      <c r="I5" s="842"/>
      <c r="J5" s="842"/>
      <c r="K5" s="793"/>
      <c r="L5" s="1769">
        <f>F5-K5</f>
        <v>100231</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32274982</v>
      </c>
      <c r="D8" s="844">
        <v>1971875</v>
      </c>
      <c r="E8" s="844"/>
      <c r="F8" s="1760">
        <f>(C8+D8)-E8</f>
        <v>34246857</v>
      </c>
      <c r="G8" s="843">
        <v>50</v>
      </c>
      <c r="H8" s="765">
        <v>11955218</v>
      </c>
      <c r="I8" s="765">
        <v>1520530</v>
      </c>
      <c r="J8" s="765"/>
      <c r="K8" s="1769">
        <f>(H8+I8)-J8</f>
        <v>13475748</v>
      </c>
      <c r="L8" s="1769">
        <f>F8-K8</f>
        <v>20771109</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720198</v>
      </c>
      <c r="D10" s="846"/>
      <c r="E10" s="846"/>
      <c r="F10" s="1764">
        <f>(C10+D10)-E10</f>
        <v>720198</v>
      </c>
      <c r="G10" s="843">
        <v>20</v>
      </c>
      <c r="H10" s="847">
        <v>377208</v>
      </c>
      <c r="I10" s="847">
        <v>33403</v>
      </c>
      <c r="J10" s="847"/>
      <c r="K10" s="1769">
        <f>(H10+I10)-J10</f>
        <v>410611</v>
      </c>
      <c r="L10" s="1769">
        <f>F10-K10</f>
        <v>309587</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4132687</v>
      </c>
      <c r="D12" s="844">
        <v>213057</v>
      </c>
      <c r="E12" s="844"/>
      <c r="F12" s="1760">
        <f>(C12+D12)-E12</f>
        <v>4345744</v>
      </c>
      <c r="G12" s="843">
        <v>10</v>
      </c>
      <c r="H12" s="765">
        <v>3348926</v>
      </c>
      <c r="I12" s="765">
        <v>244846</v>
      </c>
      <c r="J12" s="765"/>
      <c r="K12" s="1769">
        <f>(H12+I12)-J12</f>
        <v>3593772</v>
      </c>
      <c r="L12" s="1769">
        <f>F12-K12</f>
        <v>751972</v>
      </c>
    </row>
    <row r="13" spans="1:14" ht="14.25" thickTop="1" thickBot="1" x14ac:dyDescent="0.25">
      <c r="A13" s="848" t="s">
        <v>1122</v>
      </c>
      <c r="B13" s="840">
        <v>252</v>
      </c>
      <c r="C13" s="844">
        <v>1799</v>
      </c>
      <c r="D13" s="844"/>
      <c r="E13" s="844"/>
      <c r="F13" s="1760">
        <f>(C13+D13)-E13</f>
        <v>1799</v>
      </c>
      <c r="G13" s="843">
        <v>5</v>
      </c>
      <c r="H13" s="765">
        <v>1799</v>
      </c>
      <c r="I13" s="765"/>
      <c r="J13" s="765"/>
      <c r="K13" s="1769">
        <f>(H13+I13)-J13</f>
        <v>1799</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37229897</v>
      </c>
      <c r="D16" s="1760">
        <f>SUM(D3,D5:D6,D8:D10,D12:D15)</f>
        <v>2184932</v>
      </c>
      <c r="E16" s="1760">
        <f>SUM(E3,E5:E6,E8:E10,E12:E15)</f>
        <v>0</v>
      </c>
      <c r="F16" s="1760">
        <f>SUM(F3,F5:F6,F8:F10,F12:F15)</f>
        <v>39414829</v>
      </c>
      <c r="G16" s="843"/>
      <c r="H16" s="1760">
        <f>SUM(H3,H6,H8:H10,H12:H14,)</f>
        <v>15683151</v>
      </c>
      <c r="I16" s="1760">
        <f>SUM(I3,I6,I8:I10,I12:I14,)</f>
        <v>1798779</v>
      </c>
      <c r="J16" s="1760">
        <f>SUM(J3,J6,J8:J10,J12:J14,)</f>
        <v>0</v>
      </c>
      <c r="K16" s="1760">
        <f>(H16+I16)-J16</f>
        <v>17481930</v>
      </c>
      <c r="L16" s="1760">
        <f>F16-K16</f>
        <v>21932899</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1798779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1970</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17714679</v>
      </c>
      <c r="G8" s="865"/>
    </row>
    <row r="9" spans="1:7" x14ac:dyDescent="0.2">
      <c r="A9" s="869" t="s">
        <v>460</v>
      </c>
      <c r="B9" s="870" t="s">
        <v>1873</v>
      </c>
      <c r="C9" s="871"/>
      <c r="D9" s="869" t="s">
        <v>501</v>
      </c>
      <c r="E9" s="868"/>
      <c r="F9" s="1909">
        <f>'Expenditures 15-22'!K151</f>
        <v>1436838</v>
      </c>
      <c r="G9" s="872"/>
    </row>
    <row r="10" spans="1:7" x14ac:dyDescent="0.2">
      <c r="A10" s="869" t="s">
        <v>499</v>
      </c>
      <c r="B10" s="870" t="s">
        <v>1874</v>
      </c>
      <c r="C10" s="871"/>
      <c r="D10" s="869" t="s">
        <v>501</v>
      </c>
      <c r="E10" s="868"/>
      <c r="F10" s="1909">
        <f>'Expenditures 15-22'!K174</f>
        <v>1897298</v>
      </c>
      <c r="G10" s="872"/>
    </row>
    <row r="11" spans="1:7" x14ac:dyDescent="0.2">
      <c r="A11" s="869" t="s">
        <v>461</v>
      </c>
      <c r="B11" s="870" t="s">
        <v>1875</v>
      </c>
      <c r="C11" s="871"/>
      <c r="D11" s="869" t="s">
        <v>501</v>
      </c>
      <c r="E11" s="868"/>
      <c r="F11" s="1909">
        <f>'Expenditures 15-22'!K210</f>
        <v>868664</v>
      </c>
      <c r="G11" s="872"/>
    </row>
    <row r="12" spans="1:7" x14ac:dyDescent="0.2">
      <c r="A12" s="869" t="s">
        <v>462</v>
      </c>
      <c r="B12" s="870" t="s">
        <v>1876</v>
      </c>
      <c r="C12" s="871"/>
      <c r="D12" s="869" t="s">
        <v>501</v>
      </c>
      <c r="E12" s="868"/>
      <c r="F12" s="1909">
        <f>'Expenditures 15-22'!K295</f>
        <v>581745</v>
      </c>
      <c r="G12" s="872"/>
    </row>
    <row r="13" spans="1:7" x14ac:dyDescent="0.2">
      <c r="A13" s="869" t="s">
        <v>106</v>
      </c>
      <c r="B13" s="870" t="s">
        <v>1877</v>
      </c>
      <c r="C13" s="871"/>
      <c r="D13" s="869" t="s">
        <v>501</v>
      </c>
      <c r="E13" s="868"/>
      <c r="F13" s="1909">
        <f>'Expenditures 15-22'!K342</f>
        <v>217056</v>
      </c>
      <c r="G13" s="873"/>
    </row>
    <row r="14" spans="1:7" ht="12" customHeight="1" thickBot="1" x14ac:dyDescent="0.25">
      <c r="A14" s="1770"/>
      <c r="B14" s="1771"/>
      <c r="C14" s="1772"/>
      <c r="D14" s="1773" t="s">
        <v>501</v>
      </c>
      <c r="E14" s="1774" t="s">
        <v>958</v>
      </c>
      <c r="F14" s="1775">
        <f>SUM(F8:F13)</f>
        <v>22716280</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914">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1997</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346750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112561</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6359</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187125</v>
      </c>
      <c r="G52" s="865"/>
    </row>
    <row r="53" spans="1:7" x14ac:dyDescent="0.2">
      <c r="A53" s="869" t="s">
        <v>459</v>
      </c>
      <c r="B53" s="869" t="s">
        <v>1475</v>
      </c>
      <c r="C53" s="889">
        <f>'Expenditures 15-22'!B102</f>
        <v>4000</v>
      </c>
      <c r="D53" s="888" t="str">
        <f>'Expenditures 15-22'!A102</f>
        <v>Total Payments to Other Govt Units</v>
      </c>
      <c r="E53" s="868"/>
      <c r="F53" s="1913">
        <f>'Expenditures 15-22'!K102</f>
        <v>665200</v>
      </c>
      <c r="G53" s="865"/>
    </row>
    <row r="54" spans="1:7" x14ac:dyDescent="0.2">
      <c r="A54" s="869" t="s">
        <v>459</v>
      </c>
      <c r="B54" s="869" t="s">
        <v>1476</v>
      </c>
      <c r="C54" s="889" t="s">
        <v>982</v>
      </c>
      <c r="D54" s="885" t="s">
        <v>1095</v>
      </c>
      <c r="E54" s="868"/>
      <c r="F54" s="1913">
        <f>'Expenditures 15-22'!G114</f>
        <v>213057</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13">
        <f>'Expenditures 15-22'!K139</f>
        <v>0</v>
      </c>
      <c r="G57" s="865"/>
    </row>
    <row r="58" spans="1:7" x14ac:dyDescent="0.2">
      <c r="A58" s="869" t="s">
        <v>460</v>
      </c>
      <c r="B58" s="869" t="s">
        <v>1879</v>
      </c>
      <c r="C58" s="886" t="s">
        <v>982</v>
      </c>
      <c r="D58" s="885" t="s">
        <v>1095</v>
      </c>
      <c r="E58" s="868"/>
      <c r="F58" s="1915">
        <f>'Expenditures 15-22'!G151</f>
        <v>83866</v>
      </c>
      <c r="G58" s="865"/>
    </row>
    <row r="59" spans="1:7" x14ac:dyDescent="0.2">
      <c r="A59" s="893" t="s">
        <v>460</v>
      </c>
      <c r="B59" s="856" t="s">
        <v>1880</v>
      </c>
      <c r="C59" s="894" t="s">
        <v>982</v>
      </c>
      <c r="D59" s="856" t="s">
        <v>291</v>
      </c>
      <c r="F59" s="1916">
        <f>'Expenditures 15-22'!I151</f>
        <v>0</v>
      </c>
      <c r="G59" s="865"/>
    </row>
    <row r="60" spans="1:7" x14ac:dyDescent="0.2">
      <c r="A60" s="893" t="s">
        <v>499</v>
      </c>
      <c r="B60" s="856" t="s">
        <v>1881</v>
      </c>
      <c r="C60" s="894">
        <v>4000</v>
      </c>
      <c r="D60" s="856" t="s">
        <v>312</v>
      </c>
      <c r="F60" s="1914">
        <f>'Expenditures 15-22'!K160</f>
        <v>0</v>
      </c>
      <c r="G60" s="865"/>
    </row>
    <row r="61" spans="1:7" x14ac:dyDescent="0.2">
      <c r="A61" s="895" t="s">
        <v>499</v>
      </c>
      <c r="B61" s="895" t="s">
        <v>1882</v>
      </c>
      <c r="C61" s="896" t="str">
        <f>'Expenditures 15-22'!B170</f>
        <v>5300</v>
      </c>
      <c r="D61" s="897" t="s">
        <v>311</v>
      </c>
      <c r="E61" s="879"/>
      <c r="F61" s="1913">
        <f>'Expenditures 15-22'!K170</f>
        <v>875000</v>
      </c>
      <c r="G61" s="865"/>
    </row>
    <row r="62" spans="1:7" x14ac:dyDescent="0.2">
      <c r="A62" s="869" t="s">
        <v>461</v>
      </c>
      <c r="B62" s="869" t="s">
        <v>1883</v>
      </c>
      <c r="C62" s="886">
        <f>'Expenditures 15-22'!B185</f>
        <v>3000</v>
      </c>
      <c r="D62" s="876" t="s">
        <v>449</v>
      </c>
      <c r="E62" s="868"/>
      <c r="F62" s="1913">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1885</v>
      </c>
      <c r="C64" s="896" t="str">
        <f>'Expenditures 15-22'!B206</f>
        <v>5300</v>
      </c>
      <c r="D64" s="892" t="s">
        <v>311</v>
      </c>
      <c r="E64" s="868"/>
      <c r="F64" s="1913">
        <f>'Expenditures 15-22'!K206</f>
        <v>0</v>
      </c>
      <c r="G64" s="865"/>
    </row>
    <row r="65" spans="1:8" x14ac:dyDescent="0.2">
      <c r="A65" s="869" t="s">
        <v>461</v>
      </c>
      <c r="B65" s="869" t="s">
        <v>1886</v>
      </c>
      <c r="C65" s="886" t="s">
        <v>982</v>
      </c>
      <c r="D65" s="885" t="s">
        <v>1095</v>
      </c>
      <c r="E65" s="868"/>
      <c r="F65" s="1913">
        <f>'Expenditures 15-22'!G210</f>
        <v>0</v>
      </c>
      <c r="G65" s="865"/>
    </row>
    <row r="66" spans="1:8" x14ac:dyDescent="0.2">
      <c r="A66" s="869" t="s">
        <v>461</v>
      </c>
      <c r="B66" s="869" t="s">
        <v>1887</v>
      </c>
      <c r="C66" s="886" t="s">
        <v>982</v>
      </c>
      <c r="D66" s="885" t="s">
        <v>291</v>
      </c>
      <c r="E66" s="868"/>
      <c r="F66" s="1913">
        <f>'Expenditures 15-22'!I210</f>
        <v>0</v>
      </c>
      <c r="G66" s="865"/>
    </row>
    <row r="67" spans="1:8" x14ac:dyDescent="0.2">
      <c r="A67" s="869" t="s">
        <v>462</v>
      </c>
      <c r="B67" s="869" t="s">
        <v>1888</v>
      </c>
      <c r="C67" s="886" t="str">
        <f>'Expenditures 15-22'!B216</f>
        <v>1125</v>
      </c>
      <c r="D67" s="892" t="str">
        <f>'Expenditures 15-22'!A216</f>
        <v>Pre-K Programs</v>
      </c>
      <c r="E67" s="868"/>
      <c r="F67" s="1913">
        <f>'Expenditures 15-22'!K216</f>
        <v>15893</v>
      </c>
      <c r="G67" s="865"/>
    </row>
    <row r="68" spans="1:8" x14ac:dyDescent="0.2">
      <c r="A68" s="869" t="s">
        <v>462</v>
      </c>
      <c r="B68" s="869" t="s">
        <v>1479</v>
      </c>
      <c r="C68" s="886" t="str">
        <f>'Expenditures 15-22'!B218</f>
        <v>1225</v>
      </c>
      <c r="D68" s="892" t="str">
        <f>'Expenditures 15-22'!A218</f>
        <v>Special Education Programs - Pre-K</v>
      </c>
      <c r="E68" s="868"/>
      <c r="F68" s="1913">
        <f>'Expenditures 15-22'!K218</f>
        <v>9411</v>
      </c>
      <c r="G68" s="865"/>
    </row>
    <row r="69" spans="1:8" x14ac:dyDescent="0.2">
      <c r="A69" s="869" t="s">
        <v>462</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1890</v>
      </c>
      <c r="C70" s="886">
        <f>'Expenditures 15-22'!B221</f>
        <v>1300</v>
      </c>
      <c r="D70" s="887" t="str">
        <f>'Expenditures 15-22'!A221</f>
        <v>Adult/Continuing Education Programs</v>
      </c>
      <c r="E70" s="868"/>
      <c r="F70" s="1913">
        <f>'Expenditures 15-22'!K221</f>
        <v>0</v>
      </c>
      <c r="G70" s="865"/>
    </row>
    <row r="71" spans="1:8" x14ac:dyDescent="0.2">
      <c r="A71" s="869" t="s">
        <v>462</v>
      </c>
      <c r="B71" s="869" t="s">
        <v>1891</v>
      </c>
      <c r="C71" s="886">
        <f>'Expenditures 15-22'!B224</f>
        <v>1600</v>
      </c>
      <c r="D71" s="887" t="str">
        <f>'Expenditures 15-22'!A224</f>
        <v>Summer School Programs</v>
      </c>
      <c r="E71" s="868"/>
      <c r="F71" s="1913">
        <f>'Expenditures 15-22'!K224</f>
        <v>185</v>
      </c>
      <c r="G71" s="865"/>
    </row>
    <row r="72" spans="1:8" x14ac:dyDescent="0.2">
      <c r="A72" s="869" t="s">
        <v>462</v>
      </c>
      <c r="B72" s="869" t="s">
        <v>1892</v>
      </c>
      <c r="C72" s="886">
        <f>'Expenditures 15-22'!B280</f>
        <v>3000</v>
      </c>
      <c r="D72" s="876" t="s">
        <v>449</v>
      </c>
      <c r="E72" s="868"/>
      <c r="F72" s="1913">
        <f>'Expenditures 15-22'!K280</f>
        <v>5928</v>
      </c>
      <c r="G72" s="865"/>
    </row>
    <row r="73" spans="1:8" x14ac:dyDescent="0.2">
      <c r="A73" s="869" t="s">
        <v>462</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1894</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958</v>
      </c>
      <c r="F76" s="1778">
        <f>SUM(F18:F74)</f>
        <v>2521335</v>
      </c>
      <c r="G76" s="865"/>
    </row>
    <row r="77" spans="1:8" s="893" customFormat="1" ht="12" customHeight="1" thickTop="1" thickBot="1" x14ac:dyDescent="0.25">
      <c r="A77" s="1779"/>
      <c r="B77" s="1776"/>
      <c r="C77" s="1772"/>
      <c r="D77" s="1777" t="s">
        <v>1896</v>
      </c>
      <c r="E77" s="1774"/>
      <c r="F77" s="1780">
        <f>(F14-F76)</f>
        <v>20194945</v>
      </c>
      <c r="G77" s="869"/>
    </row>
    <row r="78" spans="1:8" s="893" customFormat="1" ht="12" customHeight="1" thickTop="1" x14ac:dyDescent="0.2">
      <c r="A78" s="1781"/>
      <c r="B78" s="1776"/>
      <c r="C78" s="1772"/>
      <c r="D78" s="1777" t="s">
        <v>2057</v>
      </c>
      <c r="E78" s="1774"/>
      <c r="F78" s="898">
        <v>1539.4</v>
      </c>
      <c r="G78" s="899"/>
      <c r="H78" s="869"/>
    </row>
    <row r="79" spans="1:8" s="893" customFormat="1" ht="12" customHeight="1" thickBot="1" x14ac:dyDescent="0.25">
      <c r="A79" s="1782"/>
      <c r="B79" s="1776"/>
      <c r="C79" s="1772"/>
      <c r="D79" s="1777" t="s">
        <v>1897</v>
      </c>
      <c r="E79" s="1774" t="s">
        <v>958</v>
      </c>
      <c r="F79" s="1783">
        <f>IF(F78&gt;0,F77/F78," Complete Line 78")</f>
        <v>13118.711835780174</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1640</v>
      </c>
      <c r="G94" s="912"/>
    </row>
    <row r="95" spans="1:7" x14ac:dyDescent="0.2">
      <c r="A95" s="908" t="s">
        <v>140</v>
      </c>
      <c r="B95" s="908" t="s">
        <v>175</v>
      </c>
      <c r="C95" s="910">
        <v>1700</v>
      </c>
      <c r="D95" s="918" t="str">
        <f>'Revenues 9-14'!A82</f>
        <v>Total District/School Activity Income</v>
      </c>
      <c r="E95" s="906"/>
      <c r="F95" s="1789">
        <f>SUM('Revenues 9-14'!C82,'Revenues 9-14'!D82)</f>
        <v>17201</v>
      </c>
      <c r="G95" s="912"/>
    </row>
    <row r="96" spans="1:7" x14ac:dyDescent="0.2">
      <c r="A96" s="908" t="s">
        <v>459</v>
      </c>
      <c r="B96" s="908" t="s">
        <v>176</v>
      </c>
      <c r="C96" s="910">
        <f>'Revenues 9-14'!B84</f>
        <v>1811</v>
      </c>
      <c r="D96" s="911" t="str">
        <f>'Revenues 9-14'!A84</f>
        <v>Rentals - Regular Textbooks</v>
      </c>
      <c r="E96" s="906"/>
      <c r="F96" s="1789">
        <f>'Revenues 9-14'!C84</f>
        <v>16264</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3940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1998</v>
      </c>
      <c r="C105" s="913">
        <v>3100</v>
      </c>
      <c r="D105" s="919" t="str">
        <f>'Revenues 9-14'!A132</f>
        <v>Total Special Education</v>
      </c>
      <c r="E105" s="906"/>
      <c r="F105" s="1789">
        <f>SUM('Revenues 9-14'!C132:D132,'Revenues 9-14'!F132)</f>
        <v>239522</v>
      </c>
      <c r="G105" s="912"/>
    </row>
    <row r="106" spans="1:7" x14ac:dyDescent="0.2">
      <c r="A106" s="908" t="s">
        <v>673</v>
      </c>
      <c r="B106" s="908" t="s">
        <v>1999</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2000</v>
      </c>
      <c r="C107" s="920">
        <v>3300</v>
      </c>
      <c r="D107" s="911" t="str">
        <f>'Revenues 9-14'!A145</f>
        <v>Total Bilingual Ed</v>
      </c>
      <c r="E107" s="906"/>
      <c r="F107" s="1789">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89">
        <f>'Revenues 9-14'!C146</f>
        <v>21910</v>
      </c>
      <c r="G108" s="912"/>
    </row>
    <row r="109" spans="1:7" x14ac:dyDescent="0.2">
      <c r="A109" s="908" t="s">
        <v>673</v>
      </c>
      <c r="B109" s="908" t="s">
        <v>2002</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9">
        <f>SUM('Revenues 9-14'!C148,'Revenues 9-14'!D148)</f>
        <v>0</v>
      </c>
      <c r="G110" s="912"/>
    </row>
    <row r="111" spans="1:7" x14ac:dyDescent="0.2">
      <c r="A111" s="908" t="s">
        <v>668</v>
      </c>
      <c r="B111" s="908" t="s">
        <v>2004</v>
      </c>
      <c r="C111" s="922">
        <v>3500</v>
      </c>
      <c r="D111" s="911" t="str">
        <f>'Revenues 9-14'!A155</f>
        <v>Total Transportation</v>
      </c>
      <c r="E111" s="906"/>
      <c r="F111" s="1789">
        <f>SUM('Revenues 9-14'!C155,'Revenues 9-14'!D155,'Revenues 9-14'!F155,'Revenues 9-14'!G155)</f>
        <v>434044</v>
      </c>
      <c r="G111" s="912"/>
    </row>
    <row r="112" spans="1:7" x14ac:dyDescent="0.2">
      <c r="A112" s="908" t="s">
        <v>459</v>
      </c>
      <c r="B112" s="908" t="s">
        <v>2005</v>
      </c>
      <c r="C112" s="920">
        <f>'Revenues 9-14'!B156</f>
        <v>3610</v>
      </c>
      <c r="D112" s="911" t="str">
        <f>'Revenues 9-14'!A156</f>
        <v>Learning Improvement - Change Grants</v>
      </c>
      <c r="E112" s="906"/>
      <c r="F112" s="1789">
        <f>'Revenues 9-14'!C156</f>
        <v>0</v>
      </c>
      <c r="G112" s="912"/>
    </row>
    <row r="113" spans="1:7" x14ac:dyDescent="0.2">
      <c r="A113" s="908" t="s">
        <v>668</v>
      </c>
      <c r="B113" s="908" t="s">
        <v>2006</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907">
        <f>SUM('Revenues 9-14'!C163:G163)</f>
        <v>0</v>
      </c>
      <c r="G118" s="912"/>
    </row>
    <row r="119" spans="1:7" x14ac:dyDescent="0.2">
      <c r="A119" s="923" t="s">
        <v>504</v>
      </c>
      <c r="B119" s="923" t="s">
        <v>2012</v>
      </c>
      <c r="C119" s="924">
        <f>'Revenues 9-14'!B164</f>
        <v>3815</v>
      </c>
      <c r="D119" s="925" t="str">
        <f>'Revenues 9-14'!A164</f>
        <v>State Charter Schools</v>
      </c>
      <c r="E119" s="906"/>
      <c r="F119" s="1907">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89">
        <f>'Revenues 9-14'!D167</f>
        <v>0</v>
      </c>
      <c r="G120" s="930"/>
    </row>
    <row r="121" spans="1:7" x14ac:dyDescent="0.2">
      <c r="A121" s="927" t="s">
        <v>500</v>
      </c>
      <c r="B121" s="927" t="s">
        <v>2014</v>
      </c>
      <c r="C121" s="928">
        <f>'Revenues 9-14'!B168</f>
        <v>3999</v>
      </c>
      <c r="D121" s="929" t="s">
        <v>543</v>
      </c>
      <c r="E121" s="931"/>
      <c r="F121" s="1789">
        <f>SUM('Revenues 9-14'!C168:G168,'Revenues 9-14'!J168)</f>
        <v>54879</v>
      </c>
      <c r="G121" s="930"/>
    </row>
    <row r="122" spans="1:7" x14ac:dyDescent="0.2">
      <c r="A122" s="927" t="s">
        <v>459</v>
      </c>
      <c r="B122" s="927" t="s">
        <v>2015</v>
      </c>
      <c r="C122" s="932">
        <f>'Revenues 9-14'!B177</f>
        <v>4045</v>
      </c>
      <c r="D122" s="929" t="str">
        <f>'Revenues 9-14'!A177 &amp; " (Subtract)"</f>
        <v>Head Start (Subtract)</v>
      </c>
      <c r="E122" s="906"/>
      <c r="F122" s="1789">
        <f>SUM(-'Revenues 9-14'!C177)</f>
        <v>0</v>
      </c>
      <c r="G122" s="930"/>
    </row>
    <row r="123" spans="1:7" x14ac:dyDescent="0.2">
      <c r="A123" s="927" t="s">
        <v>668</v>
      </c>
      <c r="B123" s="927" t="s">
        <v>2016</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2017</v>
      </c>
      <c r="C124" s="932">
        <v>4100</v>
      </c>
      <c r="D124" s="933" t="str">
        <f>'Revenues 9-14'!A188</f>
        <v>Total Title V</v>
      </c>
      <c r="E124" s="906"/>
      <c r="F124" s="1789">
        <f>SUM('Revenues 9-14'!C188,'Revenues 9-14'!D188,'Revenues 9-14'!F188,'Revenues 9-14'!G188)</f>
        <v>0</v>
      </c>
      <c r="G124" s="930"/>
    </row>
    <row r="125" spans="1:7" x14ac:dyDescent="0.2">
      <c r="A125" s="927" t="s">
        <v>664</v>
      </c>
      <c r="B125" s="927" t="s">
        <v>2018</v>
      </c>
      <c r="C125" s="932">
        <v>4200</v>
      </c>
      <c r="D125" s="929" t="str">
        <f>'Revenues 9-14'!A198</f>
        <v>Total Food Service</v>
      </c>
      <c r="E125" s="906"/>
      <c r="F125" s="1789">
        <f>SUM('Revenues 9-14'!C198,'Revenues 9-14'!G198)</f>
        <v>1074527</v>
      </c>
      <c r="G125" s="930"/>
    </row>
    <row r="126" spans="1:7" x14ac:dyDescent="0.2">
      <c r="A126" s="927" t="s">
        <v>668</v>
      </c>
      <c r="B126" s="927" t="s">
        <v>2019</v>
      </c>
      <c r="C126" s="932">
        <v>4300</v>
      </c>
      <c r="D126" s="933" t="str">
        <f>'Revenues 9-14'!A204</f>
        <v>Total Title I</v>
      </c>
      <c r="E126" s="906"/>
      <c r="F126" s="1789">
        <f>SUM('Revenues 9-14'!C204,'Revenues 9-14'!D204,'Revenues 9-14'!F204,'Revenues 9-14'!G204)</f>
        <v>1078274</v>
      </c>
      <c r="G126" s="930"/>
    </row>
    <row r="127" spans="1:7" x14ac:dyDescent="0.2">
      <c r="A127" s="927" t="s">
        <v>668</v>
      </c>
      <c r="B127" s="927" t="s">
        <v>2020</v>
      </c>
      <c r="C127" s="932">
        <v>4400</v>
      </c>
      <c r="D127" s="933" t="str">
        <f>'Revenues 9-14'!A209</f>
        <v>Total Title IV</v>
      </c>
      <c r="E127" s="906"/>
      <c r="F127" s="1789">
        <f>SUM('Revenues 9-14'!C209,'Revenues 9-14'!D209,'Revenues 9-14'!F209,'Revenues 9-14'!G209)</f>
        <v>8809</v>
      </c>
      <c r="G127" s="930"/>
    </row>
    <row r="128" spans="1:7" x14ac:dyDescent="0.2">
      <c r="A128" s="927" t="s">
        <v>668</v>
      </c>
      <c r="B128" s="927" t="s">
        <v>2021</v>
      </c>
      <c r="C128" s="932">
        <f>'Revenues 9-14'!B213</f>
        <v>4620</v>
      </c>
      <c r="D128" s="933" t="str">
        <f>'Revenues 9-14'!A213</f>
        <v>Fed - Spec Education - IDEA - Flow Through</v>
      </c>
      <c r="E128" s="906"/>
      <c r="F128" s="1789">
        <f>SUM('Revenues 9-14'!C213:D213,'Revenues 9-14'!F213:G213)</f>
        <v>560365</v>
      </c>
      <c r="G128" s="930"/>
    </row>
    <row r="129" spans="1:7" x14ac:dyDescent="0.2">
      <c r="A129" s="927" t="s">
        <v>668</v>
      </c>
      <c r="B129" s="927" t="s">
        <v>2022</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2023</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2024</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9">
        <v>0</v>
      </c>
      <c r="G138" s="905"/>
    </row>
    <row r="139" spans="1:7" s="867" customFormat="1" hidden="1" x14ac:dyDescent="0.2">
      <c r="A139" s="934" t="s">
        <v>206</v>
      </c>
      <c r="B139" s="934" t="s">
        <v>2031</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9">
        <f>SUM('Revenues 9-14'!C240:G240,'Revenues 9-14'!J240)</f>
        <v>562274</v>
      </c>
      <c r="G146" s="905"/>
    </row>
    <row r="147" spans="1:7" s="867" customFormat="1" hidden="1" x14ac:dyDescent="0.2">
      <c r="A147" s="934" t="s">
        <v>206</v>
      </c>
      <c r="B147" s="934" t="s">
        <v>2036</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2039</v>
      </c>
      <c r="C157" s="940" t="s">
        <v>841</v>
      </c>
      <c r="D157" s="941" t="s">
        <v>777</v>
      </c>
      <c r="E157" s="942"/>
      <c r="F157" s="1789">
        <f>SUM(F133:F156)</f>
        <v>562274</v>
      </c>
      <c r="G157" s="905"/>
    </row>
    <row r="158" spans="1:7" s="867" customFormat="1" x14ac:dyDescent="0.2">
      <c r="A158" s="938" t="s">
        <v>459</v>
      </c>
      <c r="B158" s="939" t="s">
        <v>2040</v>
      </c>
      <c r="C158" s="940" t="s">
        <v>1427</v>
      </c>
      <c r="D158" s="941" t="s">
        <v>1428</v>
      </c>
      <c r="E158" s="942"/>
      <c r="F158" s="1789">
        <f>SUM('Revenues 9-14'!C253)</f>
        <v>0</v>
      </c>
      <c r="G158" s="905"/>
    </row>
    <row r="159" spans="1:7" s="867" customFormat="1" x14ac:dyDescent="0.2">
      <c r="A159" s="938" t="s">
        <v>500</v>
      </c>
      <c r="B159" s="939" t="s">
        <v>2041</v>
      </c>
      <c r="C159" s="940" t="s">
        <v>1466</v>
      </c>
      <c r="D159" s="941" t="s">
        <v>1467</v>
      </c>
      <c r="E159" s="942"/>
      <c r="F159" s="1789">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89">
        <f>SUM('Revenues 9-14'!C256,'Revenues 9-14'!F256,'Revenues 9-14'!G256)</f>
        <v>39038</v>
      </c>
      <c r="G161" s="943"/>
    </row>
    <row r="162" spans="1:7" x14ac:dyDescent="0.2">
      <c r="A162" s="927" t="s">
        <v>668</v>
      </c>
      <c r="B162" s="927" t="s">
        <v>2044</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2046</v>
      </c>
      <c r="C164" s="932">
        <f>'Revenues 9-14'!B259</f>
        <v>4932</v>
      </c>
      <c r="D164" s="933" t="str">
        <f>'Revenues 9-14'!A259</f>
        <v>Title II - Teacher Quality</v>
      </c>
      <c r="E164" s="906"/>
      <c r="F164" s="1907">
        <f>SUM('Revenues 9-14'!C259,'Revenues 9-14'!D259,'Revenues 9-14'!F259,'Revenues 9-14'!G259)</f>
        <v>10280</v>
      </c>
      <c r="G164" s="930"/>
    </row>
    <row r="165" spans="1:7" x14ac:dyDescent="0.2">
      <c r="A165" s="927" t="s">
        <v>668</v>
      </c>
      <c r="B165" s="927" t="s">
        <v>2047</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89">
        <f>SUM('Revenues 9-14'!C263:D263,'Revenues 9-14'!F263:G263)</f>
        <v>48472</v>
      </c>
      <c r="G168" s="947">
        <v>6320</v>
      </c>
    </row>
    <row r="169" spans="1:7" x14ac:dyDescent="0.2">
      <c r="A169" s="927" t="s">
        <v>668</v>
      </c>
      <c r="B169" s="927" t="s">
        <v>2049</v>
      </c>
      <c r="C169" s="932">
        <f>'Revenues 9-14'!B264</f>
        <v>4992</v>
      </c>
      <c r="D169" s="933" t="str">
        <f>'Revenues 9-14'!A264</f>
        <v>Medicaid Matching Funds - Fee-for-Service Program</v>
      </c>
      <c r="E169" s="906"/>
      <c r="F169" s="1789">
        <f>SUM('Revenues 9-14'!C264:D264,'Revenues 9-14'!F264:G264)</f>
        <v>89317</v>
      </c>
      <c r="G169" s="947"/>
    </row>
    <row r="170" spans="1:7" x14ac:dyDescent="0.2">
      <c r="A170" s="948" t="s">
        <v>668</v>
      </c>
      <c r="B170" s="944" t="s">
        <v>2050</v>
      </c>
      <c r="C170" s="945">
        <f>'Revenues 9-14'!B265</f>
        <v>4999</v>
      </c>
      <c r="D170" s="946" t="str">
        <f>'Revenues 9-14'!A265</f>
        <v>Other Restricted Revenue from Federal Sources (Describe &amp; Itemize)</v>
      </c>
      <c r="E170" s="906"/>
      <c r="F170" s="1789">
        <f>SUM('Revenues 9-14'!C265:D265,'Revenues 9-14'!F265:G265)</f>
        <v>56593</v>
      </c>
      <c r="G170" s="927"/>
    </row>
    <row r="171" spans="1:7" x14ac:dyDescent="0.2">
      <c r="A171" s="1918" t="s">
        <v>5</v>
      </c>
      <c r="B171" s="1919" t="s">
        <v>1916</v>
      </c>
      <c r="C171" s="1920">
        <v>3100</v>
      </c>
      <c r="D171" s="1921" t="s">
        <v>1918</v>
      </c>
      <c r="E171" s="906"/>
      <c r="F171" s="1906"/>
      <c r="G171" s="927"/>
    </row>
    <row r="172" spans="1:7" x14ac:dyDescent="0.2">
      <c r="A172" s="1918" t="s">
        <v>664</v>
      </c>
      <c r="B172" s="1919" t="s">
        <v>1916</v>
      </c>
      <c r="C172" s="1920">
        <v>3300</v>
      </c>
      <c r="D172" s="1921" t="s">
        <v>1919</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2051</v>
      </c>
      <c r="E174" s="1787" t="s">
        <v>958</v>
      </c>
      <c r="F174" s="1788">
        <f>SUM(F84:F132,F157:F172)</f>
        <v>4317349</v>
      </c>
    </row>
    <row r="175" spans="1:7" ht="12" customHeight="1" x14ac:dyDescent="0.2">
      <c r="A175" s="1770"/>
      <c r="B175" s="1784"/>
      <c r="C175" s="1785"/>
      <c r="D175" s="1786" t="s">
        <v>2052</v>
      </c>
      <c r="E175" s="1787"/>
      <c r="F175" s="1789">
        <f>'PCTC-OEPP 27-28'!F77-F174</f>
        <v>15877596</v>
      </c>
    </row>
    <row r="176" spans="1:7" ht="12" customHeight="1" x14ac:dyDescent="0.2">
      <c r="A176" s="1770"/>
      <c r="B176" s="1784"/>
      <c r="C176" s="1785"/>
      <c r="D176" s="1786" t="s">
        <v>1814</v>
      </c>
      <c r="E176" s="1787"/>
      <c r="F176" s="1789">
        <f>'Cap Outlay Deprec 26'!I18</f>
        <v>1798779</v>
      </c>
    </row>
    <row r="177" spans="1:7" ht="12" customHeight="1" x14ac:dyDescent="0.2">
      <c r="A177" s="1770"/>
      <c r="B177" s="1784"/>
      <c r="C177" s="1785"/>
      <c r="D177" s="1786" t="s">
        <v>2053</v>
      </c>
      <c r="E177" s="1787"/>
      <c r="F177" s="1789">
        <f>F175+F176</f>
        <v>17676375</v>
      </c>
    </row>
    <row r="178" spans="1:7" ht="12" customHeight="1" x14ac:dyDescent="0.2">
      <c r="A178" s="1770"/>
      <c r="B178" s="1790"/>
      <c r="C178" s="1785"/>
      <c r="D178" s="1786" t="str">
        <f>D78</f>
        <v>9 Month ADA from District Average Daily Attendance/Prior General State Aid Inquiry 2018-2019</v>
      </c>
      <c r="E178" s="1787"/>
      <c r="F178" s="1791">
        <f>'PCTC-OEPP 27-28'!F78</f>
        <v>1539.4</v>
      </c>
      <c r="G178" s="930"/>
    </row>
    <row r="179" spans="1:7" ht="12" customHeight="1" thickBot="1" x14ac:dyDescent="0.25">
      <c r="A179" s="1770"/>
      <c r="B179" s="1790"/>
      <c r="C179" s="1785"/>
      <c r="D179" s="1786" t="s">
        <v>2054</v>
      </c>
      <c r="E179" s="1787" t="s">
        <v>1545</v>
      </c>
      <c r="F179" s="1792">
        <f>F177/F178</f>
        <v>11482.639340002597</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1989</v>
      </c>
      <c r="B182" s="1923"/>
      <c r="C182" s="1924"/>
      <c r="D182" s="1923"/>
      <c r="E182" s="1924"/>
      <c r="F182" s="1923"/>
      <c r="G182" s="1923"/>
    </row>
    <row r="183" spans="1:7" s="1922" customFormat="1" ht="12.2" customHeight="1" x14ac:dyDescent="0.2">
      <c r="A183" s="1925" t="s">
        <v>1991</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topLeftCell="A7" zoomScaleNormal="100" workbookViewId="0"/>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1829</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2" t="s">
        <v>1815</v>
      </c>
      <c r="B4" s="2273"/>
      <c r="C4" s="2273"/>
      <c r="D4" s="2273"/>
      <c r="E4" s="2273"/>
      <c r="F4" s="2273"/>
      <c r="G4" s="2274"/>
    </row>
    <row r="5" spans="1:7" x14ac:dyDescent="0.25">
      <c r="A5" s="2275"/>
      <c r="B5" s="2276"/>
      <c r="C5" s="2276"/>
      <c r="D5" s="2276"/>
      <c r="E5" s="2276"/>
      <c r="F5" s="2276"/>
      <c r="G5" s="2277"/>
    </row>
    <row r="6" spans="1:7" ht="18.75" x14ac:dyDescent="0.25">
      <c r="A6" s="1938" t="s">
        <v>2061</v>
      </c>
      <c r="B6" s="1939"/>
      <c r="C6" s="1939"/>
      <c r="D6" s="1939"/>
      <c r="E6" s="1939"/>
      <c r="F6" s="1939"/>
      <c r="G6" s="1940"/>
    </row>
    <row r="7" spans="1:7" ht="18.75" x14ac:dyDescent="0.25">
      <c r="A7" s="1534" t="s">
        <v>1816</v>
      </c>
      <c r="B7" s="1535"/>
      <c r="C7" s="1535"/>
      <c r="D7" s="1535"/>
      <c r="E7" s="1535"/>
      <c r="F7" s="1535"/>
      <c r="G7" s="1536"/>
    </row>
    <row r="8" spans="1:7" ht="30.75" customHeight="1" x14ac:dyDescent="0.25">
      <c r="A8" s="2278" t="s">
        <v>1928</v>
      </c>
      <c r="B8" s="2279"/>
      <c r="C8" s="2279"/>
      <c r="D8" s="2279"/>
      <c r="E8" s="2279"/>
      <c r="F8" s="2279"/>
      <c r="G8" s="2280"/>
    </row>
    <row r="9" spans="1:7" ht="15.75" customHeight="1" x14ac:dyDescent="0.25">
      <c r="A9" s="2281" t="s">
        <v>1903</v>
      </c>
      <c r="B9" s="2282"/>
      <c r="C9" s="2282"/>
      <c r="D9" s="2282"/>
      <c r="E9" s="2282"/>
      <c r="F9" s="2282"/>
      <c r="G9" s="2283"/>
    </row>
    <row r="10" spans="1:7" ht="35.25" customHeight="1" x14ac:dyDescent="0.25">
      <c r="A10" s="2278" t="s">
        <v>2060</v>
      </c>
      <c r="B10" s="2279"/>
      <c r="C10" s="2279"/>
      <c r="D10" s="2279"/>
      <c r="E10" s="2279"/>
      <c r="F10" s="2279"/>
      <c r="G10" s="2280"/>
    </row>
    <row r="11" spans="1:7" ht="15" customHeight="1" x14ac:dyDescent="0.25">
      <c r="A11" s="1537" t="s">
        <v>1817</v>
      </c>
      <c r="B11" s="1538"/>
      <c r="C11" s="1538"/>
      <c r="D11" s="1538"/>
      <c r="E11" s="1538"/>
      <c r="F11" s="1538"/>
      <c r="G11" s="1539"/>
    </row>
    <row r="12" spans="1:7" ht="17.25" customHeight="1" x14ac:dyDescent="0.25">
      <c r="A12" s="2278" t="s">
        <v>1930</v>
      </c>
      <c r="B12" s="2279"/>
      <c r="C12" s="2279"/>
      <c r="D12" s="2279"/>
      <c r="E12" s="2279"/>
      <c r="F12" s="2279"/>
      <c r="G12" s="2280"/>
    </row>
    <row r="13" spans="1:7" ht="15" customHeight="1" x14ac:dyDescent="0.25">
      <c r="A13" s="1537" t="s">
        <v>1822</v>
      </c>
      <c r="B13" s="1538"/>
      <c r="C13" s="1538"/>
      <c r="D13" s="1538"/>
      <c r="E13" s="1538"/>
      <c r="F13" s="1538"/>
      <c r="G13" s="1539"/>
    </row>
    <row r="14" spans="1:7" ht="32.25" customHeight="1" x14ac:dyDescent="0.25">
      <c r="A14" s="2269" t="s">
        <v>1971</v>
      </c>
      <c r="B14" s="2270"/>
      <c r="C14" s="2270"/>
      <c r="D14" s="2270"/>
      <c r="E14" s="2270"/>
      <c r="F14" s="2270"/>
      <c r="G14" s="2271"/>
    </row>
    <row r="15" spans="1:7" x14ac:dyDescent="0.25">
      <c r="A15" s="1661" t="s">
        <v>1830</v>
      </c>
      <c r="B15" s="1662"/>
      <c r="C15" s="1662"/>
      <c r="D15" s="1662"/>
      <c r="E15" s="1662"/>
      <c r="F15" s="1662"/>
      <c r="G15" s="1663"/>
    </row>
    <row r="16" spans="1:7" ht="61.5" customHeight="1" x14ac:dyDescent="0.25">
      <c r="A16" s="1546" t="s">
        <v>1823</v>
      </c>
      <c r="B16" s="1546" t="s">
        <v>1824</v>
      </c>
      <c r="C16" s="1546" t="s">
        <v>1825</v>
      </c>
      <c r="D16" s="1547" t="s">
        <v>1826</v>
      </c>
      <c r="E16" s="1547" t="s">
        <v>1818</v>
      </c>
      <c r="F16" s="1547" t="s">
        <v>1827</v>
      </c>
      <c r="G16" s="1547" t="s">
        <v>1828</v>
      </c>
    </row>
    <row r="17" spans="1:8" x14ac:dyDescent="0.25">
      <c r="A17" s="1648" t="s">
        <v>1831</v>
      </c>
      <c r="B17" s="1649" t="s">
        <v>1821</v>
      </c>
      <c r="C17" s="1650" t="s">
        <v>1819</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2085</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420368</v>
      </c>
      <c r="F10" s="974"/>
      <c r="G10" s="975"/>
      <c r="H10" s="162"/>
      <c r="I10" s="162"/>
    </row>
    <row r="11" spans="1:9" s="668" customFormat="1" ht="22.5" customHeight="1" x14ac:dyDescent="0.2">
      <c r="A11" s="2289" t="s">
        <v>1972</v>
      </c>
      <c r="B11" s="2290"/>
      <c r="C11" s="2290"/>
      <c r="D11" s="2291"/>
      <c r="E11" s="977">
        <v>77904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10760498</v>
      </c>
      <c r="F19" s="1799"/>
      <c r="G19" s="1801">
        <f>'Expenditures 15-22'!K33-SUM('Expenditures 15-22'!G33,'Expenditures 15-22'!I33)+'Expenditures 15-22'!D229</f>
        <v>10760498</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1489406</v>
      </c>
      <c r="F21" s="1802"/>
      <c r="G21" s="1805">
        <f>'Expenditures 15-22'!K42-SUM('Expenditures 15-22'!G42,'Expenditures 15-22'!I42)+'Expenditures 15-22'!K120-SUM('Expenditures 15-22'!G120,'Expenditures 15-22'!I120)+'Expenditures 15-22'!K180-SUM('Expenditures 15-22'!G180,'Expenditures 15-22'!I180)+'Expenditures 15-22'!D238</f>
        <v>1489406</v>
      </c>
      <c r="H21" s="987"/>
      <c r="I21" s="162"/>
    </row>
    <row r="22" spans="1:9" s="668" customFormat="1" ht="12" customHeight="1" x14ac:dyDescent="0.2">
      <c r="A22" s="994" t="s">
        <v>564</v>
      </c>
      <c r="B22" s="995"/>
      <c r="C22" s="993">
        <v>2200</v>
      </c>
      <c r="D22" s="1802"/>
      <c r="E22" s="1804">
        <f>'Expenditures 15-22'!K47-SUM('Expenditures 15-22'!G47,'Expenditures 15-22'!I47)+'Expenditures 15-22'!D243</f>
        <v>1075759</v>
      </c>
      <c r="F22" s="1802"/>
      <c r="G22" s="1805">
        <f>'Expenditures 15-22'!K47-SUM('Expenditures 15-22'!G47,'Expenditures 15-22'!I47)+'Expenditures 15-22'!D243</f>
        <v>1075759</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1257367</v>
      </c>
      <c r="F23" s="1802"/>
      <c r="G23" s="1804">
        <f>'Expenditures 15-22'!K53-SUM('Expenditures 15-22'!G53,'Expenditures 15-22'!I53)+'Expenditures 15-22'!D257+'Expenditures 15-22'!K330-SUM('Expenditures 15-22'!G330,'Expenditures 15-22'!I330)</f>
        <v>1257367</v>
      </c>
      <c r="H23" s="987"/>
      <c r="I23" s="162"/>
    </row>
    <row r="24" spans="1:9" s="668" customFormat="1" ht="12" customHeight="1" x14ac:dyDescent="0.2">
      <c r="A24" s="994" t="s">
        <v>566</v>
      </c>
      <c r="B24" s="995"/>
      <c r="C24" s="993">
        <v>2400</v>
      </c>
      <c r="D24" s="1802"/>
      <c r="E24" s="1804">
        <f>'Expenditures 15-22'!K57-SUM('Expenditures 15-22'!G57,'Expenditures 15-22'!I57)+'Expenditures 15-22'!D261</f>
        <v>1460584</v>
      </c>
      <c r="F24" s="1802"/>
      <c r="G24" s="1805">
        <f>'Expenditures 15-22'!K57-SUM('Expenditures 15-22'!G57,'Expenditures 15-22'!I57)+'Expenditures 15-22'!D261</f>
        <v>1460584</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236181</v>
      </c>
      <c r="E27" s="1804">
        <f>E8</f>
        <v>0</v>
      </c>
      <c r="F27" s="1804">
        <f>'Expenditures 15-22'!K60-SUM('Expenditures 15-22'!G60,'Expenditures 15-22'!I60)+'Expenditures 15-22'!D264-E8</f>
        <v>236181</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1418557</v>
      </c>
      <c r="F28" s="1806">
        <f>'Expenditures 15-22'!K61-SUM('Expenditures 15-22'!G61,'Expenditures 15-22'!I61)+'Expenditures 15-22'!K124-SUM('Expenditures 15-22'!G124,'Expenditures 15-22'!I124)+'Expenditures 15-22'!D266-E9</f>
        <v>1418557</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868664</v>
      </c>
      <c r="F29" s="1802"/>
      <c r="G29" s="1805">
        <f>'Expenditures 15-22'!K62-SUM('Expenditures 15-22'!G62,'Expenditures 15-22'!I62)+'Expenditures 15-22'!K125-SUM('Expenditures 15-22'!G125,'Expenditures 15-22'!I125)+'Expenditures 15-22'!K182-SUM('Expenditures 15-22'!G182,'Expenditures 15-22'!I182)+'Expenditures 15-22'!D267</f>
        <v>868664</v>
      </c>
      <c r="H29" s="985"/>
    </row>
    <row r="30" spans="1:9" ht="12" customHeight="1" x14ac:dyDescent="0.2">
      <c r="A30" s="994" t="s">
        <v>100</v>
      </c>
      <c r="B30" s="997"/>
      <c r="C30" s="993">
        <v>2560</v>
      </c>
      <c r="D30" s="1802"/>
      <c r="E30" s="1804">
        <f>'Expenditures 15-22'!K63-SUM('Expenditures 15-22'!G63,'Expenditures 15-22'!I63)+'Expenditures 15-22'!D268-E10</f>
        <v>386886</v>
      </c>
      <c r="F30" s="1802"/>
      <c r="G30" s="1804">
        <f>'Expenditures 15-22'!K63-SUM('Expenditures 15-22'!G63,'Expenditures 15-22'!I63)+'Expenditures 15-22'!D268-E10</f>
        <v>386886</v>
      </c>
    </row>
    <row r="31" spans="1:9" ht="12" customHeight="1" x14ac:dyDescent="0.2">
      <c r="A31" s="994" t="s">
        <v>101</v>
      </c>
      <c r="B31" s="997"/>
      <c r="C31" s="993">
        <v>2570</v>
      </c>
      <c r="D31" s="1804">
        <f>'Expenditures 15-22'!K64-SUM('Expenditures 15-22'!G64,'Expenditures 15-22'!I64)+'Expenditures 15-22'!D269-E12</f>
        <v>67118</v>
      </c>
      <c r="E31" s="1804">
        <f>E12</f>
        <v>0</v>
      </c>
      <c r="F31" s="1804">
        <f>'Expenditures 15-22'!K64-SUM('Expenditures 15-22'!G64,'Expenditures 15-22'!I64)+'Expenditures 15-22'!D269-E12</f>
        <v>67118</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12535</v>
      </c>
      <c r="F34" s="1802"/>
      <c r="G34" s="1804">
        <f>'Expenditures 15-22'!K68-SUM('Expenditures 15-22'!G68,'Expenditures 15-22'!I68)+'Expenditures 15-22'!D273</f>
        <v>12535</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50254</v>
      </c>
      <c r="E36" s="1804">
        <f>E13</f>
        <v>0</v>
      </c>
      <c r="F36" s="1804">
        <f>'Expenditures 15-22'!K70-SUM('Expenditures 15-22'!G70,'Expenditures 15-22'!I70)+'Expenditures 15-22'!D275-E13</f>
        <v>50254</v>
      </c>
      <c r="G36" s="1804">
        <f>E13</f>
        <v>0</v>
      </c>
    </row>
    <row r="37" spans="1:7" ht="12" customHeight="1" x14ac:dyDescent="0.2">
      <c r="A37" s="994" t="s">
        <v>404</v>
      </c>
      <c r="B37" s="997"/>
      <c r="C37" s="993">
        <v>2660</v>
      </c>
      <c r="D37" s="1804">
        <f>'Expenditures 15-22'!K71-SUM('Expenditures 15-22'!G71,'Expenditures 15-22'!I71)+'Expenditures 15-22'!D276-E14</f>
        <v>141549</v>
      </c>
      <c r="E37" s="1804">
        <f>E14</f>
        <v>0</v>
      </c>
      <c r="F37" s="1804">
        <f>'Expenditures 15-22'!K71-SUM('Expenditures 15-22'!G71,'Expenditures 15-22'!I71)+'Expenditures 15-22'!D276-E14</f>
        <v>141549</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18080</v>
      </c>
      <c r="F38" s="1802"/>
      <c r="G38" s="1804">
        <f>'Expenditures 15-22'!K73-SUM('Expenditures 15-22'!G73,'Expenditures 15-22'!I73)+'Expenditures 15-22'!K128-SUM('Expenditures 15-22'!G128,'Expenditures 15-22'!I128)+'Expenditures 15-22'!K183-SUM('Expenditures 15-22'!G183,'Expenditures 15-22'!I183)+'Expenditures 15-22'!D278</f>
        <v>18080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193053</v>
      </c>
      <c r="F39" s="1802"/>
      <c r="G39" s="1804">
        <f>'Expenditures 15-22'!K75-SUM('Expenditures 15-22'!G75,'Expenditures 15-22'!I75)+'Expenditures 15-22'!K130-SUM('Expenditures 15-22'!G130,'Expenditures 15-22'!I130)+'Expenditures 15-22'!K185-SUM('Expenditures 15-22'!G185,'Expenditures 15-22'!I185)+'Expenditures 15-22'!D280</f>
        <v>193053</v>
      </c>
    </row>
    <row r="40" spans="1:7" ht="12" customHeight="1" x14ac:dyDescent="0.2">
      <c r="A40" s="990" t="s">
        <v>1820</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495102</v>
      </c>
      <c r="E41" s="1806">
        <f>SUM(E19:E40)</f>
        <v>18941389</v>
      </c>
      <c r="F41" s="1806">
        <f>SUM(F19:F39)</f>
        <v>1913659</v>
      </c>
      <c r="G41" s="1806">
        <f>SUM(G19:G40)</f>
        <v>17522832</v>
      </c>
    </row>
    <row r="42" spans="1:7" x14ac:dyDescent="0.2">
      <c r="A42" s="987"/>
      <c r="B42" s="162"/>
      <c r="C42" s="1001"/>
      <c r="D42" s="2287" t="s">
        <v>522</v>
      </c>
      <c r="E42" s="2288"/>
      <c r="F42" s="1002" t="s">
        <v>523</v>
      </c>
      <c r="G42" s="1003"/>
    </row>
    <row r="43" spans="1:7" ht="12" customHeight="1" x14ac:dyDescent="0.2">
      <c r="A43" s="987"/>
      <c r="B43" s="162"/>
      <c r="C43" s="1001"/>
      <c r="D43" s="1807" t="s">
        <v>473</v>
      </c>
      <c r="E43" s="1808">
        <f>D41</f>
        <v>495102</v>
      </c>
      <c r="F43" s="1807" t="s">
        <v>473</v>
      </c>
      <c r="G43" s="1808">
        <f>F41</f>
        <v>1913659</v>
      </c>
    </row>
    <row r="44" spans="1:7" ht="12" customHeight="1" x14ac:dyDescent="0.2">
      <c r="A44" s="987"/>
      <c r="B44" s="162"/>
      <c r="C44" s="1001"/>
      <c r="D44" s="1807" t="s">
        <v>474</v>
      </c>
      <c r="E44" s="1808">
        <f>E41</f>
        <v>18941389</v>
      </c>
      <c r="F44" s="1807" t="s">
        <v>474</v>
      </c>
      <c r="G44" s="1808">
        <f>G41</f>
        <v>17522832</v>
      </c>
    </row>
    <row r="45" spans="1:7" ht="12" customHeight="1" x14ac:dyDescent="0.2">
      <c r="A45" s="987"/>
      <c r="B45" s="162"/>
      <c r="C45" s="162"/>
      <c r="D45" s="1809" t="s">
        <v>1006</v>
      </c>
      <c r="E45" s="1810">
        <f>(E43/E44)</f>
        <v>2.6138632177397338E-2</v>
      </c>
      <c r="F45" s="1809" t="s">
        <v>1006</v>
      </c>
      <c r="G45" s="1810">
        <f>(G43/G44)</f>
        <v>0.10920945883633422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5" t="s">
        <v>1379</v>
      </c>
      <c r="B1" s="2295"/>
      <c r="C1" s="2295"/>
      <c r="D1" s="2295"/>
      <c r="E1" s="2295"/>
      <c r="F1" s="2295"/>
    </row>
    <row r="2" spans="1:10" x14ac:dyDescent="0.2">
      <c r="A2" s="1887" t="s">
        <v>1908</v>
      </c>
      <c r="B2" s="1848"/>
      <c r="C2" s="1887"/>
      <c r="D2" s="1848"/>
      <c r="E2" s="1848"/>
      <c r="F2" s="1849"/>
    </row>
    <row r="3" spans="1:10" x14ac:dyDescent="0.2">
      <c r="A3" s="1887" t="s">
        <v>1973</v>
      </c>
      <c r="B3" s="1848"/>
      <c r="C3" s="1887"/>
      <c r="D3" s="1848"/>
      <c r="E3" s="1848"/>
      <c r="F3" s="1849"/>
    </row>
    <row r="4" spans="1:10" ht="3.75" customHeight="1" x14ac:dyDescent="0.2">
      <c r="A4" s="1848"/>
      <c r="B4" s="1848"/>
      <c r="C4" s="1848"/>
      <c r="D4" s="1848"/>
      <c r="E4" s="1848"/>
      <c r="F4" s="1849"/>
    </row>
    <row r="5" spans="1:10" ht="15" x14ac:dyDescent="0.25">
      <c r="A5" s="2296" t="s">
        <v>1546</v>
      </c>
      <c r="B5" s="2297"/>
      <c r="C5" s="2298"/>
      <c r="D5" s="2298"/>
      <c r="E5" s="2298"/>
      <c r="F5" s="2298"/>
    </row>
    <row r="6" spans="1:10" ht="12" customHeight="1" x14ac:dyDescent="0.25">
      <c r="A6" s="1850"/>
      <c r="B6" s="1851"/>
      <c r="C6" s="2299" t="str">
        <f>COVER!A17</f>
        <v>Rantoul City SD 137</v>
      </c>
      <c r="D6" s="2299"/>
      <c r="E6" s="2299"/>
      <c r="F6" s="1852"/>
    </row>
    <row r="7" spans="1:10" ht="11.25" customHeight="1" thickBot="1" x14ac:dyDescent="0.3">
      <c r="A7" s="1850"/>
      <c r="B7" s="1851"/>
      <c r="C7" s="2300">
        <f>COVER!A13</f>
        <v>9010137002</v>
      </c>
      <c r="D7" s="2300"/>
      <c r="E7" s="2300"/>
      <c r="F7" s="1852"/>
    </row>
    <row r="8" spans="1:10" ht="25.5" customHeight="1" thickBot="1" x14ac:dyDescent="0.25">
      <c r="A8" s="1893" t="s">
        <v>1904</v>
      </c>
      <c r="B8" s="1853" t="s">
        <v>2070</v>
      </c>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0</v>
      </c>
      <c r="I34" s="1878">
        <f>SUM(I11:I32)</f>
        <v>0</v>
      </c>
      <c r="J34" s="1878">
        <f>SUM(J11:J32)</f>
        <v>0</v>
      </c>
      <c r="K34" s="1878">
        <f>SUM(H34:J34)</f>
        <v>0</v>
      </c>
    </row>
    <row r="35" spans="1:11" ht="12" customHeight="1" x14ac:dyDescent="0.2">
      <c r="A35" s="1871" t="s">
        <v>1392</v>
      </c>
      <c r="B35" s="1872"/>
      <c r="C35" s="2301"/>
      <c r="D35" s="2301"/>
      <c r="E35" s="2301"/>
      <c r="F35" s="2302"/>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306"/>
      <c r="B38" s="2307"/>
      <c r="C38" s="2307"/>
      <c r="D38" s="2307"/>
      <c r="E38" s="2307"/>
      <c r="F38" s="2308"/>
    </row>
    <row r="39" spans="1:11" ht="4.5" hidden="1" customHeight="1" x14ac:dyDescent="0.2">
      <c r="A39" s="1873"/>
      <c r="B39" s="1873"/>
      <c r="C39" s="1873"/>
      <c r="D39" s="1873"/>
      <c r="E39" s="1873"/>
      <c r="F39" s="1873"/>
    </row>
    <row r="40" spans="1:11" s="1870" customFormat="1" ht="12" customHeight="1" x14ac:dyDescent="0.25">
      <c r="A40" s="1874" t="s">
        <v>1391</v>
      </c>
      <c r="B40" s="1875"/>
      <c r="C40" s="2309"/>
      <c r="D40" s="2309"/>
      <c r="E40" s="2309"/>
      <c r="F40" s="2310"/>
      <c r="H40" s="1879"/>
      <c r="I40" s="1879"/>
      <c r="J40" s="1879"/>
      <c r="K40" s="1879"/>
    </row>
    <row r="41" spans="1:11" s="1870" customFormat="1" ht="12" customHeight="1" x14ac:dyDescent="0.25">
      <c r="A41" s="2311"/>
      <c r="B41" s="2312"/>
      <c r="C41" s="2312"/>
      <c r="D41" s="2312"/>
      <c r="E41" s="2312"/>
      <c r="F41" s="2313"/>
      <c r="H41" s="1879"/>
      <c r="I41" s="1879"/>
      <c r="J41" s="1879"/>
      <c r="K41" s="1879"/>
    </row>
    <row r="42" spans="1:11" s="1870" customFormat="1" ht="12" customHeight="1" x14ac:dyDescent="0.25">
      <c r="A42" s="2311"/>
      <c r="B42" s="2312"/>
      <c r="C42" s="2312"/>
      <c r="D42" s="2312"/>
      <c r="E42" s="2312"/>
      <c r="F42" s="2313"/>
      <c r="H42" s="1879"/>
      <c r="I42" s="1879"/>
      <c r="J42" s="1879"/>
      <c r="K42" s="1879"/>
    </row>
    <row r="43" spans="1:11" s="1870" customFormat="1" ht="15" x14ac:dyDescent="0.25">
      <c r="A43" s="2303"/>
      <c r="B43" s="2304"/>
      <c r="C43" s="2304"/>
      <c r="D43" s="2304"/>
      <c r="E43" s="2304"/>
      <c r="F43" s="2305"/>
      <c r="H43" s="1879"/>
      <c r="I43" s="1879"/>
      <c r="J43" s="1879"/>
      <c r="K43" s="1879"/>
    </row>
    <row r="44" spans="1:11" s="1870" customFormat="1" ht="12" hidden="1" customHeight="1" x14ac:dyDescent="0.25">
      <c r="A44" s="2303"/>
      <c r="B44" s="2304"/>
      <c r="C44" s="2304"/>
      <c r="D44" s="2304"/>
      <c r="E44" s="2304"/>
      <c r="F44" s="2305"/>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9" t="str">
        <f>COVER!A17</f>
        <v>Rantoul City SD 137</v>
      </c>
      <c r="J6" s="2320"/>
      <c r="Q6" s="1664"/>
    </row>
    <row r="7" spans="1:17" x14ac:dyDescent="0.2">
      <c r="A7" s="2321" t="s">
        <v>869</v>
      </c>
      <c r="B7" s="2322"/>
      <c r="C7" s="2322"/>
      <c r="D7" s="2322"/>
      <c r="E7" s="2323"/>
      <c r="F7" s="1017"/>
      <c r="G7" s="1009"/>
      <c r="H7" s="1016" t="s">
        <v>372</v>
      </c>
      <c r="I7" s="2324">
        <f>COVER!A13</f>
        <v>9010137002</v>
      </c>
      <c r="J7" s="232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1974</v>
      </c>
      <c r="F9" s="1023"/>
      <c r="G9" s="1023"/>
      <c r="H9" s="1896"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467655</v>
      </c>
      <c r="F12" s="1039"/>
      <c r="G12" s="1811">
        <f t="shared" ref="G12:G18" si="0">SUM(E12:F12)</f>
        <v>467655</v>
      </c>
      <c r="H12" s="1040">
        <v>509762</v>
      </c>
      <c r="I12" s="1039"/>
      <c r="J12" s="1811">
        <f t="shared" ref="J12:J18" si="1">SUM(H12:I12)</f>
        <v>509762</v>
      </c>
    </row>
    <row r="13" spans="1:17" ht="15" customHeight="1" x14ac:dyDescent="0.2">
      <c r="A13" s="1035">
        <v>2</v>
      </c>
      <c r="B13" s="1036" t="s">
        <v>42</v>
      </c>
      <c r="C13" s="1037"/>
      <c r="D13" s="1038">
        <v>2330</v>
      </c>
      <c r="E13" s="1811">
        <f>'Expenditures 15-22'!K51</f>
        <v>367887</v>
      </c>
      <c r="F13" s="1039"/>
      <c r="G13" s="1811">
        <f t="shared" si="0"/>
        <v>367887</v>
      </c>
      <c r="H13" s="1040">
        <v>333032</v>
      </c>
      <c r="I13" s="1039"/>
      <c r="J13" s="1811">
        <f t="shared" si="1"/>
        <v>333032</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94789</v>
      </c>
      <c r="F16" s="1039"/>
      <c r="G16" s="1811">
        <f t="shared" si="0"/>
        <v>94789</v>
      </c>
      <c r="H16" s="1040">
        <v>108389</v>
      </c>
      <c r="I16" s="1039"/>
      <c r="J16" s="1811">
        <f t="shared" si="1"/>
        <v>108389</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8" t="s">
        <v>7</v>
      </c>
      <c r="C18" s="2329"/>
      <c r="D18" s="2330"/>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930331</v>
      </c>
      <c r="F19" s="1813">
        <f t="shared" si="2"/>
        <v>0</v>
      </c>
      <c r="G19" s="1813">
        <f t="shared" si="2"/>
        <v>930331</v>
      </c>
      <c r="H19" s="1813">
        <f t="shared" si="2"/>
        <v>951183</v>
      </c>
      <c r="I19" s="1813">
        <f t="shared" si="2"/>
        <v>0</v>
      </c>
      <c r="J19" s="1813">
        <f t="shared" si="2"/>
        <v>951183</v>
      </c>
    </row>
    <row r="20" spans="1:10" ht="13.5" thickTop="1" x14ac:dyDescent="0.2">
      <c r="A20" s="1035">
        <v>9</v>
      </c>
      <c r="B20" s="2331" t="s">
        <v>1976</v>
      </c>
      <c r="C20" s="2331"/>
      <c r="D20" s="2332"/>
      <c r="E20" s="1046"/>
      <c r="F20" s="1046"/>
      <c r="G20" s="1046"/>
      <c r="H20" s="1046"/>
      <c r="I20" s="1046"/>
      <c r="J20" s="1814">
        <f>IF(AND(G19&gt;0,J19&gt;0),(((J19-G19)/G19)),"Enter Budget Data")</f>
        <v>2.2413528088390047E-2</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1978</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3"/>
  <sheetViews>
    <sheetView showGridLines="0" topLeftCell="A47"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2086</v>
      </c>
    </row>
    <row r="6" spans="1:2" x14ac:dyDescent="0.2">
      <c r="A6" s="1068"/>
      <c r="B6" s="329" t="s">
        <v>2087</v>
      </c>
    </row>
    <row r="7" spans="1:2" x14ac:dyDescent="0.2">
      <c r="A7" s="1068"/>
      <c r="B7" s="329" t="s">
        <v>2088</v>
      </c>
    </row>
    <row r="8" spans="1:2" x14ac:dyDescent="0.2">
      <c r="A8" s="1068"/>
      <c r="B8" s="329" t="s">
        <v>2089</v>
      </c>
    </row>
    <row r="9" spans="1:2" x14ac:dyDescent="0.2">
      <c r="A9" s="1069"/>
    </row>
    <row r="10" spans="1:2" x14ac:dyDescent="0.2">
      <c r="A10" s="1069">
        <v>2</v>
      </c>
      <c r="B10" s="329" t="s">
        <v>2090</v>
      </c>
    </row>
    <row r="11" spans="1:2" x14ac:dyDescent="0.2">
      <c r="A11" s="1069"/>
      <c r="B11" s="329" t="s">
        <v>2091</v>
      </c>
    </row>
    <row r="12" spans="1:2" x14ac:dyDescent="0.2">
      <c r="A12" s="1069"/>
      <c r="B12" s="329" t="s">
        <v>2092</v>
      </c>
    </row>
    <row r="13" spans="1:2" x14ac:dyDescent="0.2">
      <c r="A13" s="1069"/>
    </row>
    <row r="14" spans="1:2" x14ac:dyDescent="0.2">
      <c r="A14" s="1069">
        <v>3</v>
      </c>
      <c r="B14" s="329" t="s">
        <v>2093</v>
      </c>
    </row>
    <row r="15" spans="1:2" x14ac:dyDescent="0.2">
      <c r="A15" s="1069"/>
      <c r="B15" s="329" t="s">
        <v>2091</v>
      </c>
    </row>
    <row r="16" spans="1:2" x14ac:dyDescent="0.2">
      <c r="A16" s="1069"/>
      <c r="B16" s="329" t="s">
        <v>2094</v>
      </c>
    </row>
    <row r="17" spans="1:2" x14ac:dyDescent="0.2">
      <c r="A17" s="1069"/>
    </row>
    <row r="18" spans="1:2" x14ac:dyDescent="0.2">
      <c r="A18" s="1069">
        <v>4</v>
      </c>
      <c r="B18" s="329" t="s">
        <v>2095</v>
      </c>
    </row>
    <row r="19" spans="1:2" x14ac:dyDescent="0.2">
      <c r="A19" s="1069"/>
      <c r="B19" s="329" t="s">
        <v>2091</v>
      </c>
    </row>
    <row r="20" spans="1:2" x14ac:dyDescent="0.2">
      <c r="A20" s="1069"/>
      <c r="B20" s="329" t="s">
        <v>2096</v>
      </c>
    </row>
    <row r="21" spans="1:2" x14ac:dyDescent="0.2">
      <c r="A21" s="1069"/>
      <c r="B21" s="329" t="s">
        <v>2097</v>
      </c>
    </row>
    <row r="22" spans="1:2" x14ac:dyDescent="0.2">
      <c r="A22" s="1069"/>
      <c r="B22" s="329" t="s">
        <v>2100</v>
      </c>
    </row>
    <row r="23" spans="1:2" x14ac:dyDescent="0.2">
      <c r="A23" s="1069"/>
      <c r="B23" s="329" t="s">
        <v>2098</v>
      </c>
    </row>
    <row r="24" spans="1:2" x14ac:dyDescent="0.2">
      <c r="A24" s="1069"/>
      <c r="B24" s="329" t="s">
        <v>2101</v>
      </c>
    </row>
    <row r="25" spans="1:2" x14ac:dyDescent="0.2">
      <c r="A25" s="1069"/>
      <c r="B25" s="329" t="s">
        <v>2099</v>
      </c>
    </row>
    <row r="26" spans="1:2" x14ac:dyDescent="0.2">
      <c r="A26" s="1069"/>
      <c r="B26" s="329" t="s">
        <v>2102</v>
      </c>
    </row>
    <row r="27" spans="1:2" x14ac:dyDescent="0.2">
      <c r="A27" s="1069"/>
    </row>
    <row r="28" spans="1:2" x14ac:dyDescent="0.2">
      <c r="A28" s="1069">
        <v>5</v>
      </c>
      <c r="B28" s="329" t="s">
        <v>2103</v>
      </c>
    </row>
    <row r="29" spans="1:2" x14ac:dyDescent="0.2">
      <c r="A29" s="1069"/>
      <c r="B29" s="329" t="s">
        <v>2091</v>
      </c>
    </row>
    <row r="30" spans="1:2" x14ac:dyDescent="0.2">
      <c r="A30" s="1069"/>
      <c r="B30" s="329" t="s">
        <v>2104</v>
      </c>
    </row>
    <row r="31" spans="1:2" x14ac:dyDescent="0.2">
      <c r="A31" s="1069"/>
    </row>
    <row r="32" spans="1:2" x14ac:dyDescent="0.2">
      <c r="A32" s="1069">
        <v>6</v>
      </c>
      <c r="B32" s="329" t="s">
        <v>2105</v>
      </c>
    </row>
    <row r="33" spans="1:2" x14ac:dyDescent="0.2">
      <c r="A33" s="1069"/>
      <c r="B33" s="329" t="s">
        <v>2091</v>
      </c>
    </row>
    <row r="34" spans="1:2" x14ac:dyDescent="0.2">
      <c r="A34" s="1069"/>
      <c r="B34" s="329" t="s">
        <v>2106</v>
      </c>
    </row>
    <row r="35" spans="1:2" x14ac:dyDescent="0.2">
      <c r="A35" s="1069"/>
    </row>
    <row r="36" spans="1:2" x14ac:dyDescent="0.2">
      <c r="A36" s="1069">
        <v>7</v>
      </c>
      <c r="B36" s="329" t="s">
        <v>2107</v>
      </c>
    </row>
    <row r="37" spans="1:2" x14ac:dyDescent="0.2">
      <c r="A37" s="1069"/>
      <c r="B37" s="329" t="s">
        <v>2091</v>
      </c>
    </row>
    <row r="38" spans="1:2" x14ac:dyDescent="0.2">
      <c r="A38" s="1069"/>
      <c r="B38" s="329" t="s">
        <v>2108</v>
      </c>
    </row>
    <row r="39" spans="1:2" x14ac:dyDescent="0.2">
      <c r="A39" s="1069"/>
      <c r="B39" s="329" t="s">
        <v>2109</v>
      </c>
    </row>
    <row r="40" spans="1:2" x14ac:dyDescent="0.2">
      <c r="A40" s="1069"/>
    </row>
    <row r="41" spans="1:2" x14ac:dyDescent="0.2">
      <c r="A41" s="1069">
        <v>8</v>
      </c>
      <c r="B41" s="329" t="s">
        <v>2110</v>
      </c>
    </row>
    <row r="42" spans="1:2" x14ac:dyDescent="0.2">
      <c r="A42" s="1069"/>
      <c r="B42" s="329" t="s">
        <v>2111</v>
      </c>
    </row>
    <row r="43" spans="1:2" x14ac:dyDescent="0.2">
      <c r="A43" s="1069"/>
    </row>
    <row r="44" spans="1:2" x14ac:dyDescent="0.2">
      <c r="A44" s="1069">
        <v>9</v>
      </c>
      <c r="B44" s="329" t="s">
        <v>2112</v>
      </c>
    </row>
    <row r="45" spans="1:2" x14ac:dyDescent="0.2">
      <c r="A45" s="1069"/>
      <c r="B45" s="329" t="s">
        <v>2113</v>
      </c>
    </row>
    <row r="46" spans="1:2" x14ac:dyDescent="0.2">
      <c r="A46" s="1069"/>
    </row>
    <row r="47" spans="1:2" x14ac:dyDescent="0.2">
      <c r="A47" s="1069">
        <v>10</v>
      </c>
      <c r="B47" s="329" t="s">
        <v>2114</v>
      </c>
    </row>
    <row r="48" spans="1:2" x14ac:dyDescent="0.2">
      <c r="A48" s="1069"/>
      <c r="B48" s="329" t="s">
        <v>2115</v>
      </c>
    </row>
    <row r="49" spans="1:2" x14ac:dyDescent="0.2">
      <c r="A49" s="1069"/>
    </row>
    <row r="50" spans="1:2" x14ac:dyDescent="0.2">
      <c r="A50" s="1069">
        <v>11</v>
      </c>
      <c r="B50" s="329" t="s">
        <v>2116</v>
      </c>
    </row>
    <row r="51" spans="1:2" x14ac:dyDescent="0.2">
      <c r="A51" s="1069"/>
      <c r="B51" s="329" t="s">
        <v>2117</v>
      </c>
    </row>
    <row r="52" spans="1:2" x14ac:dyDescent="0.2">
      <c r="A52" s="1069"/>
      <c r="B52" s="329" t="s">
        <v>2118</v>
      </c>
    </row>
    <row r="53" spans="1:2" x14ac:dyDescent="0.2">
      <c r="A53" s="1069"/>
      <c r="B53" s="329" t="s">
        <v>2119</v>
      </c>
    </row>
    <row r="54" spans="1:2" x14ac:dyDescent="0.2">
      <c r="A54" s="1069"/>
      <c r="B54" s="329" t="s">
        <v>2120</v>
      </c>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c r="B62" s="258" t="str">
        <f>COVER!A17</f>
        <v>Rantoul City SD 137</v>
      </c>
    </row>
    <row r="63" spans="1:2" x14ac:dyDescent="0.2">
      <c r="B63" s="1070">
        <f>COVER!A13</f>
        <v>9010137002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8" t="s">
        <v>1685</v>
      </c>
      <c r="B18" s="2338"/>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438150</xdr:colOff>
                <xdr:row>3</xdr:row>
                <xdr:rowOff>57150</xdr:rowOff>
              </from>
              <to>
                <xdr:col>1</xdr:col>
                <xdr:colOff>1352550</xdr:colOff>
                <xdr:row>7</xdr:row>
                <xdr:rowOff>95250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1982</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1983</v>
      </c>
      <c r="B4" s="2359"/>
      <c r="C4" s="2359"/>
      <c r="D4" s="2359"/>
      <c r="E4" s="2359"/>
      <c r="F4" s="2360"/>
      <c r="G4" s="1074"/>
      <c r="H4" s="1074"/>
    </row>
    <row r="5" spans="1:8" ht="14.25" customHeight="1" x14ac:dyDescent="0.2">
      <c r="A5" s="2361" t="s">
        <v>1979</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17388394</v>
      </c>
      <c r="C8" s="1815">
        <f>'Acct Summary 7-8'!D8</f>
        <v>1456262</v>
      </c>
      <c r="D8" s="1815">
        <f>'Acct Summary 7-8'!F8</f>
        <v>859097</v>
      </c>
      <c r="E8" s="1815">
        <f>'Acct Summary 7-8'!I8</f>
        <v>7367</v>
      </c>
      <c r="F8" s="1815">
        <f>SUM(B8:E8)</f>
        <v>19711120</v>
      </c>
    </row>
    <row r="9" spans="1:8" s="1079" customFormat="1" ht="14.25" customHeight="1" thickBot="1" x14ac:dyDescent="0.25">
      <c r="A9" s="1078" t="s">
        <v>1369</v>
      </c>
      <c r="B9" s="1816">
        <f>'Acct Summary 7-8'!C17</f>
        <v>17714679</v>
      </c>
      <c r="C9" s="1816">
        <f>'Acct Summary 7-8'!D17</f>
        <v>1436838</v>
      </c>
      <c r="D9" s="1816">
        <f>'Acct Summary 7-8'!F17</f>
        <v>868664</v>
      </c>
      <c r="E9" s="1815"/>
      <c r="F9" s="1815">
        <f>SUM(B9:E9)</f>
        <v>20020181</v>
      </c>
    </row>
    <row r="10" spans="1:8" s="1079" customFormat="1" ht="14.25" thickTop="1" thickBot="1" x14ac:dyDescent="0.25">
      <c r="A10" s="1080" t="s">
        <v>1370</v>
      </c>
      <c r="B10" s="1817">
        <f>(B8-B9)</f>
        <v>-326285</v>
      </c>
      <c r="C10" s="1817">
        <f>(C8-C9)</f>
        <v>19424</v>
      </c>
      <c r="D10" s="1817">
        <f>(D8-D9)</f>
        <v>-9567</v>
      </c>
      <c r="E10" s="1816">
        <f>(E8-E9)</f>
        <v>7367</v>
      </c>
      <c r="F10" s="1818">
        <f>SUM(F8-F9)</f>
        <v>-309061</v>
      </c>
    </row>
    <row r="11" spans="1:8" s="1079" customFormat="1" ht="14.25" thickTop="1" thickBot="1" x14ac:dyDescent="0.25">
      <c r="A11" s="1081" t="s">
        <v>1980</v>
      </c>
      <c r="B11" s="1819">
        <f>'Acct Summary 7-8'!C81</f>
        <v>8799321</v>
      </c>
      <c r="C11" s="1819">
        <f>'Acct Summary 7-8'!D81</f>
        <v>703717</v>
      </c>
      <c r="D11" s="1819">
        <f>'Acct Summary 7-8'!F81</f>
        <v>382658</v>
      </c>
      <c r="E11" s="1819">
        <f>'Acct Summary 7-8'!I81</f>
        <v>553790</v>
      </c>
      <c r="F11" s="1820">
        <f>SUM(B11:E11)</f>
        <v>10439486</v>
      </c>
    </row>
    <row r="12" spans="1:8" ht="16.5" customHeight="1" thickTop="1" x14ac:dyDescent="0.2">
      <c r="A12" s="1082"/>
      <c r="B12" s="1083"/>
      <c r="C12" s="2343" t="str">
        <f>IF(AND(F10&lt;0,F11&gt;=0,ABS(F10*3)&gt;ABS(F11)),A16,IF(AND(F10&lt;0,F11&gt;0,ABS(F10*3)&lt;=ABS(F11)),A17,IF(AND(F10&lt;0,F11&lt;0),A16,IF(F11=0,A19,A18))))</f>
        <v>Unbalanced -  however, a deficit reduction plan is not required at this time.</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ERROR!</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9010137002</v>
      </c>
    </row>
    <row r="3" spans="1:2" x14ac:dyDescent="0.2">
      <c r="A3" t="s">
        <v>956</v>
      </c>
      <c r="B3" s="138" t="str">
        <f>COVER!A15</f>
        <v>CHAMPAIGN</v>
      </c>
    </row>
    <row r="4" spans="1:2" x14ac:dyDescent="0.2">
      <c r="A4" t="s">
        <v>1007</v>
      </c>
      <c r="B4" s="138" t="str">
        <f>COVER!A17</f>
        <v>Rantoul City SD 137</v>
      </c>
    </row>
    <row r="5" spans="1:2" x14ac:dyDescent="0.2">
      <c r="A5" t="s">
        <v>704</v>
      </c>
      <c r="B5" s="138" t="str">
        <f>COVER!A38</f>
        <v>Michelle Ramage</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2010092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8821066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21745</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21745</v>
      </c>
      <c r="C91" s="2" t="s">
        <v>573</v>
      </c>
      <c r="D91" s="2" t="str">
        <f t="shared" si="0"/>
        <v>Error?</v>
      </c>
    </row>
    <row r="92" spans="1:4" x14ac:dyDescent="0.2">
      <c r="A92" s="5">
        <v>31</v>
      </c>
      <c r="B92" s="138">
        <f>'Assets-Liab 5-6'!C39</f>
        <v>8799321</v>
      </c>
      <c r="D92" s="2" t="str">
        <f t="shared" si="0"/>
        <v>Error?</v>
      </c>
    </row>
    <row r="93" spans="1:4" x14ac:dyDescent="0.2">
      <c r="A93" s="5">
        <v>32</v>
      </c>
      <c r="B93" s="138">
        <f>'Assets-Liab 5-6'!C41</f>
        <v>8821066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703717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703717</v>
      </c>
      <c r="D123" s="2" t="str">
        <f t="shared" si="0"/>
        <v>Error?</v>
      </c>
    </row>
    <row r="124" spans="1:4" x14ac:dyDescent="0.2">
      <c r="A124" s="5">
        <v>63</v>
      </c>
      <c r="B124" s="138">
        <f>'Assets-Liab 5-6'!D41</f>
        <v>703717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216101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216101</v>
      </c>
      <c r="D140" s="2" t="str">
        <f t="shared" si="1"/>
        <v>Error?</v>
      </c>
    </row>
    <row r="141" spans="1:4" x14ac:dyDescent="0.2">
      <c r="A141" s="5">
        <v>80</v>
      </c>
      <c r="B141" s="138">
        <f>'Assets-Liab 5-6'!E41</f>
        <v>216101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382658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382658</v>
      </c>
      <c r="D170" s="2" t="str">
        <f t="shared" si="1"/>
        <v>Error?</v>
      </c>
    </row>
    <row r="171" spans="1:4" x14ac:dyDescent="0.2">
      <c r="A171" s="5">
        <v>110</v>
      </c>
      <c r="B171" s="138">
        <f>'Assets-Liab 5-6'!F41</f>
        <v>382658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130968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130968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1170558</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1170558</v>
      </c>
      <c r="D212" s="2" t="str">
        <f t="shared" si="2"/>
        <v>Error?</v>
      </c>
    </row>
    <row r="213" spans="1:4" x14ac:dyDescent="0.2">
      <c r="A213" s="12">
        <v>152</v>
      </c>
      <c r="B213" s="138">
        <f>'Assets-Liab 5-6'!H41</f>
        <v>1170558</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100231</v>
      </c>
      <c r="D273" s="2" t="str">
        <f t="shared" si="3"/>
        <v>Error?</v>
      </c>
    </row>
    <row r="274" spans="1:4" x14ac:dyDescent="0.2">
      <c r="A274" s="5">
        <v>213</v>
      </c>
      <c r="B274" s="138">
        <f>'Assets-Liab 5-6'!M17</f>
        <v>34246857</v>
      </c>
      <c r="D274" s="2" t="str">
        <f t="shared" si="3"/>
        <v>Error?</v>
      </c>
    </row>
    <row r="275" spans="1:4" x14ac:dyDescent="0.2">
      <c r="A275" s="5">
        <v>214</v>
      </c>
      <c r="B275" s="138">
        <f>'Assets-Liab 5-6'!M18</f>
        <v>720198</v>
      </c>
      <c r="D275" s="2" t="str">
        <f t="shared" si="3"/>
        <v>Error?</v>
      </c>
    </row>
    <row r="276" spans="1:4" x14ac:dyDescent="0.2">
      <c r="A276" s="5">
        <v>215</v>
      </c>
      <c r="B276" s="138">
        <f>'Assets-Liab 5-6'!M19</f>
        <v>4347543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39414829</v>
      </c>
      <c r="C279" s="2" t="s">
        <v>573</v>
      </c>
      <c r="D279" s="2" t="str">
        <f t="shared" si="3"/>
        <v>Error?</v>
      </c>
    </row>
    <row r="280" spans="1:4" x14ac:dyDescent="0.2">
      <c r="A280" s="5">
        <v>219</v>
      </c>
      <c r="B280" s="138">
        <f>'Assets-Liab 5-6'!M40</f>
        <v>39414829</v>
      </c>
      <c r="D280" s="2" t="str">
        <f t="shared" si="3"/>
        <v>Error?</v>
      </c>
    </row>
    <row r="281" spans="1:4" x14ac:dyDescent="0.2">
      <c r="A281" s="5">
        <v>220</v>
      </c>
      <c r="B281" s="138">
        <f>'Assets-Liab 5-6'!M41</f>
        <v>39414829</v>
      </c>
      <c r="C281" s="2" t="s">
        <v>573</v>
      </c>
      <c r="D281" s="2" t="str">
        <f t="shared" si="3"/>
        <v>Error?</v>
      </c>
    </row>
    <row r="282" spans="1:4" x14ac:dyDescent="0.2">
      <c r="A282" s="5">
        <v>221</v>
      </c>
      <c r="B282" s="138">
        <f>'Assets-Liab 5-6'!N21</f>
        <v>216101</v>
      </c>
      <c r="D282" s="2" t="str">
        <f t="shared" si="3"/>
        <v>Error?</v>
      </c>
    </row>
    <row r="283" spans="1:4" x14ac:dyDescent="0.2">
      <c r="A283" s="5">
        <v>222</v>
      </c>
      <c r="B283" s="138">
        <f>'Assets-Liab 5-6'!N22</f>
        <v>19204324</v>
      </c>
      <c r="D283" s="2" t="str">
        <f t="shared" si="3"/>
        <v>Error?</v>
      </c>
    </row>
    <row r="284" spans="1:4" x14ac:dyDescent="0.2">
      <c r="A284" s="5">
        <v>223</v>
      </c>
      <c r="B284" s="138">
        <f>'Assets-Liab 5-6'!N23</f>
        <v>19420425</v>
      </c>
      <c r="C284" s="2" t="s">
        <v>573</v>
      </c>
      <c r="D284" s="2" t="str">
        <f t="shared" si="3"/>
        <v>Error?</v>
      </c>
    </row>
    <row r="285" spans="1:4" x14ac:dyDescent="0.2">
      <c r="A285" s="5">
        <v>224</v>
      </c>
      <c r="B285" s="138">
        <f>'Assets-Liab 5-6'!N36</f>
        <v>19420425</v>
      </c>
      <c r="D285" s="2" t="str">
        <f t="shared" si="3"/>
        <v>Error?</v>
      </c>
    </row>
    <row r="286" spans="1:4" x14ac:dyDescent="0.2">
      <c r="A286" s="10">
        <v>225</v>
      </c>
      <c r="D286" s="2" t="str">
        <f t="shared" si="3"/>
        <v>OK</v>
      </c>
    </row>
    <row r="287" spans="1:4" x14ac:dyDescent="0.2">
      <c r="A287" s="5">
        <v>226</v>
      </c>
      <c r="B287" s="138">
        <f>'Assets-Liab 5-6'!N37</f>
        <v>19420425</v>
      </c>
      <c r="C287" s="2" t="s">
        <v>573</v>
      </c>
      <c r="D287" s="2" t="str">
        <f t="shared" si="3"/>
        <v>Error?</v>
      </c>
    </row>
    <row r="288" spans="1:4" x14ac:dyDescent="0.2">
      <c r="A288" s="5">
        <v>227</v>
      </c>
      <c r="B288" s="138">
        <f>'Assets-Liab 5-6'!N41</f>
        <v>19420425</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5492906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612564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53127</v>
      </c>
      <c r="D718" s="2" t="str">
        <f t="shared" si="10"/>
        <v>Error?</v>
      </c>
    </row>
    <row r="719" spans="1:4" x14ac:dyDescent="0.2">
      <c r="A719" s="5">
        <v>658</v>
      </c>
      <c r="B719" s="138">
        <f>'Expenditures 15-22'!C15</f>
        <v>5744</v>
      </c>
      <c r="D719" s="2" t="str">
        <f t="shared" si="10"/>
        <v>Error?</v>
      </c>
    </row>
    <row r="720" spans="1:4" x14ac:dyDescent="0.2">
      <c r="A720" s="5">
        <v>659</v>
      </c>
      <c r="B720" s="138">
        <f>'Expenditures 15-22'!C33</f>
        <v>8237078</v>
      </c>
      <c r="C720" s="2" t="s">
        <v>573</v>
      </c>
      <c r="D720" s="2" t="str">
        <f t="shared" si="10"/>
        <v>Error?</v>
      </c>
    </row>
    <row r="721" spans="1:4" x14ac:dyDescent="0.2">
      <c r="A721" s="5">
        <v>660</v>
      </c>
      <c r="B721" s="138">
        <f>'Expenditures 15-22'!C36</f>
        <v>265208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281990</v>
      </c>
      <c r="D723" s="2" t="str">
        <f t="shared" si="10"/>
        <v>Error?</v>
      </c>
    </row>
    <row r="724" spans="1:4" x14ac:dyDescent="0.2">
      <c r="A724" s="5">
        <v>663</v>
      </c>
      <c r="B724" s="138">
        <f>'Expenditures 15-22'!C39</f>
        <v>207143</v>
      </c>
      <c r="D724" s="2" t="str">
        <f t="shared" si="10"/>
        <v>Error?</v>
      </c>
    </row>
    <row r="725" spans="1:4" x14ac:dyDescent="0.2">
      <c r="A725" s="5">
        <v>664</v>
      </c>
      <c r="B725" s="138">
        <f>'Expenditures 15-22'!C40</f>
        <v>202487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956828</v>
      </c>
      <c r="C727" s="2" t="s">
        <v>573</v>
      </c>
      <c r="D727" s="2" t="str">
        <f t="shared" si="10"/>
        <v>Error?</v>
      </c>
    </row>
    <row r="728" spans="1:4" x14ac:dyDescent="0.2">
      <c r="A728" s="5">
        <v>667</v>
      </c>
      <c r="B728" s="138">
        <f>'Expenditures 15-22'!C44</f>
        <v>440492</v>
      </c>
      <c r="D728" s="2" t="str">
        <f t="shared" si="10"/>
        <v>Error?</v>
      </c>
    </row>
    <row r="729" spans="1:4" x14ac:dyDescent="0.2">
      <c r="A729" s="5">
        <v>668</v>
      </c>
      <c r="B729" s="138">
        <f>'Expenditures 15-22'!C45</f>
        <v>143741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584233</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346364</v>
      </c>
      <c r="D733" s="2" t="str">
        <f t="shared" si="10"/>
        <v>Error?</v>
      </c>
    </row>
    <row r="734" spans="1:4" x14ac:dyDescent="0.2">
      <c r="A734" s="5">
        <v>673</v>
      </c>
      <c r="B734" s="138">
        <f>'Expenditures 15-22'!C53</f>
        <v>646917</v>
      </c>
      <c r="C734" s="2" t="s">
        <v>573</v>
      </c>
      <c r="D734" s="2" t="str">
        <f t="shared" si="10"/>
        <v>Error?</v>
      </c>
    </row>
    <row r="735" spans="1:4" x14ac:dyDescent="0.2">
      <c r="A735" s="5">
        <v>674</v>
      </c>
      <c r="B735" s="138">
        <f>'Expenditures 15-22'!C55</f>
        <v>1083444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1083444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173317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272915</v>
      </c>
      <c r="D742" s="2" t="str">
        <f t="shared" si="10"/>
        <v>Error?</v>
      </c>
    </row>
    <row r="743" spans="1:4" x14ac:dyDescent="0.2">
      <c r="A743" s="5">
        <v>682</v>
      </c>
      <c r="B743" s="138">
        <f>'Expenditures 15-22'!C64</f>
        <v>28171</v>
      </c>
      <c r="D743" s="2" t="str">
        <f t="shared" si="10"/>
        <v>Error?</v>
      </c>
    </row>
    <row r="744" spans="1:4" x14ac:dyDescent="0.2">
      <c r="A744" s="10">
        <v>683</v>
      </c>
      <c r="D744" s="2" t="str">
        <f t="shared" si="10"/>
        <v>OK</v>
      </c>
    </row>
    <row r="745" spans="1:4" x14ac:dyDescent="0.2">
      <c r="A745" s="5">
        <v>684</v>
      </c>
      <c r="B745" s="138">
        <f>'Expenditures 15-22'!C65</f>
        <v>474403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44400</v>
      </c>
      <c r="D749" s="2" t="str">
        <f t="shared" si="10"/>
        <v>Error?</v>
      </c>
    </row>
    <row r="750" spans="1:4" x14ac:dyDescent="0.2">
      <c r="A750" s="10">
        <v>689</v>
      </c>
      <c r="D750" s="2" t="str">
        <f t="shared" si="10"/>
        <v>OK</v>
      </c>
    </row>
    <row r="751" spans="1:4" x14ac:dyDescent="0.2">
      <c r="A751" s="5">
        <v>690</v>
      </c>
      <c r="B751" s="138">
        <f>'Expenditures 15-22'!C71</f>
        <v>64943</v>
      </c>
      <c r="D751" s="2" t="str">
        <f t="shared" si="10"/>
        <v>Error?</v>
      </c>
    </row>
    <row r="752" spans="1:4" x14ac:dyDescent="0.2">
      <c r="A752" s="10">
        <v>691</v>
      </c>
      <c r="D752" s="2" t="str">
        <f t="shared" si="10"/>
        <v>OK</v>
      </c>
    </row>
    <row r="753" spans="1:4" x14ac:dyDescent="0.2">
      <c r="A753" s="5">
        <v>692</v>
      </c>
      <c r="B753" s="138">
        <f>'Expenditures 15-22'!C72</f>
        <v>109343</v>
      </c>
      <c r="C753" s="2" t="s">
        <v>573</v>
      </c>
      <c r="D753" s="2" t="str">
        <f t="shared" si="10"/>
        <v>Error?</v>
      </c>
    </row>
    <row r="754" spans="1:4" x14ac:dyDescent="0.2">
      <c r="A754" s="5">
        <v>693</v>
      </c>
      <c r="B754" s="138">
        <f>'Expenditures 15-22'!C73</f>
        <v>17331</v>
      </c>
      <c r="D754" s="2" t="str">
        <f t="shared" si="10"/>
        <v>Error?</v>
      </c>
    </row>
    <row r="755" spans="1:4" x14ac:dyDescent="0.2">
      <c r="A755" s="5">
        <v>694</v>
      </c>
      <c r="B755" s="138">
        <f>'Expenditures 15-22'!C74</f>
        <v>3872499</v>
      </c>
      <c r="C755" s="2" t="s">
        <v>573</v>
      </c>
      <c r="D755" s="2" t="str">
        <f t="shared" si="10"/>
        <v>Error?</v>
      </c>
    </row>
    <row r="756" spans="1:4" x14ac:dyDescent="0.2">
      <c r="A756" s="5">
        <v>695</v>
      </c>
      <c r="B756" s="138">
        <f>'Expenditures 15-22'!C75</f>
        <v>40115</v>
      </c>
      <c r="D756" s="2" t="str">
        <f t="shared" si="10"/>
        <v>Error?</v>
      </c>
    </row>
    <row r="757" spans="1:4" x14ac:dyDescent="0.2">
      <c r="A757" s="5">
        <v>696</v>
      </c>
      <c r="B757" s="138">
        <f>'Expenditures 15-22'!C114</f>
        <v>12149692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926284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80345</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1684</v>
      </c>
      <c r="D776" s="2" t="str">
        <f t="shared" si="11"/>
        <v>Error?</v>
      </c>
    </row>
    <row r="777" spans="1:4" x14ac:dyDescent="0.2">
      <c r="A777" s="5">
        <v>716</v>
      </c>
      <c r="B777" s="138">
        <f>'Expenditures 15-22'!D15</f>
        <v>615</v>
      </c>
      <c r="D777" s="2" t="str">
        <f t="shared" si="11"/>
        <v>Error?</v>
      </c>
    </row>
    <row r="778" spans="1:4" x14ac:dyDescent="0.2">
      <c r="A778" s="5">
        <v>717</v>
      </c>
      <c r="B778" s="138">
        <f>'Expenditures 15-22'!D33</f>
        <v>1345175</v>
      </c>
      <c r="C778" s="2" t="s">
        <v>573</v>
      </c>
      <c r="D778" s="2" t="str">
        <f t="shared" si="11"/>
        <v>Error?</v>
      </c>
    </row>
    <row r="779" spans="1:4" x14ac:dyDescent="0.2">
      <c r="A779" s="5">
        <v>718</v>
      </c>
      <c r="B779" s="138">
        <f>'Expenditures 15-22'!D36</f>
        <v>103103</v>
      </c>
      <c r="D779" s="2" t="str">
        <f t="shared" si="11"/>
        <v>Error?</v>
      </c>
    </row>
    <row r="780" spans="1:4" x14ac:dyDescent="0.2">
      <c r="A780" s="5">
        <v>719</v>
      </c>
      <c r="B780" s="138">
        <f>'Expenditures 15-22'!D37</f>
        <v>0</v>
      </c>
      <c r="D780" s="2" t="str">
        <f t="shared" si="11"/>
        <v>Error?</v>
      </c>
    </row>
    <row r="781" spans="1:4" x14ac:dyDescent="0.2">
      <c r="A781" s="5">
        <v>720</v>
      </c>
      <c r="B781" s="138">
        <f>'Expenditures 15-22'!D38</f>
        <v>46744</v>
      </c>
      <c r="D781" s="2" t="str">
        <f t="shared" si="11"/>
        <v>Error?</v>
      </c>
    </row>
    <row r="782" spans="1:4" x14ac:dyDescent="0.2">
      <c r="A782" s="5">
        <v>721</v>
      </c>
      <c r="B782" s="138">
        <f>'Expenditures 15-22'!D39</f>
        <v>21272</v>
      </c>
      <c r="D782" s="2" t="str">
        <f t="shared" si="11"/>
        <v>Error?</v>
      </c>
    </row>
    <row r="783" spans="1:4" x14ac:dyDescent="0.2">
      <c r="A783" s="5">
        <v>722</v>
      </c>
      <c r="B783" s="138">
        <f>'Expenditures 15-22'!D40</f>
        <v>23423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194542</v>
      </c>
      <c r="C785" s="2" t="s">
        <v>573</v>
      </c>
      <c r="D785" s="2" t="str">
        <f t="shared" si="11"/>
        <v>Error?</v>
      </c>
    </row>
    <row r="786" spans="1:4" x14ac:dyDescent="0.2">
      <c r="A786" s="5">
        <v>725</v>
      </c>
      <c r="B786" s="138">
        <f>'Expenditures 15-22'!D44</f>
        <v>51483</v>
      </c>
      <c r="D786" s="2" t="str">
        <f t="shared" si="11"/>
        <v>Error?</v>
      </c>
    </row>
    <row r="787" spans="1:4" x14ac:dyDescent="0.2">
      <c r="A787" s="5">
        <v>726</v>
      </c>
      <c r="B787" s="138">
        <f>'Expenditures 15-22'!D45</f>
        <v>31112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82595</v>
      </c>
      <c r="C789" s="2" t="s">
        <v>573</v>
      </c>
      <c r="D789" s="2" t="str">
        <f t="shared" si="11"/>
        <v>Error?</v>
      </c>
    </row>
    <row r="790" spans="1:4" x14ac:dyDescent="0.2">
      <c r="A790" s="5">
        <v>729</v>
      </c>
      <c r="B790" s="138">
        <f>'Expenditures 15-22'!D49</f>
        <v>32693</v>
      </c>
      <c r="D790" s="2" t="str">
        <f t="shared" si="11"/>
        <v>Error?</v>
      </c>
    </row>
    <row r="791" spans="1:4" x14ac:dyDescent="0.2">
      <c r="A791" s="5">
        <v>730</v>
      </c>
      <c r="B791" s="138">
        <f>'Expenditures 15-22'!D50</f>
        <v>48729</v>
      </c>
      <c r="D791" s="2" t="str">
        <f t="shared" si="11"/>
        <v>Error?</v>
      </c>
    </row>
    <row r="792" spans="1:4" x14ac:dyDescent="0.2">
      <c r="A792" s="5">
        <v>731</v>
      </c>
      <c r="B792" s="138">
        <f>'Expenditures 15-22'!D53</f>
        <v>131338</v>
      </c>
      <c r="C792" s="2" t="s">
        <v>573</v>
      </c>
      <c r="D792" s="2" t="str">
        <f t="shared" si="11"/>
        <v>Error?</v>
      </c>
    </row>
    <row r="793" spans="1:4" x14ac:dyDescent="0.2">
      <c r="A793" s="5">
        <v>732</v>
      </c>
      <c r="B793" s="138">
        <f>'Expenditures 15-22'!D55</f>
        <v>222652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222652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25040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75215</v>
      </c>
      <c r="D800" s="2" t="str">
        <f t="shared" si="11"/>
        <v>Error?</v>
      </c>
    </row>
    <row r="801" spans="1:4" x14ac:dyDescent="0.2">
      <c r="A801" s="5">
        <v>740</v>
      </c>
      <c r="B801" s="138">
        <f>'Expenditures 15-22'!D64</f>
        <v>342</v>
      </c>
      <c r="D801" s="2" t="str">
        <f t="shared" si="11"/>
        <v>Error?</v>
      </c>
    </row>
    <row r="802" spans="1:4" x14ac:dyDescent="0.2">
      <c r="A802" s="10">
        <v>741</v>
      </c>
      <c r="D802" s="2" t="str">
        <f t="shared" si="11"/>
        <v>OK</v>
      </c>
    </row>
    <row r="803" spans="1:4" x14ac:dyDescent="0.2">
      <c r="A803" s="5">
        <v>742</v>
      </c>
      <c r="B803" s="138">
        <f>'Expenditures 15-22'!D65</f>
        <v>100597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5220</v>
      </c>
      <c r="D807" s="2" t="str">
        <f t="shared" si="11"/>
        <v>Error?</v>
      </c>
    </row>
    <row r="808" spans="1:4" x14ac:dyDescent="0.2">
      <c r="A808" s="10">
        <v>747</v>
      </c>
      <c r="D808" s="2" t="str">
        <f t="shared" si="11"/>
        <v>OK</v>
      </c>
    </row>
    <row r="809" spans="1:4" x14ac:dyDescent="0.2">
      <c r="A809" s="5">
        <v>748</v>
      </c>
      <c r="B809" s="138">
        <f>'Expenditures 15-22'!D71</f>
        <v>44</v>
      </c>
      <c r="D809" s="2" t="str">
        <f t="shared" si="11"/>
        <v>Error?</v>
      </c>
    </row>
    <row r="810" spans="1:4" x14ac:dyDescent="0.2">
      <c r="A810" s="10">
        <v>749</v>
      </c>
      <c r="D810" s="2" t="str">
        <f t="shared" si="11"/>
        <v>OK</v>
      </c>
    </row>
    <row r="811" spans="1:4" x14ac:dyDescent="0.2">
      <c r="A811" s="5">
        <v>750</v>
      </c>
      <c r="B811" s="138">
        <f>'Expenditures 15-22'!D72</f>
        <v>5264</v>
      </c>
      <c r="C811" s="2" t="s">
        <v>573</v>
      </c>
      <c r="D811" s="2" t="str">
        <f t="shared" si="11"/>
        <v>Error?</v>
      </c>
    </row>
    <row r="812" spans="1:4" x14ac:dyDescent="0.2">
      <c r="A812" s="5">
        <v>751</v>
      </c>
      <c r="B812" s="138">
        <f>'Expenditures 15-22'!D73</f>
        <v>502</v>
      </c>
      <c r="D812" s="2" t="str">
        <f t="shared" si="11"/>
        <v>Error?</v>
      </c>
    </row>
    <row r="813" spans="1:4" x14ac:dyDescent="0.2">
      <c r="A813" s="5">
        <v>752</v>
      </c>
      <c r="B813" s="138">
        <f>'Expenditures 15-22'!D74</f>
        <v>737490</v>
      </c>
      <c r="C813" s="2" t="s">
        <v>573</v>
      </c>
      <c r="D813" s="2" t="str">
        <f t="shared" si="11"/>
        <v>Error?</v>
      </c>
    </row>
    <row r="814" spans="1:4" x14ac:dyDescent="0.2">
      <c r="A814" s="5">
        <v>753</v>
      </c>
      <c r="B814" s="138">
        <f>'Expenditures 15-22'!D75</f>
        <v>6963</v>
      </c>
      <c r="D814" s="2" t="str">
        <f t="shared" si="11"/>
        <v>Error?</v>
      </c>
    </row>
    <row r="815" spans="1:4" x14ac:dyDescent="0.2">
      <c r="A815" s="5">
        <v>754</v>
      </c>
      <c r="B815" s="138">
        <f>'Expenditures 15-22'!D114</f>
        <v>2089628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260982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2503</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10680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303170</v>
      </c>
      <c r="C836" s="2" t="s">
        <v>573</v>
      </c>
      <c r="D836" s="2" t="str">
        <f t="shared" si="12"/>
        <v>Error?</v>
      </c>
    </row>
    <row r="837" spans="1:4" x14ac:dyDescent="0.2">
      <c r="A837" s="5">
        <v>776</v>
      </c>
      <c r="B837" s="138">
        <f>'Expenditures 15-22'!E36</f>
        <v>329</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4133</v>
      </c>
      <c r="D839" s="2" t="str">
        <f t="shared" si="12"/>
        <v>Error?</v>
      </c>
    </row>
    <row r="840" spans="1:4" x14ac:dyDescent="0.2">
      <c r="A840" s="5">
        <v>779</v>
      </c>
      <c r="B840" s="138">
        <f>'Expenditures 15-22'!E39</f>
        <v>4255</v>
      </c>
      <c r="D840" s="2" t="str">
        <f t="shared" si="12"/>
        <v>Error?</v>
      </c>
    </row>
    <row r="841" spans="1:4" x14ac:dyDescent="0.2">
      <c r="A841" s="5">
        <v>780</v>
      </c>
      <c r="B841" s="138">
        <f>'Expenditures 15-22'!E40</f>
        <v>259217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267934</v>
      </c>
      <c r="C843" s="2" t="s">
        <v>573</v>
      </c>
      <c r="D843" s="2" t="str">
        <f t="shared" si="12"/>
        <v>Error?</v>
      </c>
    </row>
    <row r="844" spans="1:4" x14ac:dyDescent="0.2">
      <c r="A844" s="5">
        <v>783</v>
      </c>
      <c r="B844" s="138">
        <f>'Expenditures 15-22'!E44</f>
        <v>110348</v>
      </c>
      <c r="D844" s="2" t="str">
        <f t="shared" si="12"/>
        <v>Error?</v>
      </c>
    </row>
    <row r="845" spans="1:4" x14ac:dyDescent="0.2">
      <c r="A845" s="5">
        <v>784</v>
      </c>
      <c r="B845" s="138">
        <f>'Expenditures 15-22'!E45</f>
        <v>127435</v>
      </c>
      <c r="D845" s="2" t="str">
        <f t="shared" si="12"/>
        <v>Error?</v>
      </c>
    </row>
    <row r="846" spans="1:4" x14ac:dyDescent="0.2">
      <c r="A846" s="5">
        <v>785</v>
      </c>
      <c r="B846" s="138">
        <f>'Expenditures 15-22'!E46</f>
        <v>19100</v>
      </c>
      <c r="D846" s="2" t="str">
        <f t="shared" si="12"/>
        <v>Error?</v>
      </c>
    </row>
    <row r="847" spans="1:4" x14ac:dyDescent="0.2">
      <c r="A847" s="5">
        <v>786</v>
      </c>
      <c r="B847" s="138">
        <f>'Expenditures 15-22'!E47</f>
        <v>256883</v>
      </c>
      <c r="C847" s="2" t="s">
        <v>573</v>
      </c>
      <c r="D847" s="2" t="str">
        <f t="shared" si="12"/>
        <v>Error?</v>
      </c>
    </row>
    <row r="848" spans="1:4" x14ac:dyDescent="0.2">
      <c r="A848" s="5">
        <v>787</v>
      </c>
      <c r="B848" s="138">
        <f>'Expenditures 15-22'!E49</f>
        <v>124234</v>
      </c>
      <c r="D848" s="2" t="str">
        <f t="shared" si="12"/>
        <v>Error?</v>
      </c>
    </row>
    <row r="849" spans="1:4" x14ac:dyDescent="0.2">
      <c r="A849" s="5">
        <v>788</v>
      </c>
      <c r="B849" s="138">
        <f>'Expenditures 15-22'!E50</f>
        <v>56315</v>
      </c>
      <c r="D849" s="2" t="str">
        <f t="shared" si="12"/>
        <v>Error?</v>
      </c>
    </row>
    <row r="850" spans="1:4" x14ac:dyDescent="0.2">
      <c r="A850" s="5">
        <v>789</v>
      </c>
      <c r="B850" s="138">
        <f>'Expenditures 15-22'!E53</f>
        <v>192119</v>
      </c>
      <c r="C850" s="2" t="s">
        <v>573</v>
      </c>
      <c r="D850" s="2" t="str">
        <f t="shared" si="12"/>
        <v>Error?</v>
      </c>
    </row>
    <row r="851" spans="1:4" x14ac:dyDescent="0.2">
      <c r="A851" s="5">
        <v>790</v>
      </c>
      <c r="B851" s="138">
        <f>'Expenditures 15-22'!E55</f>
        <v>80927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80927</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10363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16199</v>
      </c>
      <c r="D858" s="2" t="str">
        <f t="shared" si="12"/>
        <v>Error?</v>
      </c>
    </row>
    <row r="859" spans="1:4" x14ac:dyDescent="0.2">
      <c r="A859" s="5">
        <v>798</v>
      </c>
      <c r="B859" s="138">
        <f>'Expenditures 15-22'!E64</f>
        <v>2364</v>
      </c>
      <c r="D859" s="2" t="str">
        <f t="shared" si="12"/>
        <v>Error?</v>
      </c>
    </row>
    <row r="860" spans="1:4" x14ac:dyDescent="0.2">
      <c r="A860" s="10">
        <v>799</v>
      </c>
      <c r="D860" s="2" t="str">
        <f t="shared" si="12"/>
        <v>OK</v>
      </c>
    </row>
    <row r="861" spans="1:4" x14ac:dyDescent="0.2">
      <c r="A861" s="5">
        <v>800</v>
      </c>
      <c r="B861" s="138">
        <f>'Expenditures 15-22'!E65</f>
        <v>28926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12535</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65967</v>
      </c>
      <c r="D867" s="2" t="str">
        <f t="shared" si="12"/>
        <v>Error?</v>
      </c>
    </row>
    <row r="868" spans="1:4" x14ac:dyDescent="0.2">
      <c r="A868" s="10">
        <v>807</v>
      </c>
      <c r="D868" s="2" t="str">
        <f t="shared" si="12"/>
        <v>OK</v>
      </c>
    </row>
    <row r="869" spans="1:4" x14ac:dyDescent="0.2">
      <c r="A869" s="5">
        <v>808</v>
      </c>
      <c r="B869" s="138">
        <f>'Expenditures 15-22'!E72</f>
        <v>78502</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905291</v>
      </c>
      <c r="C871" s="2" t="s">
        <v>573</v>
      </c>
      <c r="D871" s="2" t="str">
        <f t="shared" si="12"/>
        <v>Error?</v>
      </c>
    </row>
    <row r="872" spans="1:4" x14ac:dyDescent="0.2">
      <c r="A872" s="5">
        <v>811</v>
      </c>
      <c r="B872" s="138">
        <f>'Expenditures 15-22'!E75</f>
        <v>107204</v>
      </c>
      <c r="D872" s="2" t="str">
        <f t="shared" si="12"/>
        <v>Error?</v>
      </c>
    </row>
    <row r="873" spans="1:4" x14ac:dyDescent="0.2">
      <c r="A873" s="5">
        <v>812</v>
      </c>
      <c r="B873" s="138">
        <f>'Expenditures 15-22'!E114</f>
        <v>1348581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376133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57710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5974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590987</v>
      </c>
      <c r="C894" s="2" t="s">
        <v>573</v>
      </c>
      <c r="D894" s="2" t="str">
        <f t="shared" si="12"/>
        <v>Error?</v>
      </c>
    </row>
    <row r="895" spans="1:4" x14ac:dyDescent="0.2">
      <c r="A895" s="5">
        <v>834</v>
      </c>
      <c r="B895" s="138">
        <f>'Expenditures 15-22'!F36</f>
        <v>4151</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3262</v>
      </c>
      <c r="D897" s="2" t="str">
        <f t="shared" si="13"/>
        <v>Error?</v>
      </c>
    </row>
    <row r="898" spans="1:4" x14ac:dyDescent="0.2">
      <c r="A898" s="5">
        <v>837</v>
      </c>
      <c r="B898" s="138">
        <f>'Expenditures 15-22'!F39</f>
        <v>4577</v>
      </c>
      <c r="D898" s="2" t="str">
        <f t="shared" si="13"/>
        <v>Error?</v>
      </c>
    </row>
    <row r="899" spans="1:4" x14ac:dyDescent="0.2">
      <c r="A899" s="5">
        <v>838</v>
      </c>
      <c r="B899" s="138">
        <f>'Expenditures 15-22'!F40</f>
        <v>7420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19410</v>
      </c>
      <c r="C901" s="2" t="s">
        <v>573</v>
      </c>
      <c r="D901" s="2" t="str">
        <f t="shared" si="13"/>
        <v>Error?</v>
      </c>
    </row>
    <row r="902" spans="1:4" x14ac:dyDescent="0.2">
      <c r="A902" s="5">
        <v>841</v>
      </c>
      <c r="B902" s="138">
        <f>'Expenditures 15-22'!F44</f>
        <v>77952</v>
      </c>
      <c r="D902" s="2" t="str">
        <f t="shared" si="13"/>
        <v>Error?</v>
      </c>
    </row>
    <row r="903" spans="1:4" x14ac:dyDescent="0.2">
      <c r="A903" s="5">
        <v>842</v>
      </c>
      <c r="B903" s="138">
        <f>'Expenditures 15-22'!F45</f>
        <v>50636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128588</v>
      </c>
      <c r="C905" s="2" t="s">
        <v>573</v>
      </c>
      <c r="D905" s="2" t="str">
        <f t="shared" si="13"/>
        <v>Error?</v>
      </c>
    </row>
    <row r="906" spans="1:4" x14ac:dyDescent="0.2">
      <c r="A906" s="5">
        <v>845</v>
      </c>
      <c r="B906" s="138">
        <f>'Expenditures 15-22'!F49</f>
        <v>10778</v>
      </c>
      <c r="D906" s="2" t="str">
        <f t="shared" si="13"/>
        <v>Error?</v>
      </c>
    </row>
    <row r="907" spans="1:4" x14ac:dyDescent="0.2">
      <c r="A907" s="5">
        <v>846</v>
      </c>
      <c r="B907" s="138">
        <f>'Expenditures 15-22'!F50</f>
        <v>10273</v>
      </c>
      <c r="D907" s="2" t="str">
        <f t="shared" si="13"/>
        <v>Error?</v>
      </c>
    </row>
    <row r="908" spans="1:4" x14ac:dyDescent="0.2">
      <c r="A908" s="5">
        <v>847</v>
      </c>
      <c r="B908" s="138">
        <f>'Expenditures 15-22'!F53</f>
        <v>24920</v>
      </c>
      <c r="C908" s="2" t="s">
        <v>573</v>
      </c>
      <c r="D908" s="2" t="str">
        <f t="shared" si="13"/>
        <v>Error?</v>
      </c>
    </row>
    <row r="909" spans="1:4" x14ac:dyDescent="0.2">
      <c r="A909" s="5">
        <v>848</v>
      </c>
      <c r="B909" s="138">
        <f>'Expenditures 15-22'!F55</f>
        <v>15506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15506</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1162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404169</v>
      </c>
      <c r="D916" s="2" t="str">
        <f t="shared" si="13"/>
        <v>Error?</v>
      </c>
    </row>
    <row r="917" spans="1:4" x14ac:dyDescent="0.2">
      <c r="A917" s="5">
        <v>856</v>
      </c>
      <c r="B917" s="138">
        <f>'Expenditures 15-22'!F64</f>
        <v>31792</v>
      </c>
      <c r="D917" s="2" t="str">
        <f t="shared" si="13"/>
        <v>Error?</v>
      </c>
    </row>
    <row r="918" spans="1:4" x14ac:dyDescent="0.2">
      <c r="A918" s="10">
        <v>857</v>
      </c>
      <c r="D918" s="2" t="str">
        <f t="shared" si="13"/>
        <v>OK</v>
      </c>
    </row>
    <row r="919" spans="1:4" x14ac:dyDescent="0.2">
      <c r="A919" s="5">
        <v>858</v>
      </c>
      <c r="B919" s="138">
        <f>'Expenditures 15-22'!F65</f>
        <v>437123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625547</v>
      </c>
      <c r="C929" s="2" t="s">
        <v>573</v>
      </c>
      <c r="D929" s="2" t="str">
        <f t="shared" si="13"/>
        <v>Error?</v>
      </c>
    </row>
    <row r="930" spans="1:4" x14ac:dyDescent="0.2">
      <c r="A930" s="5">
        <v>869</v>
      </c>
      <c r="B930" s="138">
        <f>'Expenditures 15-22'!F75</f>
        <v>32843</v>
      </c>
      <c r="D930" s="2" t="str">
        <f t="shared" si="13"/>
        <v>Error?</v>
      </c>
    </row>
    <row r="931" spans="1:4" x14ac:dyDescent="0.2">
      <c r="A931" s="5">
        <v>870</v>
      </c>
      <c r="B931" s="138">
        <f>'Expenditures 15-22'!F114</f>
        <v>1249377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77215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82186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8544</v>
      </c>
      <c r="D955" s="2" t="str">
        <f t="shared" si="13"/>
        <v>Error?</v>
      </c>
    </row>
    <row r="956" spans="1:4" x14ac:dyDescent="0.2">
      <c r="A956" s="5">
        <v>895</v>
      </c>
      <c r="B956" s="138">
        <f>'Expenditures 15-22'!G39</f>
        <v>0</v>
      </c>
      <c r="D956" s="2" t="str">
        <f t="shared" si="13"/>
        <v>Error?</v>
      </c>
    </row>
    <row r="957" spans="1:4" x14ac:dyDescent="0.2">
      <c r="A957" s="5">
        <v>896</v>
      </c>
      <c r="B957" s="138">
        <f>'Expenditures 15-22'!G40</f>
        <v>538</v>
      </c>
      <c r="D957" s="2" t="str">
        <f t="shared" si="13"/>
        <v>Error?</v>
      </c>
    </row>
    <row r="958" spans="1:4" x14ac:dyDescent="0.2">
      <c r="A958" s="5">
        <v>897</v>
      </c>
      <c r="B958" s="138">
        <f>'Expenditures 15-22'!G41</f>
        <v>0</v>
      </c>
      <c r="D958" s="2" t="str">
        <f t="shared" si="13"/>
        <v>Error?</v>
      </c>
    </row>
    <row r="959" spans="1:4" x14ac:dyDescent="0.2">
      <c r="A959" s="5">
        <v>898</v>
      </c>
      <c r="B959" s="138">
        <f>'Expenditures 15-22'!G42</f>
        <v>9082</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66078</v>
      </c>
      <c r="D961" s="2" t="str">
        <f t="shared" si="14"/>
        <v>Error?</v>
      </c>
    </row>
    <row r="962" spans="1:4" x14ac:dyDescent="0.2">
      <c r="A962" s="5">
        <v>901</v>
      </c>
      <c r="B962" s="138">
        <f>'Expenditures 15-22'!G46</f>
        <v>0</v>
      </c>
      <c r="D962" s="2" t="str">
        <f t="shared" si="14"/>
        <v>Error?</v>
      </c>
    </row>
    <row r="963" spans="1:4" x14ac:dyDescent="0.2">
      <c r="A963" s="5">
        <v>902</v>
      </c>
      <c r="B963" s="138">
        <f>'Expenditures 15-22'!G47</f>
        <v>66078</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22991</v>
      </c>
      <c r="D974" s="2" t="str">
        <f t="shared" si="14"/>
        <v>Error?</v>
      </c>
    </row>
    <row r="975" spans="1:4" x14ac:dyDescent="0.2">
      <c r="A975" s="5">
        <v>914</v>
      </c>
      <c r="B975" s="138">
        <f>'Expenditures 15-22'!G64</f>
        <v>32120</v>
      </c>
      <c r="D975" s="2" t="str">
        <f t="shared" si="14"/>
        <v>Error?</v>
      </c>
    </row>
    <row r="976" spans="1:4" x14ac:dyDescent="0.2">
      <c r="A976" s="10">
        <v>915</v>
      </c>
      <c r="D976" s="2" t="str">
        <f t="shared" si="14"/>
        <v>OK</v>
      </c>
    </row>
    <row r="977" spans="1:4" x14ac:dyDescent="0.2">
      <c r="A977" s="5">
        <v>916</v>
      </c>
      <c r="B977" s="138">
        <f>'Expenditures 15-22'!G65</f>
        <v>55111</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130271</v>
      </c>
      <c r="C987" s="2" t="s">
        <v>573</v>
      </c>
      <c r="D987" s="2" t="str">
        <f t="shared" si="14"/>
        <v>Error?</v>
      </c>
    </row>
    <row r="988" spans="1:4" x14ac:dyDescent="0.2">
      <c r="A988" s="5">
        <v>927</v>
      </c>
      <c r="B988" s="138">
        <f>'Expenditures 15-22'!G75</f>
        <v>600</v>
      </c>
      <c r="D988" s="2" t="str">
        <f t="shared" si="14"/>
        <v>Error?</v>
      </c>
    </row>
    <row r="989" spans="1:4" x14ac:dyDescent="0.2">
      <c r="A989" s="5">
        <v>928</v>
      </c>
      <c r="B989" s="138">
        <f>'Expenditures 15-22'!G114</f>
        <v>213057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1229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3674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4903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11574</v>
      </c>
      <c r="D1022" s="2" t="str">
        <f t="shared" si="14"/>
        <v>Error?</v>
      </c>
    </row>
    <row r="1023" spans="1:4" x14ac:dyDescent="0.2">
      <c r="A1023" s="5">
        <v>962</v>
      </c>
      <c r="B1023" s="138">
        <f>'Expenditures 15-22'!H50</f>
        <v>5974</v>
      </c>
      <c r="D1023" s="2" t="str">
        <f t="shared" ref="D1023:D1086" si="15">IF(ISBLANK(B1023),"OK",IF(A1023-B1023=0,"OK","Error?"))</f>
        <v>Error?</v>
      </c>
    </row>
    <row r="1024" spans="1:4" x14ac:dyDescent="0.2">
      <c r="A1024" s="5">
        <v>963</v>
      </c>
      <c r="B1024" s="138">
        <f>'Expenditures 15-22'!H53</f>
        <v>19527</v>
      </c>
      <c r="C1024" s="2" t="s">
        <v>573</v>
      </c>
      <c r="D1024" s="2" t="str">
        <f t="shared" si="15"/>
        <v>Error?</v>
      </c>
    </row>
    <row r="1025" spans="1:4" x14ac:dyDescent="0.2">
      <c r="A1025" s="5">
        <v>964</v>
      </c>
      <c r="B1025" s="138">
        <f>'Expenditures 15-22'!H55</f>
        <v>4771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4771</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855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2004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2859</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27157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632284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664344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7134749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753122</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75139</v>
      </c>
      <c r="C1106" s="2" t="s">
        <v>573</v>
      </c>
      <c r="D1106" s="2" t="str">
        <f t="shared" si="16"/>
        <v>Error?</v>
      </c>
    </row>
    <row r="1107" spans="1:4" x14ac:dyDescent="0.2">
      <c r="A1107" s="5">
        <v>1046</v>
      </c>
      <c r="B1107" s="138">
        <f>'Expenditures 15-22'!K15</f>
        <v>6359</v>
      </c>
      <c r="C1107" s="2" t="s">
        <v>573</v>
      </c>
      <c r="D1107" s="2" t="str">
        <f t="shared" si="16"/>
        <v>Error?</v>
      </c>
    </row>
    <row r="1108" spans="1:4" x14ac:dyDescent="0.2">
      <c r="A1108" s="5">
        <v>1047</v>
      </c>
      <c r="B1108" s="138">
        <f>'Expenditures 15-22'!K33</f>
        <v>10563499</v>
      </c>
      <c r="C1108" s="2" t="s">
        <v>573</v>
      </c>
      <c r="D1108" s="2" t="str">
        <f t="shared" si="16"/>
        <v>Error?</v>
      </c>
    </row>
    <row r="1109" spans="1:4" x14ac:dyDescent="0.2">
      <c r="A1109" s="5">
        <v>1048</v>
      </c>
      <c r="B1109" s="138">
        <f>'Expenditures 15-22'!K36</f>
        <v>372791</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344673</v>
      </c>
      <c r="C1111" s="2" t="s">
        <v>573</v>
      </c>
      <c r="D1111" s="2" t="str">
        <f t="shared" si="16"/>
        <v>Error?</v>
      </c>
    </row>
    <row r="1112" spans="1:4" x14ac:dyDescent="0.2">
      <c r="A1112" s="5">
        <v>1051</v>
      </c>
      <c r="B1112" s="138">
        <f>'Expenditures 15-22'!K39</f>
        <v>237247</v>
      </c>
      <c r="C1112" s="2" t="s">
        <v>573</v>
      </c>
      <c r="D1112" s="2" t="str">
        <f t="shared" si="16"/>
        <v>Error?</v>
      </c>
    </row>
    <row r="1113" spans="1:4" x14ac:dyDescent="0.2">
      <c r="A1113" s="5">
        <v>1052</v>
      </c>
      <c r="B1113" s="138">
        <f>'Expenditures 15-22'!K40</f>
        <v>493085</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1447796</v>
      </c>
      <c r="C1115" s="2" t="s">
        <v>573</v>
      </c>
      <c r="D1115" s="2" t="str">
        <f t="shared" si="16"/>
        <v>Error?</v>
      </c>
    </row>
    <row r="1116" spans="1:4" x14ac:dyDescent="0.2">
      <c r="A1116" s="5">
        <v>1055</v>
      </c>
      <c r="B1116" s="138">
        <f>'Expenditures 15-22'!K44</f>
        <v>680275</v>
      </c>
      <c r="C1116" s="2" t="s">
        <v>573</v>
      </c>
      <c r="D1116" s="2" t="str">
        <f t="shared" si="16"/>
        <v>Error?</v>
      </c>
    </row>
    <row r="1117" spans="1:4" x14ac:dyDescent="0.2">
      <c r="A1117" s="5">
        <v>1056</v>
      </c>
      <c r="B1117" s="138">
        <f>'Expenditures 15-22'!K45</f>
        <v>419002</v>
      </c>
      <c r="C1117" s="2" t="s">
        <v>573</v>
      </c>
      <c r="D1117" s="2" t="str">
        <f t="shared" si="16"/>
        <v>Error?</v>
      </c>
    </row>
    <row r="1118" spans="1:4" x14ac:dyDescent="0.2">
      <c r="A1118" s="5">
        <v>1057</v>
      </c>
      <c r="B1118" s="138">
        <f>'Expenditures 15-22'!K46</f>
        <v>19100</v>
      </c>
      <c r="C1118" s="2" t="s">
        <v>573</v>
      </c>
      <c r="D1118" s="2" t="str">
        <f t="shared" si="16"/>
        <v>Error?</v>
      </c>
    </row>
    <row r="1119" spans="1:4" x14ac:dyDescent="0.2">
      <c r="A1119" s="5">
        <v>1058</v>
      </c>
      <c r="B1119" s="138">
        <f>'Expenditures 15-22'!K47</f>
        <v>1118377</v>
      </c>
      <c r="C1119" s="2" t="s">
        <v>573</v>
      </c>
      <c r="D1119" s="2" t="str">
        <f t="shared" si="16"/>
        <v>Error?</v>
      </c>
    </row>
    <row r="1120" spans="1:4" x14ac:dyDescent="0.2">
      <c r="A1120" s="5">
        <v>1059</v>
      </c>
      <c r="B1120" s="138">
        <f>'Expenditures 15-22'!K49</f>
        <v>179279</v>
      </c>
      <c r="C1120" s="2" t="s">
        <v>573</v>
      </c>
      <c r="D1120" s="2" t="str">
        <f t="shared" si="16"/>
        <v>Error?</v>
      </c>
    </row>
    <row r="1121" spans="1:4" x14ac:dyDescent="0.2">
      <c r="A1121" s="5">
        <v>1060</v>
      </c>
      <c r="B1121" s="138">
        <f>'Expenditures 15-22'!K50</f>
        <v>467655</v>
      </c>
      <c r="C1121" s="2" t="s">
        <v>573</v>
      </c>
      <c r="D1121" s="2" t="str">
        <f t="shared" si="16"/>
        <v>Error?</v>
      </c>
    </row>
    <row r="1122" spans="1:4" x14ac:dyDescent="0.2">
      <c r="A1122" s="5">
        <v>1061</v>
      </c>
      <c r="B1122" s="138">
        <f>'Expenditures 15-22'!K53</f>
        <v>1014821</v>
      </c>
      <c r="C1122" s="2" t="s">
        <v>573</v>
      </c>
      <c r="D1122" s="2" t="str">
        <f t="shared" si="16"/>
        <v>Error?</v>
      </c>
    </row>
    <row r="1123" spans="1:4" x14ac:dyDescent="0.2">
      <c r="A1123" s="5">
        <v>1062</v>
      </c>
      <c r="B1123" s="138">
        <f>'Expenditures 15-22'!K55</f>
        <v>1407300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1407300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210737</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793493</v>
      </c>
      <c r="C1130" s="2" t="s">
        <v>573</v>
      </c>
      <c r="D1130" s="2" t="str">
        <f t="shared" si="16"/>
        <v>Error?</v>
      </c>
    </row>
    <row r="1131" spans="1:4" x14ac:dyDescent="0.2">
      <c r="A1131" s="5">
        <v>1070</v>
      </c>
      <c r="B1131" s="138">
        <f>'Expenditures 15-22'!K64</f>
        <v>94789</v>
      </c>
      <c r="C1131" s="2" t="s">
        <v>573</v>
      </c>
      <c r="D1131" s="2" t="str">
        <f t="shared" si="16"/>
        <v>Error?</v>
      </c>
    </row>
    <row r="1132" spans="1:4" x14ac:dyDescent="0.2">
      <c r="A1132" s="10">
        <v>1071</v>
      </c>
      <c r="D1132" s="2" t="str">
        <f t="shared" si="16"/>
        <v>OK</v>
      </c>
    </row>
    <row r="1133" spans="1:4" x14ac:dyDescent="0.2">
      <c r="A1133" s="5">
        <v>1072</v>
      </c>
      <c r="B1133" s="138">
        <f>'Expenditures 15-22'!K65</f>
        <v>1099019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12535</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49620</v>
      </c>
      <c r="C1137" s="2" t="s">
        <v>573</v>
      </c>
      <c r="D1137" s="2" t="str">
        <f t="shared" si="16"/>
        <v>Error?</v>
      </c>
    </row>
    <row r="1138" spans="1:4" x14ac:dyDescent="0.2">
      <c r="A1138" s="10">
        <v>1077</v>
      </c>
      <c r="D1138" s="2" t="str">
        <f t="shared" si="16"/>
        <v>OK</v>
      </c>
    </row>
    <row r="1139" spans="1:4" x14ac:dyDescent="0.2">
      <c r="A1139" s="5">
        <v>1078</v>
      </c>
      <c r="B1139" s="138">
        <f>'Expenditures 15-22'!K71</f>
        <v>130954</v>
      </c>
      <c r="C1139" s="2" t="s">
        <v>573</v>
      </c>
      <c r="D1139" s="2" t="str">
        <f t="shared" si="16"/>
        <v>Error?</v>
      </c>
    </row>
    <row r="1140" spans="1:4" x14ac:dyDescent="0.2">
      <c r="A1140" s="10">
        <v>1079</v>
      </c>
      <c r="D1140" s="2" t="str">
        <f t="shared" si="16"/>
        <v>OK</v>
      </c>
    </row>
    <row r="1141" spans="1:4" x14ac:dyDescent="0.2">
      <c r="A1141" s="5">
        <v>1080</v>
      </c>
      <c r="B1141" s="138">
        <f>'Expenditures 15-22'!K72</f>
        <v>193109</v>
      </c>
      <c r="C1141" s="2" t="s">
        <v>573</v>
      </c>
      <c r="D1141" s="2" t="str">
        <f t="shared" si="16"/>
        <v>Error?</v>
      </c>
    </row>
    <row r="1142" spans="1:4" x14ac:dyDescent="0.2">
      <c r="A1142" s="5">
        <v>1081</v>
      </c>
      <c r="B1142" s="138">
        <f>'Expenditures 15-22'!K73</f>
        <v>17833</v>
      </c>
      <c r="C1142" s="2" t="s">
        <v>573</v>
      </c>
      <c r="D1142" s="2" t="str">
        <f t="shared" si="16"/>
        <v>Error?</v>
      </c>
    </row>
    <row r="1143" spans="1:4" x14ac:dyDescent="0.2">
      <c r="A1143" s="5">
        <v>1082</v>
      </c>
      <c r="B1143" s="138">
        <f>'Expenditures 15-22'!K74</f>
        <v>6298255</v>
      </c>
      <c r="C1143" s="2" t="s">
        <v>573</v>
      </c>
      <c r="D1143" s="2" t="str">
        <f t="shared" si="16"/>
        <v>Error?</v>
      </c>
    </row>
    <row r="1144" spans="1:4" x14ac:dyDescent="0.2">
      <c r="A1144" s="5">
        <v>1083</v>
      </c>
      <c r="B1144" s="138">
        <f>'Expenditures 15-22'!K75</f>
        <v>187725</v>
      </c>
      <c r="C1144" s="2" t="s">
        <v>573</v>
      </c>
      <c r="D1144" s="2" t="str">
        <f t="shared" si="16"/>
        <v>Error?</v>
      </c>
    </row>
    <row r="1145" spans="1:4" x14ac:dyDescent="0.2">
      <c r="A1145" s="5">
        <v>1084</v>
      </c>
      <c r="B1145" s="138">
        <f>'Expenditures 15-22'!K102</f>
        <v>665200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17714679</v>
      </c>
      <c r="C1152" s="2" t="s">
        <v>573</v>
      </c>
      <c r="D1152" s="2" t="str">
        <f t="shared" si="17"/>
        <v>Error?</v>
      </c>
    </row>
    <row r="1153" spans="1:4" x14ac:dyDescent="0.2">
      <c r="A1153" s="5">
        <v>1092</v>
      </c>
      <c r="B1153" s="138">
        <f>'Expenditures 15-22'!K115</f>
        <v>-326285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413260</v>
      </c>
      <c r="D1221" s="2" t="str">
        <f t="shared" si="18"/>
        <v>Error?</v>
      </c>
    </row>
    <row r="1222" spans="1:4" x14ac:dyDescent="0.2">
      <c r="A1222" s="10">
        <v>1161</v>
      </c>
      <c r="D1222" s="2" t="str">
        <f t="shared" si="18"/>
        <v>OK</v>
      </c>
    </row>
    <row r="1223" spans="1:4" x14ac:dyDescent="0.2">
      <c r="A1223" s="5">
        <v>1162</v>
      </c>
      <c r="B1223" s="138">
        <f>'Expenditures 15-22'!C127</f>
        <v>413260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413260</v>
      </c>
      <c r="C1225" s="2" t="s">
        <v>573</v>
      </c>
      <c r="D1225" s="2" t="str">
        <f t="shared" si="18"/>
        <v>Error?</v>
      </c>
    </row>
    <row r="1226" spans="1:4" x14ac:dyDescent="0.2">
      <c r="A1226" s="5">
        <v>1165</v>
      </c>
      <c r="B1226" s="138">
        <f>'Expenditures 15-22'!C151</f>
        <v>413260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86534</v>
      </c>
      <c r="D1229" s="2" t="str">
        <f t="shared" si="18"/>
        <v>Error?</v>
      </c>
    </row>
    <row r="1230" spans="1:4" x14ac:dyDescent="0.2">
      <c r="A1230" s="10">
        <v>1169</v>
      </c>
      <c r="D1230" s="2" t="str">
        <f t="shared" si="18"/>
        <v>OK</v>
      </c>
    </row>
    <row r="1231" spans="1:4" x14ac:dyDescent="0.2">
      <c r="A1231" s="5">
        <v>1170</v>
      </c>
      <c r="B1231" s="138">
        <f>'Expenditures 15-22'!D127</f>
        <v>86534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86534</v>
      </c>
      <c r="C1233" s="2" t="s">
        <v>573</v>
      </c>
      <c r="D1233" s="2" t="str">
        <f t="shared" si="18"/>
        <v>Error?</v>
      </c>
    </row>
    <row r="1234" spans="1:4" x14ac:dyDescent="0.2">
      <c r="A1234" s="5">
        <v>1173</v>
      </c>
      <c r="B1234" s="138">
        <f>'Expenditures 15-22'!D151</f>
        <v>86534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398779</v>
      </c>
      <c r="D1237" s="2" t="str">
        <f t="shared" si="18"/>
        <v>Error?</v>
      </c>
    </row>
    <row r="1238" spans="1:4" x14ac:dyDescent="0.2">
      <c r="A1238" s="10">
        <v>1177</v>
      </c>
      <c r="D1238" s="2" t="str">
        <f t="shared" si="18"/>
        <v>OK</v>
      </c>
    </row>
    <row r="1239" spans="1:4" x14ac:dyDescent="0.2">
      <c r="A1239" s="5">
        <v>1178</v>
      </c>
      <c r="B1239" s="138">
        <f>'Expenditures 15-22'!E127</f>
        <v>398779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398779</v>
      </c>
      <c r="C1241" s="2" t="s">
        <v>573</v>
      </c>
      <c r="D1241" s="2" t="str">
        <f t="shared" si="18"/>
        <v>Error?</v>
      </c>
    </row>
    <row r="1242" spans="1:4" x14ac:dyDescent="0.2">
      <c r="A1242" s="5">
        <v>1181</v>
      </c>
      <c r="B1242" s="138">
        <f>'Expenditures 15-22'!E151</f>
        <v>398779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454399</v>
      </c>
      <c r="D1245" s="2" t="str">
        <f t="shared" si="18"/>
        <v>Error?</v>
      </c>
    </row>
    <row r="1246" spans="1:4" x14ac:dyDescent="0.2">
      <c r="A1246" s="10">
        <v>1185</v>
      </c>
      <c r="D1246" s="2" t="str">
        <f t="shared" si="18"/>
        <v>OK</v>
      </c>
    </row>
    <row r="1247" spans="1:4" x14ac:dyDescent="0.2">
      <c r="A1247" s="5">
        <v>1186</v>
      </c>
      <c r="B1247" s="138">
        <f>'Expenditures 15-22'!F127</f>
        <v>454399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454399</v>
      </c>
      <c r="C1249" s="2" t="s">
        <v>573</v>
      </c>
      <c r="D1249" s="2" t="str">
        <f t="shared" si="18"/>
        <v>Error?</v>
      </c>
    </row>
    <row r="1250" spans="1:4" x14ac:dyDescent="0.2">
      <c r="A1250" s="5">
        <v>1189</v>
      </c>
      <c r="B1250" s="138">
        <f>'Expenditures 15-22'!F151</f>
        <v>454399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83866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83866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83866</v>
      </c>
      <c r="C1258" s="2" t="s">
        <v>573</v>
      </c>
      <c r="D1258" s="2" t="str">
        <f t="shared" si="18"/>
        <v>Error?</v>
      </c>
    </row>
    <row r="1259" spans="1:4" x14ac:dyDescent="0.2">
      <c r="A1259" s="5">
        <v>1198</v>
      </c>
      <c r="B1259" s="138">
        <f>'Expenditures 15-22'!G151</f>
        <v>83866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1436838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1436838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1436838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1436838</v>
      </c>
      <c r="C1288" s="2" t="s">
        <v>573</v>
      </c>
      <c r="D1288" s="2" t="str">
        <f t="shared" si="19"/>
        <v>Error?</v>
      </c>
    </row>
    <row r="1289" spans="1:4" x14ac:dyDescent="0.2">
      <c r="A1289" s="5">
        <v>1228</v>
      </c>
      <c r="B1289" s="138">
        <f>'Expenditures 15-22'!K152</f>
        <v>19424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1021324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875000</v>
      </c>
      <c r="D1315" s="2" t="str">
        <f t="shared" si="19"/>
        <v>Error?</v>
      </c>
    </row>
    <row r="1316" spans="1:4" x14ac:dyDescent="0.2">
      <c r="A1316" s="5">
        <v>1255</v>
      </c>
      <c r="B1316" s="138">
        <f>'Expenditures 15-22'!H171</f>
        <v>974</v>
      </c>
      <c r="D1316" s="2" t="str">
        <f t="shared" si="19"/>
        <v>Error?</v>
      </c>
    </row>
    <row r="1317" spans="1:4" x14ac:dyDescent="0.2">
      <c r="A1317" s="5">
        <v>1256</v>
      </c>
      <c r="B1317" s="138">
        <f>'Expenditures 15-22'!H172</f>
        <v>1897298</v>
      </c>
      <c r="C1317" s="2" t="s">
        <v>573</v>
      </c>
      <c r="D1317" s="2" t="str">
        <f t="shared" si="19"/>
        <v>Error?</v>
      </c>
    </row>
    <row r="1318" spans="1:4" x14ac:dyDescent="0.2">
      <c r="A1318" s="5">
        <v>1257</v>
      </c>
      <c r="B1318" s="138">
        <f>'Expenditures 15-22'!H174</f>
        <v>1897298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1021324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875000</v>
      </c>
      <c r="C1329" s="2" t="s">
        <v>573</v>
      </c>
      <c r="D1329" s="2" t="str">
        <f t="shared" si="19"/>
        <v>Error?</v>
      </c>
    </row>
    <row r="1330" spans="1:4" x14ac:dyDescent="0.2">
      <c r="A1330" s="5">
        <v>1269</v>
      </c>
      <c r="B1330" s="138">
        <f>'Expenditures 15-22'!K171</f>
        <v>974</v>
      </c>
      <c r="C1330" s="2" t="s">
        <v>573</v>
      </c>
      <c r="D1330" s="2" t="str">
        <f t="shared" si="19"/>
        <v>Error?</v>
      </c>
    </row>
    <row r="1331" spans="1:4" x14ac:dyDescent="0.2">
      <c r="A1331" s="5">
        <v>1270</v>
      </c>
      <c r="B1331" s="138">
        <f>'Expenditures 15-22'!K172</f>
        <v>1897298</v>
      </c>
      <c r="C1331" s="2" t="s">
        <v>573</v>
      </c>
      <c r="D1331" s="2" t="str">
        <f t="shared" si="19"/>
        <v>Error?</v>
      </c>
    </row>
    <row r="1332" spans="1:4" x14ac:dyDescent="0.2">
      <c r="A1332" s="5">
        <v>1271</v>
      </c>
      <c r="B1332" s="138">
        <f>'Expenditures 15-22'!K174</f>
        <v>1897298</v>
      </c>
      <c r="C1332" s="2" t="s">
        <v>573</v>
      </c>
      <c r="D1332" s="2" t="str">
        <f t="shared" si="19"/>
        <v>Error?</v>
      </c>
    </row>
    <row r="1333" spans="1:4" x14ac:dyDescent="0.2">
      <c r="A1333" s="5">
        <v>1272</v>
      </c>
      <c r="B1333" s="138">
        <f>'Expenditures 15-22'!K175</f>
        <v>-129327</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717244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717244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717244</v>
      </c>
      <c r="C1353" s="2" t="s">
        <v>573</v>
      </c>
      <c r="D1353" s="2" t="str">
        <f t="shared" si="20"/>
        <v>Error?</v>
      </c>
    </row>
    <row r="1354" spans="1:4" x14ac:dyDescent="0.2">
      <c r="A1354" s="5">
        <v>1293</v>
      </c>
      <c r="B1354" s="138">
        <f>'Expenditures 15-22'!F182</f>
        <v>151420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151420</v>
      </c>
      <c r="C1358" s="2" t="s">
        <v>573</v>
      </c>
      <c r="D1358" s="2" t="str">
        <f t="shared" si="20"/>
        <v>Error?</v>
      </c>
    </row>
    <row r="1359" spans="1:4" x14ac:dyDescent="0.2">
      <c r="A1359" s="5">
        <v>1298</v>
      </c>
      <c r="B1359" s="138">
        <f>'Expenditures 15-22'!F210</f>
        <v>151420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868664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868664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868664</v>
      </c>
      <c r="C1388" s="2" t="s">
        <v>573</v>
      </c>
      <c r="D1388" s="2" t="str">
        <f t="shared" si="20"/>
        <v>Error?</v>
      </c>
    </row>
    <row r="1389" spans="1:4" x14ac:dyDescent="0.2">
      <c r="A1389" s="5">
        <v>1328</v>
      </c>
      <c r="B1389" s="138">
        <f>'Expenditures 15-22'!K211</f>
        <v>-9567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26099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185</v>
      </c>
      <c r="D1409" s="2" t="str">
        <f t="shared" si="21"/>
        <v>Error?</v>
      </c>
    </row>
    <row r="1410" spans="1:4" x14ac:dyDescent="0.2">
      <c r="A1410" s="5">
        <v>1349</v>
      </c>
      <c r="B1410" s="138">
        <f>'Expenditures 15-22'!D229</f>
        <v>279185</v>
      </c>
      <c r="C1410" s="2" t="s">
        <v>573</v>
      </c>
      <c r="D1410" s="2" t="str">
        <f t="shared" si="21"/>
        <v>Error?</v>
      </c>
    </row>
    <row r="1411" spans="1:4" x14ac:dyDescent="0.2">
      <c r="A1411" s="5">
        <v>1350</v>
      </c>
      <c r="B1411" s="138">
        <f>'Expenditures 15-22'!D232</f>
        <v>8431</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36471</v>
      </c>
      <c r="D1413" s="2" t="str">
        <f t="shared" si="21"/>
        <v>Error?</v>
      </c>
    </row>
    <row r="1414" spans="1:4" x14ac:dyDescent="0.2">
      <c r="A1414" s="5">
        <v>1353</v>
      </c>
      <c r="B1414" s="138">
        <f>'Expenditures 15-22'!D235</f>
        <v>2959</v>
      </c>
      <c r="D1414" s="2" t="str">
        <f t="shared" si="21"/>
        <v>Error?</v>
      </c>
    </row>
    <row r="1415" spans="1:4" x14ac:dyDescent="0.2">
      <c r="A1415" s="5">
        <v>1354</v>
      </c>
      <c r="B1415" s="138">
        <f>'Expenditures 15-22'!D236</f>
        <v>2831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50692</v>
      </c>
      <c r="C1417" s="2" t="s">
        <v>573</v>
      </c>
      <c r="D1417" s="2" t="str">
        <f t="shared" si="21"/>
        <v>Error?</v>
      </c>
    </row>
    <row r="1418" spans="1:4" x14ac:dyDescent="0.2">
      <c r="A1418" s="5">
        <v>1357</v>
      </c>
      <c r="B1418" s="138">
        <f>'Expenditures 15-22'!D240</f>
        <v>6476</v>
      </c>
      <c r="D1418" s="2" t="str">
        <f t="shared" si="21"/>
        <v>Error?</v>
      </c>
    </row>
    <row r="1419" spans="1:4" x14ac:dyDescent="0.2">
      <c r="A1419" s="5">
        <v>1358</v>
      </c>
      <c r="B1419" s="138">
        <f>'Expenditures 15-22'!D241</f>
        <v>16984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23460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11620</v>
      </c>
      <c r="D1423" s="2" t="str">
        <f t="shared" si="21"/>
        <v>Error?</v>
      </c>
    </row>
    <row r="1424" spans="1:4" x14ac:dyDescent="0.2">
      <c r="A1424" s="5">
        <v>1363</v>
      </c>
      <c r="B1424" s="138">
        <f>'Expenditures 15-22'!D257</f>
        <v>25490</v>
      </c>
      <c r="C1424" s="2" t="s">
        <v>573</v>
      </c>
      <c r="D1424" s="2" t="str">
        <f t="shared" si="21"/>
        <v>Error?</v>
      </c>
    </row>
    <row r="1425" spans="1:4" x14ac:dyDescent="0.2">
      <c r="A1425" s="5">
        <v>1364</v>
      </c>
      <c r="B1425" s="138">
        <f>'Expenditures 15-22'!D259</f>
        <v>53284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53284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25444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65585</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36752</v>
      </c>
      <c r="D1433" s="2" t="str">
        <f t="shared" si="21"/>
        <v>Error?</v>
      </c>
    </row>
    <row r="1434" spans="1:4" x14ac:dyDescent="0.2">
      <c r="A1434" s="5">
        <v>1373</v>
      </c>
      <c r="B1434" s="138">
        <f>'Expenditures 15-22'!D269</f>
        <v>4449</v>
      </c>
      <c r="D1434" s="2" t="str">
        <f t="shared" si="21"/>
        <v>Error?</v>
      </c>
    </row>
    <row r="1435" spans="1:4" x14ac:dyDescent="0.2">
      <c r="A1435" s="10">
        <v>1374</v>
      </c>
      <c r="D1435" s="2" t="str">
        <f t="shared" si="21"/>
        <v>OK</v>
      </c>
    </row>
    <row r="1436" spans="1:4" x14ac:dyDescent="0.2">
      <c r="A1436" s="5">
        <v>1375</v>
      </c>
      <c r="B1436" s="138">
        <f>'Expenditures 15-22'!D270</f>
        <v>132230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634</v>
      </c>
      <c r="D1440" s="2" t="str">
        <f t="shared" si="21"/>
        <v>Error?</v>
      </c>
    </row>
    <row r="1441" spans="1:4" x14ac:dyDescent="0.2">
      <c r="A1441" s="10">
        <v>1380</v>
      </c>
      <c r="D1441" s="2" t="str">
        <f t="shared" si="21"/>
        <v>OK</v>
      </c>
    </row>
    <row r="1442" spans="1:4" x14ac:dyDescent="0.2">
      <c r="A1442" s="5">
        <v>1381</v>
      </c>
      <c r="B1442" s="138">
        <f>'Expenditures 15-22'!D276</f>
        <v>10595</v>
      </c>
      <c r="D1442" s="2" t="str">
        <f t="shared" si="21"/>
        <v>Error?</v>
      </c>
    </row>
    <row r="1443" spans="1:4" x14ac:dyDescent="0.2">
      <c r="A1443" s="10">
        <v>1382</v>
      </c>
      <c r="D1443" s="2" t="str">
        <f t="shared" si="21"/>
        <v>OK</v>
      </c>
    </row>
    <row r="1444" spans="1:4" x14ac:dyDescent="0.2">
      <c r="A1444" s="5">
        <v>1383</v>
      </c>
      <c r="B1444" s="138">
        <f>'Expenditures 15-22'!D277</f>
        <v>11229</v>
      </c>
      <c r="C1444" s="2" t="s">
        <v>573</v>
      </c>
      <c r="D1444" s="2" t="str">
        <f t="shared" si="21"/>
        <v>Error?</v>
      </c>
    </row>
    <row r="1445" spans="1:4" x14ac:dyDescent="0.2">
      <c r="A1445" s="5">
        <v>1384</v>
      </c>
      <c r="B1445" s="138">
        <f>'Expenditures 15-22'!D278</f>
        <v>247</v>
      </c>
      <c r="D1445" s="2" t="str">
        <f t="shared" si="21"/>
        <v>Error?</v>
      </c>
    </row>
    <row r="1446" spans="1:4" x14ac:dyDescent="0.2">
      <c r="A1446" s="5">
        <v>1385</v>
      </c>
      <c r="B1446" s="138">
        <f>'Expenditures 15-22'!D279</f>
        <v>296632</v>
      </c>
      <c r="C1446" s="2" t="s">
        <v>573</v>
      </c>
      <c r="D1446" s="2" t="str">
        <f t="shared" si="21"/>
        <v>Error?</v>
      </c>
    </row>
    <row r="1447" spans="1:4" x14ac:dyDescent="0.2">
      <c r="A1447" s="5">
        <v>1386</v>
      </c>
      <c r="B1447" s="138">
        <f>'Expenditures 15-22'!D280</f>
        <v>5928</v>
      </c>
      <c r="D1447" s="2" t="str">
        <f t="shared" si="21"/>
        <v>Error?</v>
      </c>
    </row>
    <row r="1448" spans="1:4" x14ac:dyDescent="0.2">
      <c r="A1448" s="5">
        <v>1387</v>
      </c>
      <c r="B1448" s="138">
        <f>'Expenditures 15-22'!D295</f>
        <v>581745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26099</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185</v>
      </c>
      <c r="C1473" s="2" t="s">
        <v>573</v>
      </c>
      <c r="D1473" s="2" t="str">
        <f t="shared" si="22"/>
        <v>Error?</v>
      </c>
    </row>
    <row r="1474" spans="1:4" x14ac:dyDescent="0.2">
      <c r="A1474" s="5">
        <v>1413</v>
      </c>
      <c r="B1474" s="138">
        <f>'Expenditures 15-22'!K229</f>
        <v>279185</v>
      </c>
      <c r="C1474" s="2" t="s">
        <v>573</v>
      </c>
      <c r="D1474" s="2" t="str">
        <f t="shared" si="22"/>
        <v>Error?</v>
      </c>
    </row>
    <row r="1475" spans="1:4" x14ac:dyDescent="0.2">
      <c r="A1475" s="5">
        <v>1414</v>
      </c>
      <c r="B1475" s="138">
        <f>'Expenditures 15-22'!K232</f>
        <v>8431</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36471</v>
      </c>
      <c r="C1477" s="2" t="s">
        <v>573</v>
      </c>
      <c r="D1477" s="2" t="str">
        <f t="shared" si="22"/>
        <v>Error?</v>
      </c>
    </row>
    <row r="1478" spans="1:4" x14ac:dyDescent="0.2">
      <c r="A1478" s="5">
        <v>1417</v>
      </c>
      <c r="B1478" s="138">
        <f>'Expenditures 15-22'!K235</f>
        <v>2959</v>
      </c>
      <c r="C1478" s="2" t="s">
        <v>573</v>
      </c>
      <c r="D1478" s="2" t="str">
        <f t="shared" si="22"/>
        <v>Error?</v>
      </c>
    </row>
    <row r="1479" spans="1:4" x14ac:dyDescent="0.2">
      <c r="A1479" s="5">
        <v>1418</v>
      </c>
      <c r="B1479" s="138">
        <f>'Expenditures 15-22'!K236</f>
        <v>2831</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50692</v>
      </c>
      <c r="C1481" s="2" t="s">
        <v>573</v>
      </c>
      <c r="D1481" s="2" t="str">
        <f t="shared" si="22"/>
        <v>Error?</v>
      </c>
    </row>
    <row r="1482" spans="1:4" x14ac:dyDescent="0.2">
      <c r="A1482" s="5">
        <v>1421</v>
      </c>
      <c r="B1482" s="138">
        <f>'Expenditures 15-22'!K240</f>
        <v>6476</v>
      </c>
      <c r="C1482" s="2" t="s">
        <v>573</v>
      </c>
      <c r="D1482" s="2" t="str">
        <f t="shared" si="22"/>
        <v>Error?</v>
      </c>
    </row>
    <row r="1483" spans="1:4" x14ac:dyDescent="0.2">
      <c r="A1483" s="5">
        <v>1422</v>
      </c>
      <c r="B1483" s="138">
        <f>'Expenditures 15-22'!K241</f>
        <v>16984</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23460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11620</v>
      </c>
      <c r="C1487" s="2" t="s">
        <v>573</v>
      </c>
      <c r="D1487" s="2" t="str">
        <f t="shared" si="22"/>
        <v>Error?</v>
      </c>
    </row>
    <row r="1488" spans="1:4" x14ac:dyDescent="0.2">
      <c r="A1488" s="5">
        <v>1427</v>
      </c>
      <c r="B1488" s="138">
        <f>'Expenditures 15-22'!K257</f>
        <v>25490</v>
      </c>
      <c r="C1488" s="2" t="s">
        <v>573</v>
      </c>
      <c r="D1488" s="2" t="str">
        <f t="shared" si="22"/>
        <v>Error?</v>
      </c>
    </row>
    <row r="1489" spans="1:4" x14ac:dyDescent="0.2">
      <c r="A1489" s="5">
        <v>1428</v>
      </c>
      <c r="B1489" s="138">
        <f>'Expenditures 15-22'!K259</f>
        <v>53284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53284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25444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65585</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36752</v>
      </c>
      <c r="C1497" s="2" t="s">
        <v>573</v>
      </c>
      <c r="D1497" s="2" t="str">
        <f t="shared" si="22"/>
        <v>Error?</v>
      </c>
    </row>
    <row r="1498" spans="1:4" x14ac:dyDescent="0.2">
      <c r="A1498" s="5">
        <v>1437</v>
      </c>
      <c r="B1498" s="138">
        <f>'Expenditures 15-22'!K269</f>
        <v>4449</v>
      </c>
      <c r="C1498" s="2" t="s">
        <v>573</v>
      </c>
      <c r="D1498" s="2" t="str">
        <f t="shared" si="22"/>
        <v>Error?</v>
      </c>
    </row>
    <row r="1499" spans="1:4" x14ac:dyDescent="0.2">
      <c r="A1499" s="10">
        <v>1438</v>
      </c>
      <c r="D1499" s="2" t="str">
        <f t="shared" si="22"/>
        <v>OK</v>
      </c>
    </row>
    <row r="1500" spans="1:4" x14ac:dyDescent="0.2">
      <c r="A1500" s="5">
        <v>1439</v>
      </c>
      <c r="B1500" s="138">
        <f>'Expenditures 15-22'!K270</f>
        <v>132230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634</v>
      </c>
      <c r="C1504" s="2" t="s">
        <v>573</v>
      </c>
      <c r="D1504" s="2" t="str">
        <f t="shared" si="22"/>
        <v>Error?</v>
      </c>
    </row>
    <row r="1505" spans="1:4" x14ac:dyDescent="0.2">
      <c r="A1505" s="10">
        <v>1444</v>
      </c>
      <c r="D1505" s="2" t="str">
        <f t="shared" si="22"/>
        <v>OK</v>
      </c>
    </row>
    <row r="1506" spans="1:4" x14ac:dyDescent="0.2">
      <c r="A1506" s="5">
        <v>1445</v>
      </c>
      <c r="B1506" s="138">
        <f>'Expenditures 15-22'!K276</f>
        <v>10595</v>
      </c>
      <c r="C1506" s="2" t="s">
        <v>573</v>
      </c>
      <c r="D1506" s="2" t="str">
        <f t="shared" si="22"/>
        <v>Error?</v>
      </c>
    </row>
    <row r="1507" spans="1:4" x14ac:dyDescent="0.2">
      <c r="A1507" s="10">
        <v>1446</v>
      </c>
      <c r="D1507" s="2" t="str">
        <f t="shared" si="22"/>
        <v>OK</v>
      </c>
    </row>
    <row r="1508" spans="1:4" x14ac:dyDescent="0.2">
      <c r="A1508" s="5">
        <v>1447</v>
      </c>
      <c r="B1508" s="138">
        <f>'Expenditures 15-22'!K277</f>
        <v>11229</v>
      </c>
      <c r="C1508" s="2" t="s">
        <v>573</v>
      </c>
      <c r="D1508" s="2" t="str">
        <f t="shared" si="22"/>
        <v>Error?</v>
      </c>
    </row>
    <row r="1509" spans="1:4" x14ac:dyDescent="0.2">
      <c r="A1509" s="5">
        <v>1448</v>
      </c>
      <c r="B1509" s="138">
        <f>'Expenditures 15-22'!K278</f>
        <v>247</v>
      </c>
      <c r="C1509" s="2" t="s">
        <v>573</v>
      </c>
      <c r="D1509" s="2" t="str">
        <f t="shared" si="22"/>
        <v>Error?</v>
      </c>
    </row>
    <row r="1510" spans="1:4" x14ac:dyDescent="0.2">
      <c r="A1510" s="5">
        <v>1449</v>
      </c>
      <c r="B1510" s="138">
        <f>'Expenditures 15-22'!K279</f>
        <v>296632</v>
      </c>
      <c r="C1510" s="2" t="s">
        <v>573</v>
      </c>
      <c r="D1510" s="2" t="str">
        <f t="shared" si="22"/>
        <v>Error?</v>
      </c>
    </row>
    <row r="1511" spans="1:4" x14ac:dyDescent="0.2">
      <c r="A1511" s="5">
        <v>1450</v>
      </c>
      <c r="B1511" s="138">
        <f>'Expenditures 15-22'!K280</f>
        <v>5928</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581745</v>
      </c>
      <c r="C1517" s="2" t="s">
        <v>573</v>
      </c>
      <c r="D1517" s="2" t="str">
        <f t="shared" si="22"/>
        <v>Error?</v>
      </c>
    </row>
    <row r="1518" spans="1:4" x14ac:dyDescent="0.2">
      <c r="A1518" s="5">
        <v>1457</v>
      </c>
      <c r="B1518" s="138">
        <f>'Expenditures 15-22'!K296</f>
        <v>-154833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50495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50495</v>
      </c>
      <c r="C1535" s="2" t="s">
        <v>573</v>
      </c>
      <c r="D1535" s="2" t="str">
        <f t="shared" ref="D1535:D1598" si="23">IF(ISBLANK(B1535),"OK",IF(A1535-B1535=0,"OK","Error?"))</f>
        <v>Error?</v>
      </c>
    </row>
    <row r="1536" spans="1:4" x14ac:dyDescent="0.2">
      <c r="A1536" s="5">
        <v>1475</v>
      </c>
      <c r="B1536" s="138">
        <f>'Expenditures 15-22'!E312</f>
        <v>50495</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1888009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1888009</v>
      </c>
      <c r="C1547" s="2" t="s">
        <v>573</v>
      </c>
      <c r="D1547" s="2" t="str">
        <f t="shared" si="23"/>
        <v>Error?</v>
      </c>
    </row>
    <row r="1548" spans="1:4" x14ac:dyDescent="0.2">
      <c r="A1548" s="5">
        <v>1487</v>
      </c>
      <c r="B1548" s="138">
        <f>'Expenditures 15-22'!G312</f>
        <v>1888009</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1938504</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1938504</v>
      </c>
      <c r="C1559" s="2" t="s">
        <v>573</v>
      </c>
      <c r="D1559" s="2" t="str">
        <f t="shared" si="23"/>
        <v>Error?</v>
      </c>
    </row>
    <row r="1560" spans="1:4" x14ac:dyDescent="0.2">
      <c r="A1560" s="5">
        <v>1499</v>
      </c>
      <c r="B1560" s="138">
        <f>'Expenditures 15-22'!K312</f>
        <v>1938504</v>
      </c>
      <c r="C1560" s="2" t="s">
        <v>573</v>
      </c>
      <c r="D1560" s="2" t="str">
        <f t="shared" si="23"/>
        <v>Error?</v>
      </c>
    </row>
    <row r="1561" spans="1:4" x14ac:dyDescent="0.2">
      <c r="A1561" s="5">
        <v>1500</v>
      </c>
      <c r="B1561" s="138">
        <f>'Expenditures 15-22'!K313</f>
        <v>-1809813</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9125606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8799321</v>
      </c>
      <c r="C1630" s="2" t="s">
        <v>573</v>
      </c>
      <c r="D1630" s="2" t="str">
        <f t="shared" si="24"/>
        <v>Error?</v>
      </c>
    </row>
    <row r="1631" spans="1:4" x14ac:dyDescent="0.2">
      <c r="A1631" s="5">
        <v>1570</v>
      </c>
      <c r="B1631" s="138">
        <f>'Acct Summary 7-8'!D79</f>
        <v>684293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703717</v>
      </c>
      <c r="C1644" s="2" t="s">
        <v>573</v>
      </c>
      <c r="D1644" s="2" t="str">
        <f t="shared" si="24"/>
        <v>Error?</v>
      </c>
    </row>
    <row r="1645" spans="1:4" x14ac:dyDescent="0.2">
      <c r="A1645" s="5">
        <v>1584</v>
      </c>
      <c r="B1645" s="138">
        <f>'Acct Summary 7-8'!E79</f>
        <v>345428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216101</v>
      </c>
      <c r="C1658" s="2" t="s">
        <v>573</v>
      </c>
      <c r="D1658" s="2" t="str">
        <f t="shared" si="24"/>
        <v>Error?</v>
      </c>
    </row>
    <row r="1659" spans="1:4" x14ac:dyDescent="0.2">
      <c r="A1659" s="5">
        <v>1598</v>
      </c>
      <c r="B1659" s="138">
        <f>'Acct Summary 7-8'!F79</f>
        <v>392225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382658</v>
      </c>
      <c r="C1672" s="2" t="s">
        <v>573</v>
      </c>
      <c r="D1672" s="2" t="str">
        <f t="shared" si="25"/>
        <v>Error?</v>
      </c>
    </row>
    <row r="1673" spans="1:4" x14ac:dyDescent="0.2">
      <c r="A1673" s="5">
        <v>1612</v>
      </c>
      <c r="B1673" s="138">
        <f>'Acct Summary 7-8'!G79</f>
        <v>285801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130968</v>
      </c>
      <c r="C1686" s="2" t="s">
        <v>573</v>
      </c>
      <c r="D1686" s="2" t="str">
        <f t="shared" si="25"/>
        <v>Error?</v>
      </c>
    </row>
    <row r="1687" spans="1:4" x14ac:dyDescent="0.2">
      <c r="A1687" s="5">
        <v>1626</v>
      </c>
      <c r="B1687" s="138">
        <f>'Acct Summary 7-8'!H79</f>
        <v>2980371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1170558</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1974045</v>
      </c>
      <c r="C1744" s="2" t="s">
        <v>573</v>
      </c>
      <c r="D1744" s="2" t="str">
        <f t="shared" si="26"/>
        <v>Error?</v>
      </c>
    </row>
    <row r="1745" spans="1:5" x14ac:dyDescent="0.2">
      <c r="A1745" s="5">
        <v>1684</v>
      </c>
      <c r="B1745" s="138">
        <f>'Tax Sched 23'!B5</f>
        <v>193971</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157902</v>
      </c>
      <c r="C1747" s="2" t="s">
        <v>573</v>
      </c>
      <c r="D1747" s="2" t="str">
        <f t="shared" si="26"/>
        <v>Error?</v>
      </c>
    </row>
    <row r="1748" spans="1:5" x14ac:dyDescent="0.2">
      <c r="A1748" s="5">
        <v>1687</v>
      </c>
      <c r="B1748" s="138">
        <f>'Tax Sched 23'!B8</f>
        <v>191641</v>
      </c>
      <c r="C1748" s="2" t="s">
        <v>573</v>
      </c>
      <c r="D1748" s="2" t="str">
        <f t="shared" si="26"/>
        <v>Error?</v>
      </c>
    </row>
    <row r="1749" spans="1:5" x14ac:dyDescent="0.2">
      <c r="A1749" s="5">
        <v>1688</v>
      </c>
      <c r="B1749" s="138">
        <f>'Tax Sched 23'!B10</f>
        <v>6634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187109</v>
      </c>
      <c r="C1752" s="2" t="s">
        <v>573</v>
      </c>
      <c r="D1752" s="2" t="str">
        <f t="shared" si="26"/>
        <v>Error?</v>
      </c>
    </row>
    <row r="1753" spans="1:5" x14ac:dyDescent="0.2">
      <c r="A1753" s="5">
        <v>1692</v>
      </c>
      <c r="B1753" s="138">
        <f>'Tax Sched 23'!B12</f>
        <v>22499</v>
      </c>
      <c r="C1753" s="2" t="s">
        <v>573</v>
      </c>
      <c r="D1753" s="2" t="str">
        <f t="shared" si="26"/>
        <v>Error?</v>
      </c>
    </row>
    <row r="1754" spans="1:5" x14ac:dyDescent="0.2">
      <c r="A1754" s="5">
        <v>1693</v>
      </c>
      <c r="B1754" s="138">
        <f>'Tax Sched 23'!B14</f>
        <v>202071</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3157912</v>
      </c>
      <c r="C1759" s="2" t="s">
        <v>573</v>
      </c>
      <c r="D1759" s="2" t="str">
        <f t="shared" si="26"/>
        <v>Error?</v>
      </c>
    </row>
    <row r="1760" spans="1:5" x14ac:dyDescent="0.2">
      <c r="A1760" s="5">
        <v>1699</v>
      </c>
      <c r="B1760" s="138">
        <f>'Tax Sched 23'!D4</f>
        <v>1400886</v>
      </c>
      <c r="C1760" s="2" t="s">
        <v>573</v>
      </c>
      <c r="D1760" s="2" t="str">
        <f t="shared" si="26"/>
        <v>Error?</v>
      </c>
    </row>
    <row r="1761" spans="1:5" x14ac:dyDescent="0.2">
      <c r="A1761" s="5">
        <v>1700</v>
      </c>
      <c r="B1761" s="138">
        <f>'Tax Sched 23'!D5</f>
        <v>130094</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112273</v>
      </c>
      <c r="C1763" s="2" t="s">
        <v>573</v>
      </c>
      <c r="D1763" s="2" t="str">
        <f t="shared" si="26"/>
        <v>Error?</v>
      </c>
    </row>
    <row r="1764" spans="1:5" x14ac:dyDescent="0.2">
      <c r="A1764" s="5">
        <v>1703</v>
      </c>
      <c r="B1764" s="138">
        <f>'Tax Sched 23'!D8</f>
        <v>132322</v>
      </c>
      <c r="C1764" s="2" t="s">
        <v>573</v>
      </c>
      <c r="D1764" s="2" t="str">
        <f t="shared" si="26"/>
        <v>Error?</v>
      </c>
    </row>
    <row r="1765" spans="1:5" x14ac:dyDescent="0.2">
      <c r="A1765" s="5">
        <v>1704</v>
      </c>
      <c r="B1765" s="138">
        <f>'Tax Sched 23'!D10</f>
        <v>4678</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134550</v>
      </c>
      <c r="C1768" s="2" t="s">
        <v>573</v>
      </c>
      <c r="D1768" s="2" t="str">
        <f t="shared" si="26"/>
        <v>Error?</v>
      </c>
    </row>
    <row r="1769" spans="1:5" x14ac:dyDescent="0.2">
      <c r="A1769" s="5">
        <v>1708</v>
      </c>
      <c r="B1769" s="138">
        <f>'Tax Sched 23'!D12</f>
        <v>22499</v>
      </c>
      <c r="C1769" s="2" t="s">
        <v>573</v>
      </c>
      <c r="D1769" s="2" t="str">
        <f t="shared" si="26"/>
        <v>Error?</v>
      </c>
    </row>
    <row r="1770" spans="1:5" x14ac:dyDescent="0.2">
      <c r="A1770" s="5">
        <v>1709</v>
      </c>
      <c r="B1770" s="138">
        <f>'Tax Sched 23'!D14</f>
        <v>143683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2229123</v>
      </c>
      <c r="C1775" s="2" t="s">
        <v>573</v>
      </c>
      <c r="D1775" s="2" t="str">
        <f t="shared" si="26"/>
        <v>Error?</v>
      </c>
    </row>
    <row r="1776" spans="1:5" x14ac:dyDescent="0.2">
      <c r="A1776" s="5">
        <v>1715</v>
      </c>
      <c r="B1776" s="138">
        <f>'Tax Sched 23'!C4</f>
        <v>573159</v>
      </c>
      <c r="D1776" s="2" t="str">
        <f t="shared" si="26"/>
        <v>Error?</v>
      </c>
    </row>
    <row r="1777" spans="1:4" x14ac:dyDescent="0.2">
      <c r="A1777" s="5">
        <v>1716</v>
      </c>
      <c r="B1777" s="138">
        <f>'Tax Sched 23'!C5</f>
        <v>63877</v>
      </c>
      <c r="D1777" s="2" t="str">
        <f t="shared" si="26"/>
        <v>Error?</v>
      </c>
    </row>
    <row r="1778" spans="1:4" x14ac:dyDescent="0.2">
      <c r="A1778" s="5">
        <v>1717</v>
      </c>
      <c r="B1778" s="138">
        <f>'Tax Sched 23'!C6</f>
        <v>0</v>
      </c>
      <c r="D1778" s="2" t="str">
        <f t="shared" si="26"/>
        <v>Error?</v>
      </c>
    </row>
    <row r="1779" spans="1:4" x14ac:dyDescent="0.2">
      <c r="A1779" s="5">
        <v>1718</v>
      </c>
      <c r="B1779" s="138">
        <f>'Tax Sched 23'!C7</f>
        <v>45629</v>
      </c>
      <c r="D1779" s="2" t="str">
        <f t="shared" si="26"/>
        <v>Error?</v>
      </c>
    </row>
    <row r="1780" spans="1:4" x14ac:dyDescent="0.2">
      <c r="A1780" s="5">
        <v>1719</v>
      </c>
      <c r="B1780" s="138">
        <f>'Tax Sched 23'!C8</f>
        <v>59319</v>
      </c>
      <c r="D1780" s="2" t="str">
        <f t="shared" si="26"/>
        <v>Error?</v>
      </c>
    </row>
    <row r="1781" spans="1:4" x14ac:dyDescent="0.2">
      <c r="A1781" s="5">
        <v>1720</v>
      </c>
      <c r="B1781" s="138">
        <f>'Tax Sched 23'!C10</f>
        <v>1956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52559</v>
      </c>
      <c r="D1784" s="2" t="str">
        <f t="shared" si="26"/>
        <v>Error?</v>
      </c>
    </row>
    <row r="1785" spans="1:4" x14ac:dyDescent="0.2">
      <c r="A1785" s="5">
        <v>1724</v>
      </c>
      <c r="B1785" s="138">
        <f>'Tax Sched 23'!C12</f>
        <v>0</v>
      </c>
      <c r="D1785" s="2" t="str">
        <f t="shared" si="26"/>
        <v>Error?</v>
      </c>
    </row>
    <row r="1786" spans="1:4" x14ac:dyDescent="0.2">
      <c r="A1786" s="5">
        <v>1725</v>
      </c>
      <c r="B1786" s="138">
        <f>'Tax Sched 23'!C14</f>
        <v>58388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928789</v>
      </c>
      <c r="C1791" s="2" t="s">
        <v>573</v>
      </c>
      <c r="D1791" s="2" t="str">
        <f t="shared" ref="D1791:D1854" si="27">IF(ISBLANK(B1791),"OK",IF(A1791-B1791=0,"OK","Error?"))</f>
        <v>Error?</v>
      </c>
    </row>
    <row r="1792" spans="1:4" x14ac:dyDescent="0.2">
      <c r="A1792" s="5">
        <v>1731</v>
      </c>
      <c r="B1792" s="138">
        <f>'Tax Sched 23'!F4</f>
        <v>2492354</v>
      </c>
      <c r="C1792" s="2" t="s">
        <v>573</v>
      </c>
      <c r="D1792" s="2" t="str">
        <f t="shared" si="27"/>
        <v>Error?</v>
      </c>
    </row>
    <row r="1793" spans="1:4" x14ac:dyDescent="0.2">
      <c r="A1793" s="5">
        <v>1732</v>
      </c>
      <c r="B1793" s="138">
        <f>'Tax Sched 23'!F5</f>
        <v>277762</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198414</v>
      </c>
      <c r="C1795" s="2" t="s">
        <v>573</v>
      </c>
      <c r="D1795" s="2" t="str">
        <f t="shared" si="27"/>
        <v>Error?</v>
      </c>
    </row>
    <row r="1796" spans="1:4" x14ac:dyDescent="0.2">
      <c r="A1796" s="5">
        <v>1735</v>
      </c>
      <c r="B1796" s="138">
        <f>'Tax Sched 23'!F8</f>
        <v>257947</v>
      </c>
      <c r="C1796" s="2" t="s">
        <v>573</v>
      </c>
      <c r="D1796" s="2" t="str">
        <f t="shared" si="27"/>
        <v>Error?</v>
      </c>
    </row>
    <row r="1797" spans="1:4" x14ac:dyDescent="0.2">
      <c r="A1797" s="5">
        <v>1736</v>
      </c>
      <c r="B1797" s="138">
        <f>'Tax Sched 23'!F10</f>
        <v>8504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228552</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253901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4038794</v>
      </c>
      <c r="C1807" s="2" t="s">
        <v>573</v>
      </c>
      <c r="D1807" s="2" t="str">
        <f t="shared" si="27"/>
        <v>Error?</v>
      </c>
    </row>
    <row r="1808" spans="1:4" x14ac:dyDescent="0.2">
      <c r="A1808" s="5">
        <v>1747</v>
      </c>
      <c r="B1808" s="138">
        <f>'Tax Sched 23'!E4</f>
        <v>3065513</v>
      </c>
      <c r="D1808" s="2" t="str">
        <f t="shared" si="27"/>
        <v>Error?</v>
      </c>
    </row>
    <row r="1809" spans="1:4" x14ac:dyDescent="0.2">
      <c r="A1809" s="5">
        <v>1748</v>
      </c>
      <c r="B1809" s="138">
        <f>'Tax Sched 23'!E5</f>
        <v>341639</v>
      </c>
      <c r="D1809" s="2" t="str">
        <f t="shared" si="27"/>
        <v>Error?</v>
      </c>
    </row>
    <row r="1810" spans="1:4" x14ac:dyDescent="0.2">
      <c r="A1810" s="5">
        <v>1749</v>
      </c>
      <c r="B1810" s="138">
        <f>'Tax Sched 23'!E6</f>
        <v>0</v>
      </c>
      <c r="D1810" s="2" t="str">
        <f t="shared" si="27"/>
        <v>Error?</v>
      </c>
    </row>
    <row r="1811" spans="1:4" x14ac:dyDescent="0.2">
      <c r="A1811" s="5">
        <v>1750</v>
      </c>
      <c r="B1811" s="138">
        <f>'Tax Sched 23'!E7</f>
        <v>244043</v>
      </c>
      <c r="D1811" s="2" t="str">
        <f t="shared" si="27"/>
        <v>Error?</v>
      </c>
    </row>
    <row r="1812" spans="1:4" x14ac:dyDescent="0.2">
      <c r="A1812" s="5">
        <v>1751</v>
      </c>
      <c r="B1812" s="138">
        <f>'Tax Sched 23'!E8</f>
        <v>317266</v>
      </c>
      <c r="D1812" s="2" t="str">
        <f t="shared" si="27"/>
        <v>Error?</v>
      </c>
    </row>
    <row r="1813" spans="1:4" x14ac:dyDescent="0.2">
      <c r="A1813" s="5">
        <v>1752</v>
      </c>
      <c r="B1813" s="138">
        <f>'Tax Sched 23'!E10</f>
        <v>10460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281111</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312289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4967583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20320909</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202071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202071</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202071</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100231</v>
      </c>
      <c r="D2008" s="2" t="str">
        <f t="shared" si="30"/>
        <v>Error?</v>
      </c>
    </row>
    <row r="2009" spans="1:4" x14ac:dyDescent="0.2">
      <c r="A2009" s="5">
        <v>1948</v>
      </c>
      <c r="B2009" s="138">
        <f>'Cap Outlay Deprec 26'!C8</f>
        <v>32274982</v>
      </c>
      <c r="D2009" s="2" t="str">
        <f t="shared" si="30"/>
        <v>Error?</v>
      </c>
    </row>
    <row r="2010" spans="1:4" x14ac:dyDescent="0.2">
      <c r="A2010" s="5">
        <v>1949</v>
      </c>
      <c r="B2010" s="138">
        <f>'Cap Outlay Deprec 26'!C10</f>
        <v>720198</v>
      </c>
      <c r="D2010" s="2" t="str">
        <f t="shared" si="30"/>
        <v>Error?</v>
      </c>
    </row>
    <row r="2011" spans="1:4" x14ac:dyDescent="0.2">
      <c r="A2011" s="5">
        <v>1950</v>
      </c>
      <c r="B2011" s="138">
        <f>'Cap Outlay Deprec 26'!C12</f>
        <v>4132687</v>
      </c>
      <c r="D2011" s="2" t="str">
        <f t="shared" si="30"/>
        <v>Error?</v>
      </c>
    </row>
    <row r="2012" spans="1:4" x14ac:dyDescent="0.2">
      <c r="A2012" s="5">
        <v>1951</v>
      </c>
      <c r="B2012" s="138">
        <f>'Cap Outlay Deprec 26'!C13</f>
        <v>1799</v>
      </c>
      <c r="D2012" s="2" t="str">
        <f t="shared" si="30"/>
        <v>Error?</v>
      </c>
    </row>
    <row r="2013" spans="1:4" x14ac:dyDescent="0.2">
      <c r="A2013" s="5">
        <v>1952</v>
      </c>
      <c r="B2013" s="138">
        <f>'Cap Outlay Deprec 26'!C16</f>
        <v>37229897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1971875</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213057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2184932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100231</v>
      </c>
      <c r="C2026" s="2" t="s">
        <v>573</v>
      </c>
      <c r="D2026" s="2" t="str">
        <f t="shared" si="30"/>
        <v>Error?</v>
      </c>
    </row>
    <row r="2027" spans="1:4" x14ac:dyDescent="0.2">
      <c r="A2027" s="5">
        <v>1966</v>
      </c>
      <c r="B2027" s="138">
        <f>'Cap Outlay Deprec 26'!F8</f>
        <v>34246857</v>
      </c>
      <c r="C2027" s="2" t="s">
        <v>573</v>
      </c>
      <c r="D2027" s="2" t="str">
        <f t="shared" si="30"/>
        <v>Error?</v>
      </c>
    </row>
    <row r="2028" spans="1:4" x14ac:dyDescent="0.2">
      <c r="A2028" s="5">
        <v>1967</v>
      </c>
      <c r="B2028" s="138">
        <f>'Cap Outlay Deprec 26'!F10</f>
        <v>720198</v>
      </c>
      <c r="C2028" s="2" t="s">
        <v>573</v>
      </c>
      <c r="D2028" s="2" t="str">
        <f t="shared" si="30"/>
        <v>Error?</v>
      </c>
    </row>
    <row r="2029" spans="1:4" x14ac:dyDescent="0.2">
      <c r="A2029" s="5">
        <v>1968</v>
      </c>
      <c r="B2029" s="138">
        <f>'Cap Outlay Deprec 26'!F12</f>
        <v>4345744</v>
      </c>
      <c r="C2029" s="2" t="s">
        <v>573</v>
      </c>
      <c r="D2029" s="2" t="str">
        <f t="shared" si="30"/>
        <v>Error?</v>
      </c>
    </row>
    <row r="2030" spans="1:4" x14ac:dyDescent="0.2">
      <c r="A2030" s="5">
        <v>1969</v>
      </c>
      <c r="B2030" s="138">
        <f>'Cap Outlay Deprec 26'!F13</f>
        <v>1799</v>
      </c>
      <c r="C2030" s="2" t="s">
        <v>573</v>
      </c>
      <c r="D2030" s="2" t="str">
        <f t="shared" si="30"/>
        <v>Error?</v>
      </c>
    </row>
    <row r="2031" spans="1:4" x14ac:dyDescent="0.2">
      <c r="A2031" s="5">
        <v>1970</v>
      </c>
      <c r="B2031" s="138">
        <f>'Cap Outlay Deprec 26'!F16</f>
        <v>39414829</v>
      </c>
      <c r="C2031" s="2" t="s">
        <v>573</v>
      </c>
      <c r="D2031" s="2" t="str">
        <f t="shared" si="30"/>
        <v>Error?</v>
      </c>
    </row>
    <row r="2032" spans="1:4" x14ac:dyDescent="0.2">
      <c r="A2032" s="10">
        <v>1971</v>
      </c>
      <c r="D2032" s="2" t="str">
        <f t="shared" si="30"/>
        <v>OK</v>
      </c>
    </row>
    <row r="2033" spans="1:4" x14ac:dyDescent="0.2">
      <c r="A2033" s="5">
        <v>1972</v>
      </c>
      <c r="B2033" s="138">
        <f>'Cap Outlay Deprec 26'!H8</f>
        <v>11955218</v>
      </c>
      <c r="D2033" s="2" t="str">
        <f t="shared" si="30"/>
        <v>Error?</v>
      </c>
    </row>
    <row r="2034" spans="1:4" x14ac:dyDescent="0.2">
      <c r="A2034" s="5">
        <v>1973</v>
      </c>
      <c r="B2034" s="138">
        <f>'Cap Outlay Deprec 26'!H10</f>
        <v>377208</v>
      </c>
      <c r="D2034" s="2" t="str">
        <f t="shared" si="30"/>
        <v>Error?</v>
      </c>
    </row>
    <row r="2035" spans="1:4" x14ac:dyDescent="0.2">
      <c r="A2035" s="5">
        <v>1974</v>
      </c>
      <c r="B2035" s="138">
        <f>'Cap Outlay Deprec 26'!H12</f>
        <v>3348926</v>
      </c>
      <c r="D2035" s="2" t="str">
        <f t="shared" si="30"/>
        <v>Error?</v>
      </c>
    </row>
    <row r="2036" spans="1:4" x14ac:dyDescent="0.2">
      <c r="A2036" s="5">
        <v>1975</v>
      </c>
      <c r="B2036" s="138">
        <f>'Cap Outlay Deprec 26'!H13</f>
        <v>1799</v>
      </c>
      <c r="D2036" s="2" t="str">
        <f t="shared" si="30"/>
        <v>Error?</v>
      </c>
    </row>
    <row r="2037" spans="1:4" x14ac:dyDescent="0.2">
      <c r="A2037" s="5">
        <v>1976</v>
      </c>
      <c r="B2037" s="138">
        <f>'Cap Outlay Deprec 26'!H16</f>
        <v>15683151</v>
      </c>
      <c r="C2037" s="2" t="s">
        <v>573</v>
      </c>
      <c r="D2037" s="2" t="str">
        <f t="shared" si="30"/>
        <v>Error?</v>
      </c>
    </row>
    <row r="2038" spans="1:4" x14ac:dyDescent="0.2">
      <c r="A2038" s="10">
        <v>1977</v>
      </c>
      <c r="D2038" s="2" t="str">
        <f t="shared" si="30"/>
        <v>OK</v>
      </c>
    </row>
    <row r="2039" spans="1:4" x14ac:dyDescent="0.2">
      <c r="A2039" s="5">
        <v>1978</v>
      </c>
      <c r="B2039" s="138">
        <f>'Cap Outlay Deprec 26'!I8</f>
        <v>1520530</v>
      </c>
      <c r="D2039" s="2" t="str">
        <f t="shared" si="30"/>
        <v>Error?</v>
      </c>
    </row>
    <row r="2040" spans="1:4" x14ac:dyDescent="0.2">
      <c r="A2040" s="5">
        <v>1979</v>
      </c>
      <c r="B2040" s="138">
        <f>'Cap Outlay Deprec 26'!I10</f>
        <v>33403</v>
      </c>
      <c r="D2040" s="2" t="str">
        <f t="shared" si="30"/>
        <v>Error?</v>
      </c>
    </row>
    <row r="2041" spans="1:4" x14ac:dyDescent="0.2">
      <c r="A2041" s="5">
        <v>1980</v>
      </c>
      <c r="B2041" s="138">
        <f>'Cap Outlay Deprec 26'!I12</f>
        <v>244846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1798779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13475748</v>
      </c>
      <c r="C2051" s="2" t="s">
        <v>573</v>
      </c>
      <c r="D2051" s="2" t="str">
        <f t="shared" si="31"/>
        <v>Error?</v>
      </c>
    </row>
    <row r="2052" spans="1:4" x14ac:dyDescent="0.2">
      <c r="A2052" s="5">
        <v>1991</v>
      </c>
      <c r="B2052" s="138">
        <f>'Cap Outlay Deprec 26'!K10</f>
        <v>410611</v>
      </c>
      <c r="C2052" s="2" t="s">
        <v>573</v>
      </c>
      <c r="D2052" s="2" t="str">
        <f t="shared" si="31"/>
        <v>Error?</v>
      </c>
    </row>
    <row r="2053" spans="1:4" x14ac:dyDescent="0.2">
      <c r="A2053" s="5">
        <v>1992</v>
      </c>
      <c r="B2053" s="138">
        <f>'Cap Outlay Deprec 26'!K12</f>
        <v>3593772</v>
      </c>
      <c r="C2053" s="2" t="s">
        <v>573</v>
      </c>
      <c r="D2053" s="2" t="str">
        <f t="shared" si="31"/>
        <v>Error?</v>
      </c>
    </row>
    <row r="2054" spans="1:4" x14ac:dyDescent="0.2">
      <c r="A2054" s="5">
        <v>1993</v>
      </c>
      <c r="B2054" s="138">
        <f>'Cap Outlay Deprec 26'!K13</f>
        <v>1799</v>
      </c>
      <c r="C2054" s="2" t="s">
        <v>573</v>
      </c>
      <c r="D2054" s="2" t="str">
        <f t="shared" si="31"/>
        <v>Error?</v>
      </c>
    </row>
    <row r="2055" spans="1:4" x14ac:dyDescent="0.2">
      <c r="A2055" s="5">
        <v>1994</v>
      </c>
      <c r="B2055" s="138">
        <f>'Cap Outlay Deprec 26'!K16</f>
        <v>17481930</v>
      </c>
      <c r="C2055" s="2" t="s">
        <v>573</v>
      </c>
      <c r="D2055" s="2" t="str">
        <f t="shared" si="31"/>
        <v>Error?</v>
      </c>
    </row>
    <row r="2056" spans="1:4" x14ac:dyDescent="0.2">
      <c r="A2056" s="5">
        <v>1995</v>
      </c>
      <c r="B2056" s="138">
        <f>'Cap Outlay Deprec 26'!L5</f>
        <v>100231</v>
      </c>
      <c r="C2056" s="2" t="s">
        <v>573</v>
      </c>
      <c r="D2056" s="2" t="str">
        <f t="shared" si="31"/>
        <v>Error?</v>
      </c>
    </row>
    <row r="2057" spans="1:4" x14ac:dyDescent="0.2">
      <c r="A2057" s="5">
        <v>1996</v>
      </c>
      <c r="B2057" s="138">
        <f>'Cap Outlay Deprec 26'!L8</f>
        <v>20771109</v>
      </c>
      <c r="C2057" s="2" t="s">
        <v>573</v>
      </c>
      <c r="D2057" s="2" t="str">
        <f t="shared" si="31"/>
        <v>Error?</v>
      </c>
    </row>
    <row r="2058" spans="1:4" x14ac:dyDescent="0.2">
      <c r="A2058" s="5">
        <v>1997</v>
      </c>
      <c r="B2058" s="138">
        <f>'Cap Outlay Deprec 26'!L10</f>
        <v>309587</v>
      </c>
      <c r="C2058" s="2" t="s">
        <v>573</v>
      </c>
      <c r="D2058" s="2" t="str">
        <f t="shared" si="31"/>
        <v>Error?</v>
      </c>
    </row>
    <row r="2059" spans="1:4" x14ac:dyDescent="0.2">
      <c r="A2059" s="5">
        <v>1998</v>
      </c>
      <c r="B2059" s="138">
        <f>'Cap Outlay Deprec 26'!L12</f>
        <v>751972</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21932899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9200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42116</v>
      </c>
      <c r="C2088" s="2" t="s">
        <v>573</v>
      </c>
      <c r="D2088" s="2" t="str">
        <f t="shared" si="31"/>
        <v>Error?</v>
      </c>
    </row>
    <row r="2089" spans="1:4" x14ac:dyDescent="0.2">
      <c r="A2089" s="5">
        <v>2028</v>
      </c>
      <c r="B2089" s="138">
        <f>'Expenditures 15-22'!K92</f>
        <v>623084</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130968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2652071</v>
      </c>
      <c r="C2551" s="2" t="s">
        <v>573</v>
      </c>
      <c r="D2551" s="2" t="str">
        <f t="shared" si="38"/>
        <v>Error?</v>
      </c>
    </row>
    <row r="2552" spans="1:4" x14ac:dyDescent="0.2">
      <c r="A2552" s="10">
        <v>2491</v>
      </c>
      <c r="D2552" s="2" t="str">
        <f t="shared" si="38"/>
        <v>OK</v>
      </c>
    </row>
    <row r="2553" spans="1:4" x14ac:dyDescent="0.2">
      <c r="A2553" s="5">
        <v>2492</v>
      </c>
      <c r="B2553" s="138">
        <f>'Acct Summary 7-8'!C6</f>
        <v>11750508</v>
      </c>
      <c r="C2553" s="2" t="s">
        <v>573</v>
      </c>
      <c r="D2553" s="2" t="str">
        <f t="shared" si="38"/>
        <v>Error?</v>
      </c>
    </row>
    <row r="2554" spans="1:4" x14ac:dyDescent="0.2">
      <c r="A2554" s="5">
        <v>2493</v>
      </c>
      <c r="B2554" s="138">
        <f>'Acct Summary 7-8'!C7</f>
        <v>2985815</v>
      </c>
      <c r="C2554" s="2" t="s">
        <v>573</v>
      </c>
      <c r="D2554" s="2" t="str">
        <f t="shared" si="38"/>
        <v>Error?</v>
      </c>
    </row>
    <row r="2555" spans="1:4" x14ac:dyDescent="0.2">
      <c r="A2555" s="5">
        <v>2494</v>
      </c>
      <c r="B2555" s="138">
        <f>'Acct Summary 7-8'!C8</f>
        <v>17388394</v>
      </c>
      <c r="C2555" s="2" t="s">
        <v>573</v>
      </c>
      <c r="D2555" s="2" t="str">
        <f t="shared" si="38"/>
        <v>Error?</v>
      </c>
    </row>
    <row r="2556" spans="1:4" x14ac:dyDescent="0.2">
      <c r="A2556" s="5">
        <v>2495</v>
      </c>
      <c r="B2556" s="138">
        <f>'Acct Summary 7-8'!C12</f>
        <v>10563499</v>
      </c>
      <c r="C2556" s="2" t="s">
        <v>573</v>
      </c>
      <c r="D2556" s="2" t="str">
        <f t="shared" si="38"/>
        <v>Error?</v>
      </c>
    </row>
    <row r="2557" spans="1:4" x14ac:dyDescent="0.2">
      <c r="A2557" s="5">
        <v>2496</v>
      </c>
      <c r="B2557" s="138">
        <f>'Acct Summary 7-8'!C13</f>
        <v>6298255</v>
      </c>
      <c r="C2557" s="2" t="s">
        <v>573</v>
      </c>
      <c r="D2557" s="2" t="str">
        <f t="shared" si="38"/>
        <v>Error?</v>
      </c>
    </row>
    <row r="2558" spans="1:4" x14ac:dyDescent="0.2">
      <c r="A2558" s="5">
        <v>2497</v>
      </c>
      <c r="B2558" s="138">
        <f>'Acct Summary 7-8'!C14</f>
        <v>187725</v>
      </c>
      <c r="C2558" s="2" t="s">
        <v>573</v>
      </c>
      <c r="D2558" s="2" t="str">
        <f t="shared" si="38"/>
        <v>Error?</v>
      </c>
    </row>
    <row r="2559" spans="1:4" x14ac:dyDescent="0.2">
      <c r="A2559" s="5">
        <v>2498</v>
      </c>
      <c r="B2559" s="138">
        <f>'Acct Summary 7-8'!C15</f>
        <v>665200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17714679</v>
      </c>
      <c r="C2561" s="2" t="s">
        <v>573</v>
      </c>
      <c r="D2561" s="2" t="str">
        <f t="shared" si="39"/>
        <v>Error?</v>
      </c>
    </row>
    <row r="2562" spans="1:4" x14ac:dyDescent="0.2">
      <c r="A2562" s="5">
        <v>2501</v>
      </c>
      <c r="B2562" s="138">
        <f>'Acct Summary 7-8'!C20</f>
        <v>-326285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556262</v>
      </c>
      <c r="C2564" s="2" t="s">
        <v>573</v>
      </c>
      <c r="D2564" s="2" t="str">
        <f t="shared" si="39"/>
        <v>Error?</v>
      </c>
    </row>
    <row r="2565" spans="1:4" x14ac:dyDescent="0.2">
      <c r="A2565" s="10">
        <v>2504</v>
      </c>
      <c r="D2565" s="2" t="str">
        <f t="shared" si="39"/>
        <v>OK</v>
      </c>
    </row>
    <row r="2566" spans="1:4" x14ac:dyDescent="0.2">
      <c r="A2566" s="5">
        <v>2505</v>
      </c>
      <c r="B2566" s="138">
        <f>'Acct Summary 7-8'!D6</f>
        <v>900000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1456262</v>
      </c>
      <c r="C2568" s="2" t="s">
        <v>573</v>
      </c>
      <c r="D2568" s="2" t="str">
        <f t="shared" si="39"/>
        <v>Error?</v>
      </c>
    </row>
    <row r="2569" spans="1:4" x14ac:dyDescent="0.2">
      <c r="A2569" s="5">
        <v>2508</v>
      </c>
      <c r="B2569" s="138">
        <f>'Acct Summary 7-8'!D13</f>
        <v>1436838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1436838</v>
      </c>
      <c r="C2573" s="2" t="s">
        <v>573</v>
      </c>
      <c r="D2573" s="2" t="str">
        <f t="shared" si="39"/>
        <v>Error?</v>
      </c>
    </row>
    <row r="2574" spans="1:4" x14ac:dyDescent="0.2">
      <c r="A2574" s="5">
        <v>2513</v>
      </c>
      <c r="B2574" s="138">
        <f>'Acct Summary 7-8'!D20</f>
        <v>19424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164242</v>
      </c>
      <c r="C2591" s="2" t="s">
        <v>573</v>
      </c>
      <c r="D2591" s="2" t="str">
        <f t="shared" si="39"/>
        <v>Error?</v>
      </c>
    </row>
    <row r="2592" spans="1:4" x14ac:dyDescent="0.2">
      <c r="A2592" s="10">
        <v>2531</v>
      </c>
      <c r="D2592" s="2" t="str">
        <f t="shared" si="39"/>
        <v>OK</v>
      </c>
    </row>
    <row r="2593" spans="1:4" x14ac:dyDescent="0.2">
      <c r="A2593" s="5">
        <v>2532</v>
      </c>
      <c r="B2593" s="138">
        <f>'Acct Summary 7-8'!F6</f>
        <v>694855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859097</v>
      </c>
      <c r="C2595" s="2" t="s">
        <v>573</v>
      </c>
      <c r="D2595" s="2" t="str">
        <f t="shared" si="39"/>
        <v>Error?</v>
      </c>
    </row>
    <row r="2596" spans="1:4" x14ac:dyDescent="0.2">
      <c r="A2596" s="5">
        <v>2535</v>
      </c>
      <c r="B2596" s="138">
        <f>'Acct Summary 7-8'!F13</f>
        <v>868664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868664</v>
      </c>
      <c r="C2600" s="2" t="s">
        <v>573</v>
      </c>
      <c r="D2600" s="2" t="str">
        <f t="shared" si="39"/>
        <v>Error?</v>
      </c>
    </row>
    <row r="2601" spans="1:4" x14ac:dyDescent="0.2">
      <c r="A2601" s="5">
        <v>2540</v>
      </c>
      <c r="B2601" s="138">
        <f>'Acct Summary 7-8'!F20</f>
        <v>-9567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426912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426912</v>
      </c>
      <c r="C2606" s="2" t="s">
        <v>573</v>
      </c>
      <c r="D2606" s="2" t="str">
        <f t="shared" si="39"/>
        <v>Error?</v>
      </c>
    </row>
    <row r="2607" spans="1:4" x14ac:dyDescent="0.2">
      <c r="A2607" s="5">
        <v>2546</v>
      </c>
      <c r="B2607" s="138">
        <f>'Acct Summary 7-8'!G12</f>
        <v>279185</v>
      </c>
      <c r="C2607" s="2" t="s">
        <v>573</v>
      </c>
      <c r="D2607" s="2" t="str">
        <f t="shared" si="39"/>
        <v>Error?</v>
      </c>
    </row>
    <row r="2608" spans="1:4" x14ac:dyDescent="0.2">
      <c r="A2608" s="5">
        <v>2547</v>
      </c>
      <c r="B2608" s="138">
        <f>'Acct Summary 7-8'!G13</f>
        <v>296632</v>
      </c>
      <c r="C2608" s="2" t="s">
        <v>573</v>
      </c>
      <c r="D2608" s="2" t="str">
        <f t="shared" si="39"/>
        <v>Error?</v>
      </c>
    </row>
    <row r="2609" spans="1:4" x14ac:dyDescent="0.2">
      <c r="A2609" s="5">
        <v>2548</v>
      </c>
      <c r="B2609" s="138">
        <f>'Acct Summary 7-8'!G14</f>
        <v>5928</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581745</v>
      </c>
      <c r="C2612" s="2" t="s">
        <v>573</v>
      </c>
      <c r="D2612" s="2" t="str">
        <f t="shared" si="39"/>
        <v>Error?</v>
      </c>
    </row>
    <row r="2613" spans="1:4" x14ac:dyDescent="0.2">
      <c r="A2613" s="5">
        <v>2552</v>
      </c>
      <c r="B2613" s="138">
        <f>'Acct Summary 7-8'!G20</f>
        <v>-154833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1205697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1767971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1897298</v>
      </c>
      <c r="C2634" s="2" t="s">
        <v>573</v>
      </c>
      <c r="D2634" s="2" t="str">
        <f t="shared" si="40"/>
        <v>Error?</v>
      </c>
    </row>
    <row r="2635" spans="1:4" x14ac:dyDescent="0.2">
      <c r="A2635" s="5">
        <v>2574</v>
      </c>
      <c r="B2635" s="138">
        <f>'Acct Summary 7-8'!E17</f>
        <v>1897298</v>
      </c>
      <c r="C2635" s="2" t="s">
        <v>573</v>
      </c>
      <c r="D2635" s="2" t="str">
        <f t="shared" si="40"/>
        <v>Error?</v>
      </c>
    </row>
    <row r="2636" spans="1:4" x14ac:dyDescent="0.2">
      <c r="A2636" s="5">
        <v>2575</v>
      </c>
      <c r="B2636" s="138">
        <f>'Acct Summary 7-8'!E20</f>
        <v>-129327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128691</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128691</v>
      </c>
      <c r="C2658" s="2" t="s">
        <v>573</v>
      </c>
      <c r="D2658" s="2" t="str">
        <f t="shared" si="40"/>
        <v>Error?</v>
      </c>
    </row>
    <row r="2659" spans="1:4" x14ac:dyDescent="0.2">
      <c r="A2659" s="5">
        <v>2598</v>
      </c>
      <c r="B2659" s="138">
        <f>'Acct Summary 7-8'!H13</f>
        <v>1938504</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1938504</v>
      </c>
      <c r="C2661" s="2" t="s">
        <v>573</v>
      </c>
      <c r="D2661" s="2" t="str">
        <f t="shared" si="40"/>
        <v>Error?</v>
      </c>
    </row>
    <row r="2662" spans="1:4" x14ac:dyDescent="0.2">
      <c r="A2662" s="5">
        <v>2601</v>
      </c>
      <c r="B2662" s="138">
        <f>'Acct Summary 7-8'!H20</f>
        <v>-1809813</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300553</v>
      </c>
      <c r="D2718" s="2" t="str">
        <f t="shared" si="41"/>
        <v>Error?</v>
      </c>
    </row>
    <row r="2719" spans="1:4" x14ac:dyDescent="0.2">
      <c r="A2719" s="5">
        <v>2658</v>
      </c>
      <c r="B2719" s="138">
        <f>'Expenditures 15-22'!D51</f>
        <v>49916</v>
      </c>
      <c r="D2719" s="2" t="str">
        <f t="shared" si="41"/>
        <v>Error?</v>
      </c>
    </row>
    <row r="2720" spans="1:4" x14ac:dyDescent="0.2">
      <c r="A2720" s="5">
        <v>2659</v>
      </c>
      <c r="B2720" s="138">
        <f>'Expenditures 15-22'!E51</f>
        <v>11570</v>
      </c>
      <c r="D2720" s="2" t="str">
        <f t="shared" si="41"/>
        <v>Error?</v>
      </c>
    </row>
    <row r="2721" spans="1:4" x14ac:dyDescent="0.2">
      <c r="A2721" s="5">
        <v>2660</v>
      </c>
      <c r="B2721" s="138">
        <f>'Expenditures 15-22'!F51</f>
        <v>3869</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1979</v>
      </c>
      <c r="D2723" s="2" t="str">
        <f t="shared" si="41"/>
        <v>Error?</v>
      </c>
    </row>
    <row r="2724" spans="1:4" x14ac:dyDescent="0.2">
      <c r="A2724" s="5">
        <v>2663</v>
      </c>
      <c r="B2724" s="138">
        <f>'Expenditures 15-22'!K51</f>
        <v>367887</v>
      </c>
      <c r="C2724" s="2" t="s">
        <v>573</v>
      </c>
      <c r="D2724" s="2" t="str">
        <f t="shared" si="41"/>
        <v>Error?</v>
      </c>
    </row>
    <row r="2725" spans="1:4" x14ac:dyDescent="0.2">
      <c r="A2725" s="5">
        <v>2664</v>
      </c>
      <c r="B2725" s="138">
        <f>'Expenditures 15-22'!D247</f>
        <v>13870</v>
      </c>
      <c r="D2725" s="2" t="str">
        <f t="shared" si="41"/>
        <v>Error?</v>
      </c>
    </row>
    <row r="2726" spans="1:4" x14ac:dyDescent="0.2">
      <c r="A2726" s="5">
        <v>2665</v>
      </c>
      <c r="B2726" s="138">
        <f>'Expenditures 15-22'!K247</f>
        <v>13870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32916</v>
      </c>
      <c r="C2789" s="2" t="s">
        <v>573</v>
      </c>
      <c r="D2789" s="2" t="str">
        <f t="shared" si="42"/>
        <v>Error?</v>
      </c>
    </row>
    <row r="2790" spans="1:4" x14ac:dyDescent="0.2">
      <c r="A2790" s="5">
        <v>2729</v>
      </c>
      <c r="B2790" s="138">
        <f>'Expenditures 15-22'!E102</f>
        <v>32916</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553790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31404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553790</v>
      </c>
      <c r="D2912" s="2" t="str">
        <f t="shared" si="44"/>
        <v>Error?</v>
      </c>
    </row>
    <row r="2913" spans="1:4" x14ac:dyDescent="0.2">
      <c r="A2913" s="5">
        <v>2852</v>
      </c>
      <c r="B2913" s="138">
        <f>'Assets-Liab 5-6'!I41</f>
        <v>553790</v>
      </c>
      <c r="C2913" s="2" t="s">
        <v>573</v>
      </c>
      <c r="D2913" s="2" t="str">
        <f t="shared" si="44"/>
        <v>Error?</v>
      </c>
    </row>
    <row r="2914" spans="1:4" x14ac:dyDescent="0.2">
      <c r="A2914" s="5">
        <v>2853</v>
      </c>
      <c r="B2914" s="138">
        <f>'Assets-Liab 5-6'!L33</f>
        <v>31404</v>
      </c>
      <c r="D2914" s="2" t="str">
        <f t="shared" si="44"/>
        <v>Error?</v>
      </c>
    </row>
    <row r="2915" spans="1:4" x14ac:dyDescent="0.2">
      <c r="A2915" s="10">
        <v>2854</v>
      </c>
      <c r="D2915" s="2" t="str">
        <f t="shared" si="44"/>
        <v>OK</v>
      </c>
    </row>
    <row r="2916" spans="1:4" x14ac:dyDescent="0.2">
      <c r="A2916" s="5">
        <v>2855</v>
      </c>
      <c r="B2916" s="138">
        <f>'Assets-Liab 5-6'!L34</f>
        <v>31404</v>
      </c>
      <c r="C2916" s="2" t="s">
        <v>573</v>
      </c>
      <c r="D2916" s="2" t="str">
        <f t="shared" si="44"/>
        <v>Error?</v>
      </c>
    </row>
    <row r="2917" spans="1:4" x14ac:dyDescent="0.2">
      <c r="A2917" s="5">
        <v>2856</v>
      </c>
      <c r="B2917" s="138">
        <f>'Assets-Liab 5-6'!L41</f>
        <v>31404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32916</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9200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42116</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18642</v>
      </c>
      <c r="D3055" s="2" t="str">
        <f t="shared" si="46"/>
        <v>Error?</v>
      </c>
    </row>
    <row r="3056" spans="1:4" x14ac:dyDescent="0.2">
      <c r="A3056" s="5">
        <v>2995</v>
      </c>
      <c r="B3056" s="138">
        <f>'Expenditures 15-22'!D10</f>
        <v>5229</v>
      </c>
      <c r="D3056" s="2" t="str">
        <f t="shared" si="46"/>
        <v>Error?</v>
      </c>
    </row>
    <row r="3057" spans="1:4" x14ac:dyDescent="0.2">
      <c r="A3057" s="5">
        <v>2996</v>
      </c>
      <c r="B3057" s="138">
        <f>'Expenditures 15-22'!E10</f>
        <v>6805</v>
      </c>
      <c r="D3057" s="2" t="str">
        <f t="shared" si="46"/>
        <v>Error?</v>
      </c>
    </row>
    <row r="3058" spans="1:4" x14ac:dyDescent="0.2">
      <c r="A3058" s="5">
        <v>2997</v>
      </c>
      <c r="B3058" s="138">
        <f>'Expenditures 15-22'!F10</f>
        <v>65950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96626</v>
      </c>
      <c r="C3062" s="2" t="s">
        <v>573</v>
      </c>
      <c r="D3062" s="2" t="str">
        <f t="shared" si="46"/>
        <v>Error?</v>
      </c>
    </row>
    <row r="3063" spans="1:4" x14ac:dyDescent="0.2">
      <c r="A3063" s="10">
        <v>3002</v>
      </c>
      <c r="D3063" s="2" t="str">
        <f t="shared" si="46"/>
        <v>OK</v>
      </c>
    </row>
    <row r="3064" spans="1:4" x14ac:dyDescent="0.2">
      <c r="A3064" s="5">
        <v>3003</v>
      </c>
      <c r="B3064" s="138">
        <f>'Expenditures 15-22'!D219</f>
        <v>9986</v>
      </c>
      <c r="D3064" s="2" t="str">
        <f t="shared" si="46"/>
        <v>Error?</v>
      </c>
    </row>
    <row r="3065" spans="1:4" x14ac:dyDescent="0.2">
      <c r="A3065" s="5">
        <v>3004</v>
      </c>
      <c r="B3065" s="138">
        <f>'Expenditures 15-22'!K219</f>
        <v>9986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7367</v>
      </c>
      <c r="C3225" s="2" t="s">
        <v>573</v>
      </c>
      <c r="D3225" s="2" t="str">
        <f t="shared" si="49"/>
        <v>Error?</v>
      </c>
    </row>
    <row r="3226" spans="1:4" x14ac:dyDescent="0.2">
      <c r="A3226" s="5">
        <v>3165</v>
      </c>
      <c r="B3226" s="138">
        <f>'Acct Summary 7-8'!I8</f>
        <v>7367</v>
      </c>
      <c r="C3226" s="2" t="s">
        <v>573</v>
      </c>
      <c r="D3226" s="2" t="str">
        <f t="shared" si="49"/>
        <v>Error?</v>
      </c>
    </row>
    <row r="3227" spans="1:4" x14ac:dyDescent="0.2">
      <c r="A3227" s="5">
        <v>3166</v>
      </c>
      <c r="B3227" s="138">
        <f>'Acct Summary 7-8'!I20</f>
        <v>7367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-326285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19424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-9567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-154833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-129327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-1809813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7367</v>
      </c>
      <c r="C3320" s="2" t="s">
        <v>573</v>
      </c>
      <c r="D3320" s="2" t="str">
        <f t="shared" si="50"/>
        <v>Error?</v>
      </c>
    </row>
    <row r="3321" spans="1:4" x14ac:dyDescent="0.2">
      <c r="A3321" s="5">
        <v>3260</v>
      </c>
      <c r="B3321" s="138">
        <f>'Acct Summary 7-8'!I79</f>
        <v>546423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553790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1711716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276843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19308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25355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1245</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2034467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92066</v>
      </c>
      <c r="D3387" s="2" t="str">
        <f t="shared" si="51"/>
        <v>Error?</v>
      </c>
    </row>
    <row r="3388" spans="1:4" x14ac:dyDescent="0.2">
      <c r="A3388" s="5">
        <v>3327</v>
      </c>
      <c r="B3388" s="138">
        <f>'Expenditures 15-22'!D217</f>
        <v>125545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92066</v>
      </c>
      <c r="C3390" s="2" t="s">
        <v>573</v>
      </c>
      <c r="D3390" s="2" t="str">
        <f t="shared" si="51"/>
        <v>Error?</v>
      </c>
    </row>
    <row r="3391" spans="1:4" x14ac:dyDescent="0.2">
      <c r="A3391" s="5">
        <v>3330</v>
      </c>
      <c r="B3391" s="138">
        <f>'Expenditures 15-22'!K217</f>
        <v>125545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6810974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703717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216101</v>
      </c>
      <c r="D3417" s="2" t="str">
        <f t="shared" si="52"/>
        <v>Error?</v>
      </c>
    </row>
    <row r="3418" spans="1:4" x14ac:dyDescent="0.2">
      <c r="A3418" s="10">
        <v>3357</v>
      </c>
      <c r="D3418" s="2" t="str">
        <f t="shared" si="52"/>
        <v>OK</v>
      </c>
    </row>
    <row r="3419" spans="1:4" x14ac:dyDescent="0.2">
      <c r="A3419" s="5">
        <v>3358</v>
      </c>
      <c r="B3419" s="138">
        <f>'Assets-Liab 5-6'!F4</f>
        <v>382658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130968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1170558</v>
      </c>
      <c r="D3425" s="2" t="str">
        <f t="shared" si="52"/>
        <v>Error?</v>
      </c>
    </row>
    <row r="3426" spans="1:4" x14ac:dyDescent="0.2">
      <c r="A3426" s="10">
        <v>3365</v>
      </c>
      <c r="D3426" s="2" t="str">
        <f t="shared" si="52"/>
        <v>OK</v>
      </c>
    </row>
    <row r="3427" spans="1:4" x14ac:dyDescent="0.2">
      <c r="A3427" s="5">
        <v>3366</v>
      </c>
      <c r="B3427" s="138">
        <f>'Assets-Liab 5-6'!I4</f>
        <v>553790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31404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222040</v>
      </c>
      <c r="C3446" s="2" t="s">
        <v>573</v>
      </c>
      <c r="D3446" s="2" t="str">
        <f t="shared" si="52"/>
        <v>Error?</v>
      </c>
    </row>
    <row r="3447" spans="1:4" x14ac:dyDescent="0.2">
      <c r="A3447" s="5">
        <v>3386</v>
      </c>
      <c r="B3447" s="138">
        <f>'Tax Sched 23'!D16</f>
        <v>148138</v>
      </c>
      <c r="C3447" s="2" t="s">
        <v>573</v>
      </c>
      <c r="D3447" s="2" t="str">
        <f t="shared" si="52"/>
        <v>Error?</v>
      </c>
    </row>
    <row r="3448" spans="1:4" x14ac:dyDescent="0.2">
      <c r="A3448" s="5">
        <v>3387</v>
      </c>
      <c r="B3448" s="138">
        <f>'Tax Sched 23'!C16</f>
        <v>73902</v>
      </c>
      <c r="D3448" s="2" t="str">
        <f t="shared" si="52"/>
        <v>Error?</v>
      </c>
    </row>
    <row r="3449" spans="1:4" x14ac:dyDescent="0.2">
      <c r="A3449" s="5">
        <v>3388</v>
      </c>
      <c r="B3449" s="138">
        <f>'Tax Sched 23'!F16</f>
        <v>321360</v>
      </c>
      <c r="C3449" s="2" t="s">
        <v>573</v>
      </c>
      <c r="D3449" s="2" t="str">
        <f t="shared" si="52"/>
        <v>Error?</v>
      </c>
    </row>
    <row r="3450" spans="1:4" x14ac:dyDescent="0.2">
      <c r="A3450" s="5">
        <v>3389</v>
      </c>
      <c r="B3450" s="138">
        <f>'Tax Sched 23'!E16</f>
        <v>395262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177458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177458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177458</v>
      </c>
      <c r="D3567" s="2" t="str">
        <f t="shared" si="54"/>
        <v>Error?</v>
      </c>
    </row>
    <row r="3568" spans="1:4" x14ac:dyDescent="0.2">
      <c r="A3568" s="5">
        <v>3507</v>
      </c>
      <c r="B3568" s="138">
        <f>'Assets-Liab 5-6'!K41</f>
        <v>177458</v>
      </c>
      <c r="C3568" s="2" t="s">
        <v>573</v>
      </c>
      <c r="D3568" s="2" t="str">
        <f t="shared" si="54"/>
        <v>Error?</v>
      </c>
    </row>
    <row r="3569" spans="1:4" x14ac:dyDescent="0.2">
      <c r="A3569" s="5">
        <v>3508</v>
      </c>
      <c r="B3569" s="138">
        <f>'Acct Summary 7-8'!K4</f>
        <v>22951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22951</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22951</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22951</v>
      </c>
      <c r="C3588" s="2" t="s">
        <v>573</v>
      </c>
      <c r="D3588" s="2" t="str">
        <f t="shared" si="55"/>
        <v>Error?</v>
      </c>
    </row>
    <row r="3589" spans="1:4" x14ac:dyDescent="0.2">
      <c r="A3589" s="5">
        <v>3528</v>
      </c>
      <c r="B3589" s="138">
        <f>'Acct Summary 7-8'!K79</f>
        <v>154507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177458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22951</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420368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6621876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24010270</v>
      </c>
      <c r="C4122" s="2" t="s">
        <v>573</v>
      </c>
      <c r="D4122" s="2" t="str">
        <f t="shared" si="63"/>
        <v>Error?</v>
      </c>
    </row>
    <row r="4123" spans="1:4" x14ac:dyDescent="0.2">
      <c r="A4123" s="5">
        <v>4062</v>
      </c>
      <c r="B4123" s="138">
        <f>'Acct Summary 7-8'!D10</f>
        <v>1456262</v>
      </c>
      <c r="C4123" s="2" t="s">
        <v>573</v>
      </c>
      <c r="D4123" s="2" t="str">
        <f t="shared" si="63"/>
        <v>Error?</v>
      </c>
    </row>
    <row r="4124" spans="1:4" x14ac:dyDescent="0.2">
      <c r="A4124" s="5">
        <v>4063</v>
      </c>
      <c r="B4124" s="138">
        <f>'Acct Summary 7-8'!E10</f>
        <v>1767971</v>
      </c>
      <c r="C4124" s="2" t="s">
        <v>573</v>
      </c>
      <c r="D4124" s="2" t="str">
        <f t="shared" si="63"/>
        <v>Error?</v>
      </c>
    </row>
    <row r="4125" spans="1:4" x14ac:dyDescent="0.2">
      <c r="A4125" s="5">
        <v>4064</v>
      </c>
      <c r="B4125" s="138">
        <f>'Acct Summary 7-8'!F10</f>
        <v>859097</v>
      </c>
      <c r="C4125" s="2" t="s">
        <v>573</v>
      </c>
      <c r="D4125" s="2" t="str">
        <f t="shared" si="63"/>
        <v>Error?</v>
      </c>
    </row>
    <row r="4126" spans="1:4" x14ac:dyDescent="0.2">
      <c r="A4126" s="5">
        <v>4065</v>
      </c>
      <c r="B4126" s="138">
        <f>'Acct Summary 7-8'!G10</f>
        <v>426912</v>
      </c>
      <c r="C4126" s="2" t="s">
        <v>573</v>
      </c>
      <c r="D4126" s="2" t="str">
        <f t="shared" si="63"/>
        <v>Error?</v>
      </c>
    </row>
    <row r="4127" spans="1:4" x14ac:dyDescent="0.2">
      <c r="A4127" s="5">
        <v>4066</v>
      </c>
      <c r="B4127" s="138">
        <f>'Acct Summary 7-8'!H10</f>
        <v>128691</v>
      </c>
      <c r="C4127" s="2" t="s">
        <v>573</v>
      </c>
      <c r="D4127" s="2" t="str">
        <f t="shared" si="63"/>
        <v>Error?</v>
      </c>
    </row>
    <row r="4128" spans="1:4" x14ac:dyDescent="0.2">
      <c r="A4128" s="5">
        <v>4067</v>
      </c>
      <c r="B4128" s="138">
        <f>'Acct Summary 7-8'!I10</f>
        <v>7367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22951</v>
      </c>
      <c r="C4130" s="2" t="s">
        <v>573</v>
      </c>
      <c r="D4130" s="2" t="str">
        <f t="shared" si="63"/>
        <v>Error?</v>
      </c>
    </row>
    <row r="4131" spans="1:4" x14ac:dyDescent="0.2">
      <c r="A4131" s="5">
        <v>4070</v>
      </c>
      <c r="B4131" s="138">
        <f>'Acct Summary 7-8'!C18</f>
        <v>6621876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24336555</v>
      </c>
      <c r="C4136" s="2" t="s">
        <v>573</v>
      </c>
      <c r="D4136" s="2" t="str">
        <f t="shared" si="63"/>
        <v>Error?</v>
      </c>
    </row>
    <row r="4137" spans="1:4" x14ac:dyDescent="0.2">
      <c r="A4137" s="5">
        <v>4076</v>
      </c>
      <c r="B4137" s="138">
        <f>'Acct Summary 7-8'!D19</f>
        <v>1436838</v>
      </c>
      <c r="C4137" s="2" t="s">
        <v>573</v>
      </c>
      <c r="D4137" s="2" t="str">
        <f t="shared" si="63"/>
        <v>Error?</v>
      </c>
    </row>
    <row r="4138" spans="1:4" x14ac:dyDescent="0.2">
      <c r="A4138" s="5">
        <v>4077</v>
      </c>
      <c r="B4138" s="138">
        <f>'Acct Summary 7-8'!E19</f>
        <v>1897298</v>
      </c>
      <c r="C4138" s="2" t="s">
        <v>573</v>
      </c>
      <c r="D4138" s="2" t="str">
        <f t="shared" si="63"/>
        <v>Error?</v>
      </c>
    </row>
    <row r="4139" spans="1:4" x14ac:dyDescent="0.2">
      <c r="A4139" s="5">
        <v>4078</v>
      </c>
      <c r="B4139" s="138">
        <f>'Acct Summary 7-8'!F19</f>
        <v>868664</v>
      </c>
      <c r="C4139" s="2" t="s">
        <v>573</v>
      </c>
      <c r="D4139" s="2" t="str">
        <f t="shared" si="63"/>
        <v>Error?</v>
      </c>
    </row>
    <row r="4140" spans="1:4" x14ac:dyDescent="0.2">
      <c r="A4140" s="5">
        <v>4079</v>
      </c>
      <c r="B4140" s="138">
        <f>'Acct Summary 7-8'!G19</f>
        <v>581745</v>
      </c>
      <c r="C4140" s="2" t="s">
        <v>573</v>
      </c>
      <c r="D4140" s="2" t="str">
        <f t="shared" si="63"/>
        <v>Error?</v>
      </c>
    </row>
    <row r="4141" spans="1:4" x14ac:dyDescent="0.2">
      <c r="A4141" s="5">
        <v>4080</v>
      </c>
      <c r="B4141" s="138">
        <f>'Acct Summary 7-8'!H19</f>
        <v>1938504</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19420425</v>
      </c>
      <c r="C4171" s="2" t="s">
        <v>573</v>
      </c>
      <c r="D4171" s="2" t="str">
        <f t="shared" si="64"/>
        <v>Error?</v>
      </c>
    </row>
    <row r="4172" spans="1:4" x14ac:dyDescent="0.2">
      <c r="A4172" s="5">
        <v>4111</v>
      </c>
      <c r="B4172" s="138">
        <f>'Short-Term Long-Term Debt 24'!J49</f>
        <v>19204324</v>
      </c>
      <c r="C4172" s="2" t="s">
        <v>573</v>
      </c>
      <c r="D4172" s="2" t="str">
        <f t="shared" si="64"/>
        <v>Error?</v>
      </c>
    </row>
    <row r="4173" spans="1:4" x14ac:dyDescent="0.2">
      <c r="A4173" s="5">
        <v>4112</v>
      </c>
      <c r="B4173" s="138">
        <f>'Short-Term Long-Term Debt 24'!H49</f>
        <v>900484</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3018.5</v>
      </c>
      <c r="C4265" s="2" t="s">
        <v>573</v>
      </c>
      <c r="D4265" s="2" t="str">
        <f t="shared" si="65"/>
        <v>Error?</v>
      </c>
      <c r="E4265" s="128"/>
    </row>
    <row r="4266" spans="1:5" x14ac:dyDescent="0.2">
      <c r="A4266" s="12">
        <v>4205</v>
      </c>
      <c r="B4266" s="138">
        <f>('FP Info 3'!F10)*100000</f>
        <v>336.4</v>
      </c>
      <c r="C4266" s="2" t="s">
        <v>573</v>
      </c>
      <c r="D4266" s="2" t="str">
        <f t="shared" si="65"/>
        <v>Error?</v>
      </c>
      <c r="E4266" s="128"/>
    </row>
    <row r="4267" spans="1:5" x14ac:dyDescent="0.2">
      <c r="A4267" s="12">
        <v>4206</v>
      </c>
      <c r="B4267" s="138">
        <f>('FP Info 3'!H10)*100000</f>
        <v>240.3</v>
      </c>
      <c r="C4267" s="2" t="s">
        <v>573</v>
      </c>
      <c r="D4267" s="2" t="str">
        <f t="shared" si="65"/>
        <v>Error?</v>
      </c>
      <c r="E4267" s="128"/>
    </row>
    <row r="4268" spans="1:5" x14ac:dyDescent="0.2">
      <c r="A4268" s="12">
        <v>4207</v>
      </c>
      <c r="B4268" s="138">
        <f>('FP Info 3'!J10)*100000</f>
        <v>3595.0000000000005</v>
      </c>
      <c r="C4268" s="2" t="s">
        <v>573</v>
      </c>
      <c r="D4268" s="2" t="str">
        <f t="shared" si="65"/>
        <v>Error?</v>
      </c>
    </row>
    <row r="4269" spans="1:5" x14ac:dyDescent="0.2">
      <c r="A4269" s="12">
        <v>4208</v>
      </c>
      <c r="B4269" s="138">
        <f>'FP Info 3'!J16</f>
        <v>10439486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57353</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48472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89317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8809</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39038</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10280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562274</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10.299999999999999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562274</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54879</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56593</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101557487</v>
      </c>
      <c r="D4995" s="2" t="str">
        <f t="shared" si="77"/>
        <v>Error?</v>
      </c>
    </row>
    <row r="4996" spans="1:4" x14ac:dyDescent="0.2">
      <c r="A4996" s="12">
        <v>4935</v>
      </c>
      <c r="B4996" s="138">
        <f>'FP Info 3'!H31</f>
        <v>7007466.6030000011</v>
      </c>
      <c r="D4996" s="2" t="str">
        <f t="shared" si="77"/>
        <v>Error?</v>
      </c>
    </row>
    <row r="4997" spans="1:4" x14ac:dyDescent="0.2">
      <c r="A4997" s="12">
        <v>4936</v>
      </c>
      <c r="B4997" s="138">
        <f>'FP Info 3'!H37</f>
        <v>19420425</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1974045</v>
      </c>
      <c r="D5061" s="2" t="str">
        <f t="shared" si="78"/>
        <v>Error?</v>
      </c>
    </row>
    <row r="5062" spans="1:4" x14ac:dyDescent="0.2">
      <c r="A5062" s="10">
        <v>5001</v>
      </c>
      <c r="D5062" s="2" t="str">
        <f t="shared" si="78"/>
        <v>OK</v>
      </c>
    </row>
    <row r="5063" spans="1:4" x14ac:dyDescent="0.2">
      <c r="A5063" s="5">
        <v>5002</v>
      </c>
      <c r="B5063" s="138">
        <f>'Revenues 9-14'!C7</f>
        <v>202071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2176116</v>
      </c>
      <c r="C5066" s="2" t="s">
        <v>573</v>
      </c>
      <c r="D5066" s="2" t="str">
        <f t="shared" si="78"/>
        <v>Error?</v>
      </c>
    </row>
    <row r="5067" spans="1:4" x14ac:dyDescent="0.2">
      <c r="A5067" s="5">
        <v>5006</v>
      </c>
      <c r="B5067" s="138">
        <f>'Revenues 9-14'!C14</f>
        <v>7306</v>
      </c>
      <c r="D5067" s="2" t="str">
        <f t="shared" si="78"/>
        <v>Error?</v>
      </c>
    </row>
    <row r="5068" spans="1:4" x14ac:dyDescent="0.2">
      <c r="A5068" s="5">
        <v>5007</v>
      </c>
      <c r="B5068" s="138">
        <f>'Revenues 9-14'!C15</f>
        <v>8955</v>
      </c>
      <c r="D5068" s="2" t="str">
        <f t="shared" si="78"/>
        <v>Error?</v>
      </c>
    </row>
    <row r="5069" spans="1:4" x14ac:dyDescent="0.2">
      <c r="A5069" s="5">
        <v>5008</v>
      </c>
      <c r="B5069" s="138">
        <f>'Revenues 9-14'!C16</f>
        <v>205740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222001</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33596</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33596</v>
      </c>
      <c r="C5087" s="2" t="s">
        <v>573</v>
      </c>
      <c r="D5087" s="2" t="str">
        <f t="shared" si="78"/>
        <v>Error?</v>
      </c>
    </row>
    <row r="5088" spans="1:4" x14ac:dyDescent="0.2">
      <c r="A5088" s="5">
        <v>5027</v>
      </c>
      <c r="B5088" s="138">
        <f>'Revenues 9-14'!C65</f>
        <v>29716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29716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97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1359</v>
      </c>
      <c r="D5094" s="2" t="str">
        <f t="shared" si="78"/>
        <v>Error?</v>
      </c>
    </row>
    <row r="5095" spans="1:4" x14ac:dyDescent="0.2">
      <c r="A5095" s="5">
        <v>5034</v>
      </c>
      <c r="B5095" s="138">
        <f>'Revenues 9-14'!C74</f>
        <v>184</v>
      </c>
      <c r="D5095" s="2" t="str">
        <f t="shared" si="78"/>
        <v>Error?</v>
      </c>
    </row>
    <row r="5096" spans="1:4" x14ac:dyDescent="0.2">
      <c r="A5096" s="5">
        <v>5035</v>
      </c>
      <c r="B5096" s="138">
        <f>'Revenues 9-14'!C75</f>
        <v>1640</v>
      </c>
      <c r="C5096" s="2" t="s">
        <v>573</v>
      </c>
      <c r="D5096" s="2" t="str">
        <f t="shared" si="78"/>
        <v>Error?</v>
      </c>
    </row>
    <row r="5097" spans="1:4" x14ac:dyDescent="0.2">
      <c r="A5097" s="5">
        <v>5036</v>
      </c>
      <c r="B5097" s="138">
        <f>'Revenues 9-14'!C77</f>
        <v>13029</v>
      </c>
      <c r="D5097" s="2" t="str">
        <f t="shared" si="78"/>
        <v>Error?</v>
      </c>
    </row>
    <row r="5098" spans="1:4" x14ac:dyDescent="0.2">
      <c r="A5098" s="5">
        <v>5037</v>
      </c>
      <c r="B5098" s="138">
        <f>'Revenues 9-14'!C78</f>
        <v>502</v>
      </c>
      <c r="D5098" s="2" t="str">
        <f t="shared" si="78"/>
        <v>Error?</v>
      </c>
    </row>
    <row r="5099" spans="1:4" x14ac:dyDescent="0.2">
      <c r="A5099" s="5">
        <v>5038</v>
      </c>
      <c r="B5099" s="138">
        <f>'Revenues 9-14'!C79</f>
        <v>3670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17201</v>
      </c>
      <c r="C5102" s="2" t="s">
        <v>573</v>
      </c>
      <c r="D5102" s="2" t="str">
        <f t="shared" si="78"/>
        <v>Error?</v>
      </c>
    </row>
    <row r="5103" spans="1:4" x14ac:dyDescent="0.2">
      <c r="A5103" s="5">
        <v>5042</v>
      </c>
      <c r="B5103" s="138">
        <f>'Revenues 9-14'!C84</f>
        <v>16264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16264</v>
      </c>
      <c r="C5112" s="2" t="s">
        <v>573</v>
      </c>
      <c r="D5112" s="2" t="str">
        <f t="shared" si="78"/>
        <v>Error?</v>
      </c>
    </row>
    <row r="5113" spans="1:4" x14ac:dyDescent="0.2">
      <c r="A5113" s="5">
        <v>5052</v>
      </c>
      <c r="B5113" s="138">
        <f>'Revenues 9-14'!C95</f>
        <v>940</v>
      </c>
      <c r="D5113" s="2" t="str">
        <f t="shared" si="78"/>
        <v>Error?</v>
      </c>
    </row>
    <row r="5114" spans="1:4" x14ac:dyDescent="0.2">
      <c r="A5114" s="5">
        <v>5053</v>
      </c>
      <c r="B5114" s="138">
        <f>'Revenues 9-14'!C96</f>
        <v>119707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5896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28994</v>
      </c>
      <c r="D5119" s="2" t="str">
        <f t="shared" ref="D5119:D5182" si="79">IF(ISBLANK(B5119),"OK",IF(A5119-B5119=0,"OK","Error?"))</f>
        <v>Error?</v>
      </c>
    </row>
    <row r="5120" spans="1:4" x14ac:dyDescent="0.2">
      <c r="A5120" s="5">
        <v>5059</v>
      </c>
      <c r="B5120" s="138">
        <f>'Revenues 9-14'!C108</f>
        <v>155537</v>
      </c>
      <c r="C5120" s="2" t="s">
        <v>573</v>
      </c>
      <c r="D5120" s="2" t="str">
        <f t="shared" si="79"/>
        <v>Error?</v>
      </c>
    </row>
    <row r="5121" spans="1:4" x14ac:dyDescent="0.2">
      <c r="A5121" s="5">
        <v>5060</v>
      </c>
      <c r="B5121" s="138">
        <f>'Revenues 9-14'!C109</f>
        <v>2652071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11056487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11056487</v>
      </c>
      <c r="C5132" s="2" t="s">
        <v>573</v>
      </c>
      <c r="D5132" s="2" t="str">
        <f t="shared" si="79"/>
        <v>Error?</v>
      </c>
    </row>
    <row r="5133" spans="1:4" x14ac:dyDescent="0.2">
      <c r="A5133" s="5">
        <v>5072</v>
      </c>
      <c r="B5133" s="138">
        <f>'Revenues 9-14'!C125</f>
        <v>225464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14058</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239522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21910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377710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694021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11750508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762592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299750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12185</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1074527</v>
      </c>
      <c r="C5246" s="2" t="s">
        <v>573</v>
      </c>
      <c r="D5246" s="2" t="str">
        <f t="shared" si="80"/>
        <v>Error?</v>
      </c>
    </row>
    <row r="5247" spans="1:4" x14ac:dyDescent="0.2">
      <c r="A5247" s="5">
        <v>5186</v>
      </c>
      <c r="B5247" s="138">
        <f>'Revenues 9-14'!C200</f>
        <v>1020921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8809</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1078274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20140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560365</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580505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2985815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2985815</v>
      </c>
      <c r="C5326" s="2" t="s">
        <v>573</v>
      </c>
      <c r="D5326" s="2" t="str">
        <f t="shared" si="82"/>
        <v>Error?</v>
      </c>
    </row>
    <row r="5327" spans="1:5" x14ac:dyDescent="0.2">
      <c r="A5327" s="5">
        <v>5266</v>
      </c>
      <c r="B5327" s="138">
        <f>'Revenues 9-14'!C268</f>
        <v>17388394</v>
      </c>
      <c r="C5327" s="2" t="s">
        <v>573</v>
      </c>
      <c r="D5327" s="2" t="str">
        <f t="shared" si="82"/>
        <v>Error?</v>
      </c>
    </row>
    <row r="5328" spans="1:5" x14ac:dyDescent="0.2">
      <c r="A5328" s="5">
        <v>5267</v>
      </c>
      <c r="B5328" s="138">
        <f>'Revenues 9-14'!D5</f>
        <v>193971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193971</v>
      </c>
      <c r="C5334" s="2" t="s">
        <v>573</v>
      </c>
      <c r="D5334" s="2" t="str">
        <f t="shared" si="82"/>
        <v>Error?</v>
      </c>
    </row>
    <row r="5335" spans="1:4" x14ac:dyDescent="0.2">
      <c r="A5335" s="5">
        <v>5274</v>
      </c>
      <c r="B5335" s="138">
        <f>'Revenues 9-14'!D14</f>
        <v>616</v>
      </c>
      <c r="D5335" s="2" t="str">
        <f t="shared" si="82"/>
        <v>Error?</v>
      </c>
    </row>
    <row r="5336" spans="1:4" x14ac:dyDescent="0.2">
      <c r="A5336" s="5">
        <v>5275</v>
      </c>
      <c r="B5336" s="138">
        <f>'Revenues 9-14'!D15</f>
        <v>755</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1371</v>
      </c>
      <c r="C5339" s="2" t="s">
        <v>573</v>
      </c>
      <c r="D5339" s="2" t="str">
        <f t="shared" si="82"/>
        <v>Error?</v>
      </c>
    </row>
    <row r="5340" spans="1:4" x14ac:dyDescent="0.2">
      <c r="A5340" s="5">
        <v>5279</v>
      </c>
      <c r="B5340" s="138">
        <f>'Revenues 9-14'!D65</f>
        <v>648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648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3000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48991</v>
      </c>
      <c r="D5354" s="2" t="str">
        <f t="shared" si="82"/>
        <v>Error?</v>
      </c>
    </row>
    <row r="5355" spans="1:4" x14ac:dyDescent="0.2">
      <c r="A5355" s="5">
        <v>5294</v>
      </c>
      <c r="B5355" s="138">
        <f>'Revenues 9-14'!D108</f>
        <v>360272</v>
      </c>
      <c r="C5355" s="2" t="s">
        <v>573</v>
      </c>
      <c r="D5355" s="2" t="str">
        <f t="shared" si="82"/>
        <v>Error?</v>
      </c>
    </row>
    <row r="5356" spans="1:4" x14ac:dyDescent="0.2">
      <c r="A5356" s="5">
        <v>5295</v>
      </c>
      <c r="B5356" s="138">
        <f>'Revenues 9-14'!D109</f>
        <v>556262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900000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900000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900000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1456262</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594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594</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1205103</v>
      </c>
      <c r="C5526" s="2" t="s">
        <v>573</v>
      </c>
      <c r="D5526" s="2" t="str">
        <f t="shared" si="85"/>
        <v>Error?</v>
      </c>
    </row>
    <row r="5527" spans="1:4" x14ac:dyDescent="0.2">
      <c r="A5527" s="5">
        <v>5466</v>
      </c>
      <c r="B5527" s="138">
        <f>'Revenues 9-14'!E109</f>
        <v>1205697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1767971</v>
      </c>
      <c r="C5552" s="2" t="s">
        <v>573</v>
      </c>
      <c r="D5552" s="2" t="str">
        <f t="shared" si="85"/>
        <v>Error?</v>
      </c>
    </row>
    <row r="5553" spans="1:4" x14ac:dyDescent="0.2">
      <c r="A5553" s="5">
        <v>5492</v>
      </c>
      <c r="B5553" s="138">
        <f>'Revenues 9-14'!F5</f>
        <v>157902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157902</v>
      </c>
      <c r="C5557" s="2" t="s">
        <v>573</v>
      </c>
      <c r="D5557" s="2" t="str">
        <f t="shared" si="85"/>
        <v>Error?</v>
      </c>
    </row>
    <row r="5558" spans="1:4" x14ac:dyDescent="0.2">
      <c r="A5558" s="5">
        <v>5497</v>
      </c>
      <c r="B5558" s="138">
        <f>'Revenues 9-14'!F14</f>
        <v>532</v>
      </c>
      <c r="D5558" s="2" t="str">
        <f t="shared" si="85"/>
        <v>Error?</v>
      </c>
    </row>
    <row r="5559" spans="1:4" x14ac:dyDescent="0.2">
      <c r="A5559" s="5">
        <v>5498</v>
      </c>
      <c r="B5559" s="138">
        <f>'Revenues 9-14'!F15</f>
        <v>652</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1184</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396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396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4760</v>
      </c>
      <c r="D5586" s="2" t="str">
        <f t="shared" si="86"/>
        <v>Error?</v>
      </c>
    </row>
    <row r="5587" spans="1:4" x14ac:dyDescent="0.2">
      <c r="A5587" s="5">
        <v>5526</v>
      </c>
      <c r="B5587" s="138">
        <f>'Revenues 9-14'!F108</f>
        <v>4760</v>
      </c>
      <c r="C5587" s="2" t="s">
        <v>573</v>
      </c>
      <c r="D5587" s="2" t="str">
        <f t="shared" si="86"/>
        <v>Error?</v>
      </c>
    </row>
    <row r="5588" spans="1:4" x14ac:dyDescent="0.2">
      <c r="A5588" s="5">
        <v>5527</v>
      </c>
      <c r="B5588" s="138">
        <f>'Revenues 9-14'!F109</f>
        <v>164242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130000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130000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138900</v>
      </c>
      <c r="D5615" s="2" t="str">
        <f t="shared" si="86"/>
        <v>Error?</v>
      </c>
    </row>
    <row r="5616" spans="1:4" x14ac:dyDescent="0.2">
      <c r="A5616" s="10">
        <v>5555</v>
      </c>
      <c r="D5616" s="2" t="str">
        <f t="shared" si="86"/>
        <v>OK</v>
      </c>
    </row>
    <row r="5617" spans="1:5" x14ac:dyDescent="0.2">
      <c r="A5617" s="5">
        <v>5556</v>
      </c>
      <c r="B5617" s="138">
        <f>'Revenues 9-14'!F153</f>
        <v>295144</v>
      </c>
      <c r="D5617" s="2" t="str">
        <f t="shared" si="86"/>
        <v>Error?</v>
      </c>
    </row>
    <row r="5618" spans="1:5" x14ac:dyDescent="0.2">
      <c r="A5618" s="5">
        <v>5557</v>
      </c>
      <c r="B5618" s="138">
        <f>'Revenues 9-14'!F155</f>
        <v>434044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130811</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564855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694855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859097</v>
      </c>
      <c r="C5720" s="2" t="s">
        <v>573</v>
      </c>
      <c r="D5720" s="2" t="str">
        <f t="shared" si="88"/>
        <v>Error?</v>
      </c>
    </row>
    <row r="5721" spans="1:4" x14ac:dyDescent="0.2">
      <c r="A5721" s="5">
        <v>5660</v>
      </c>
      <c r="B5721" s="138">
        <f>'Revenues 9-14'!G5</f>
        <v>191641</v>
      </c>
      <c r="D5721" s="2" t="str">
        <f t="shared" si="88"/>
        <v>Error?</v>
      </c>
    </row>
    <row r="5722" spans="1:4" x14ac:dyDescent="0.2">
      <c r="A5722" s="5">
        <v>5661</v>
      </c>
      <c r="B5722" s="138">
        <f>'Revenues 9-14'!G7</f>
        <v>0</v>
      </c>
      <c r="D5722" s="2" t="str">
        <f t="shared" si="88"/>
        <v>Error?</v>
      </c>
    </row>
    <row r="5723" spans="1:4" x14ac:dyDescent="0.2">
      <c r="A5723" s="5">
        <v>5662</v>
      </c>
      <c r="B5723" s="138">
        <f>'Revenues 9-14'!G8</f>
        <v>222040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413681</v>
      </c>
      <c r="C5725" s="2" t="s">
        <v>573</v>
      </c>
      <c r="D5725" s="2" t="str">
        <f t="shared" si="88"/>
        <v>Error?</v>
      </c>
    </row>
    <row r="5726" spans="1:4" x14ac:dyDescent="0.2">
      <c r="A5726" s="5">
        <v>5665</v>
      </c>
      <c r="B5726" s="138">
        <f>'Revenues 9-14'!G14</f>
        <v>1328</v>
      </c>
      <c r="D5726" s="2" t="str">
        <f t="shared" si="88"/>
        <v>Error?</v>
      </c>
    </row>
    <row r="5727" spans="1:4" x14ac:dyDescent="0.2">
      <c r="A5727" s="5">
        <v>5666</v>
      </c>
      <c r="B5727" s="138">
        <f>'Revenues 9-14'!G15</f>
        <v>1628</v>
      </c>
      <c r="D5727" s="2" t="str">
        <f t="shared" si="88"/>
        <v>Error?</v>
      </c>
    </row>
    <row r="5728" spans="1:4" x14ac:dyDescent="0.2">
      <c r="A5728" s="5">
        <v>5667</v>
      </c>
      <c r="B5728" s="138">
        <f>'Revenues 9-14'!G16</f>
        <v>10000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12956</v>
      </c>
      <c r="C5730" s="2" t="s">
        <v>573</v>
      </c>
      <c r="D5730" s="2" t="str">
        <f t="shared" si="88"/>
        <v>Error?</v>
      </c>
    </row>
    <row r="5731" spans="1:4" x14ac:dyDescent="0.2">
      <c r="A5731" s="5">
        <v>5670</v>
      </c>
      <c r="B5731" s="138">
        <f>'Revenues 9-14'!G65</f>
        <v>275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275</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426912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18166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18166</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110525</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128691</v>
      </c>
      <c r="C5915" s="2" t="s">
        <v>573</v>
      </c>
      <c r="D5915" s="2" t="str">
        <f t="shared" si="91"/>
        <v>Error?</v>
      </c>
    </row>
    <row r="5916" spans="1:4" x14ac:dyDescent="0.2">
      <c r="A5916" s="5">
        <v>5855</v>
      </c>
      <c r="B5916" s="138">
        <f>'Revenues 9-14'!I5</f>
        <v>6634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6634</v>
      </c>
      <c r="C5918" s="2" t="s">
        <v>573</v>
      </c>
      <c r="D5918" s="2" t="str">
        <f t="shared" si="91"/>
        <v>Error?</v>
      </c>
    </row>
    <row r="5919" spans="1:4" x14ac:dyDescent="0.2">
      <c r="A5919" s="5">
        <v>5858</v>
      </c>
      <c r="B5919" s="138">
        <f>'Revenues 9-14'!I14</f>
        <v>22</v>
      </c>
      <c r="D5919" s="2" t="str">
        <f t="shared" si="91"/>
        <v>Error?</v>
      </c>
    </row>
    <row r="5920" spans="1:4" x14ac:dyDescent="0.2">
      <c r="A5920" s="5">
        <v>5859</v>
      </c>
      <c r="B5920" s="138">
        <f>'Revenues 9-14'!I15</f>
        <v>28</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50</v>
      </c>
      <c r="C5923" s="2" t="s">
        <v>573</v>
      </c>
      <c r="D5923" s="2" t="str">
        <f t="shared" si="91"/>
        <v>Error?</v>
      </c>
    </row>
    <row r="5924" spans="1:4" x14ac:dyDescent="0.2">
      <c r="A5924" s="5">
        <v>5863</v>
      </c>
      <c r="B5924" s="138">
        <f>'Revenues 9-14'!I65</f>
        <v>683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683</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7367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22499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22499</v>
      </c>
      <c r="C5987" s="2" t="s">
        <v>573</v>
      </c>
      <c r="D5987" s="2" t="str">
        <f t="shared" si="92"/>
        <v>Error?</v>
      </c>
    </row>
    <row r="5988" spans="1:4" x14ac:dyDescent="0.2">
      <c r="A5988" s="5">
        <v>5927</v>
      </c>
      <c r="B5988" s="138">
        <f>'Revenues 9-14'!K14</f>
        <v>106</v>
      </c>
      <c r="D5988" s="2" t="str">
        <f t="shared" si="92"/>
        <v>Error?</v>
      </c>
    </row>
    <row r="5989" spans="1:4" x14ac:dyDescent="0.2">
      <c r="A5989" s="5">
        <v>5928</v>
      </c>
      <c r="B5989" s="138">
        <f>'Revenues 9-14'!K15</f>
        <v>131</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237</v>
      </c>
      <c r="C5992" s="2" t="s">
        <v>573</v>
      </c>
      <c r="D5992" s="2" t="str">
        <f t="shared" si="92"/>
        <v>Error?</v>
      </c>
    </row>
    <row r="5993" spans="1:4" x14ac:dyDescent="0.2">
      <c r="A5993" s="5">
        <v>5932</v>
      </c>
      <c r="B5993" s="138">
        <f>'Revenues 9-14'!K65</f>
        <v>215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215</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22951</v>
      </c>
      <c r="C6023" s="2" t="s">
        <v>573</v>
      </c>
      <c r="D6023" s="2" t="str">
        <f t="shared" si="93"/>
        <v>Error?</v>
      </c>
    </row>
    <row r="6024" spans="1:5" x14ac:dyDescent="0.2">
      <c r="A6024" s="5">
        <v>5963</v>
      </c>
      <c r="B6024" s="138">
        <f>'Revenues 9-14'!G109</f>
        <v>426912</v>
      </c>
      <c r="C6024" s="2" t="s">
        <v>573</v>
      </c>
      <c r="D6024" s="2" t="str">
        <f t="shared" si="93"/>
        <v>Error?</v>
      </c>
    </row>
    <row r="6025" spans="1:5" x14ac:dyDescent="0.2">
      <c r="A6025" s="5">
        <v>5964</v>
      </c>
      <c r="B6025" s="138">
        <f>'Revenues 9-14'!H109</f>
        <v>128691</v>
      </c>
      <c r="C6025" s="2" t="s">
        <v>573</v>
      </c>
      <c r="D6025" s="2" t="str">
        <f t="shared" si="93"/>
        <v>Error?</v>
      </c>
    </row>
    <row r="6026" spans="1:5" x14ac:dyDescent="0.2">
      <c r="A6026" s="5">
        <v>5965</v>
      </c>
      <c r="B6026" s="138">
        <f>'Revenues 9-14'!I109</f>
        <v>7367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22951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77904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1539.4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222555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222555</v>
      </c>
      <c r="D6215" s="2" t="str">
        <f t="shared" si="96"/>
        <v>Error?</v>
      </c>
      <c r="E6215" s="2" t="s">
        <v>190</v>
      </c>
    </row>
    <row r="6216" spans="1:5" x14ac:dyDescent="0.2">
      <c r="A6216">
        <v>6155</v>
      </c>
      <c r="B6216" s="138">
        <f>'Assets-Liab 5-6'!J41</f>
        <v>222555</v>
      </c>
      <c r="D6216" s="2" t="str">
        <f t="shared" si="96"/>
        <v>Error?</v>
      </c>
      <c r="E6216" s="2" t="s">
        <v>190</v>
      </c>
    </row>
    <row r="6217" spans="1:5" x14ac:dyDescent="0.2">
      <c r="A6217">
        <v>6156</v>
      </c>
      <c r="B6217" s="138">
        <f>'Assets-Liab 5-6'!J4</f>
        <v>222555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203863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203863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203863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217056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217056</v>
      </c>
      <c r="D6229" s="2" t="str">
        <f t="shared" si="96"/>
        <v>Error?</v>
      </c>
      <c r="E6229" s="2" t="s">
        <v>190</v>
      </c>
    </row>
    <row r="6230" spans="1:5" x14ac:dyDescent="0.2">
      <c r="A6230">
        <v>6169</v>
      </c>
      <c r="B6230" s="138">
        <f>'Acct Summary 7-8'!J20</f>
        <v>-13193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-13193</v>
      </c>
      <c r="D6263" s="2" t="str">
        <f t="shared" si="96"/>
        <v>Error?</v>
      </c>
      <c r="E6263" s="2" t="s">
        <v>190</v>
      </c>
    </row>
    <row r="6264" spans="1:5" x14ac:dyDescent="0.2">
      <c r="A6264">
        <v>6203</v>
      </c>
      <c r="B6264" s="138">
        <f>'Acct Summary 7-8'!J79</f>
        <v>235748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222555</v>
      </c>
      <c r="D6266" s="2" t="str">
        <f t="shared" si="96"/>
        <v>Error?</v>
      </c>
      <c r="E6266" s="2" t="s">
        <v>190</v>
      </c>
    </row>
    <row r="6267" spans="1:5" x14ac:dyDescent="0.2">
      <c r="A6267">
        <v>6206</v>
      </c>
      <c r="B6267" s="138">
        <f>'Acct Summary 7-8'!C82</f>
        <v>-326285</v>
      </c>
      <c r="D6267" s="2" t="str">
        <f t="shared" si="96"/>
        <v>Error?</v>
      </c>
      <c r="E6267" s="2" t="s">
        <v>190</v>
      </c>
    </row>
    <row r="6268" spans="1:5" x14ac:dyDescent="0.2">
      <c r="A6268">
        <v>6207</v>
      </c>
      <c r="B6268" s="138">
        <f>'Acct Summary 7-8'!D82</f>
        <v>19424</v>
      </c>
      <c r="D6268" s="2" t="str">
        <f t="shared" si="96"/>
        <v>Error?</v>
      </c>
      <c r="E6268" s="2" t="s">
        <v>190</v>
      </c>
    </row>
    <row r="6269" spans="1:5" x14ac:dyDescent="0.2">
      <c r="A6269">
        <v>6208</v>
      </c>
      <c r="B6269" s="138">
        <f>'Acct Summary 7-8'!E82</f>
        <v>-129327</v>
      </c>
      <c r="D6269" s="2" t="str">
        <f t="shared" si="96"/>
        <v>Error?</v>
      </c>
      <c r="E6269" s="2" t="s">
        <v>190</v>
      </c>
    </row>
    <row r="6270" spans="1:5" x14ac:dyDescent="0.2">
      <c r="A6270">
        <v>6209</v>
      </c>
      <c r="B6270" s="138">
        <f>'Acct Summary 7-8'!F82</f>
        <v>-9567</v>
      </c>
      <c r="D6270" s="2" t="str">
        <f t="shared" si="96"/>
        <v>Error?</v>
      </c>
      <c r="E6270" s="2" t="s">
        <v>190</v>
      </c>
    </row>
    <row r="6271" spans="1:5" x14ac:dyDescent="0.2">
      <c r="A6271">
        <v>6210</v>
      </c>
      <c r="B6271" s="138">
        <f>'Acct Summary 7-8'!G82</f>
        <v>-154833</v>
      </c>
      <c r="D6271" s="2" t="str">
        <f t="shared" ref="D6271:D6334" si="97">IF(ISBLANK(B6271),"OK",IF(A6271-B6271=0,"OK","Error?"))</f>
        <v>Error?</v>
      </c>
      <c r="E6271" s="2" t="s">
        <v>190</v>
      </c>
    </row>
    <row r="6272" spans="1:5" x14ac:dyDescent="0.2">
      <c r="A6272">
        <v>6211</v>
      </c>
      <c r="B6272" s="138">
        <f>'Acct Summary 7-8'!H82</f>
        <v>-1809813</v>
      </c>
      <c r="D6272" s="2" t="str">
        <f t="shared" si="97"/>
        <v>Error?</v>
      </c>
      <c r="E6272" s="2" t="s">
        <v>190</v>
      </c>
    </row>
    <row r="6273" spans="1:5" x14ac:dyDescent="0.2">
      <c r="A6273">
        <v>6212</v>
      </c>
      <c r="B6273" s="138">
        <f>'Acct Summary 7-8'!I82</f>
        <v>7367</v>
      </c>
      <c r="D6273" s="2" t="str">
        <f t="shared" si="97"/>
        <v>Error?</v>
      </c>
      <c r="E6273" s="2" t="s">
        <v>190</v>
      </c>
    </row>
    <row r="6274" spans="1:5" x14ac:dyDescent="0.2">
      <c r="A6274">
        <v>6213</v>
      </c>
      <c r="B6274" s="138">
        <f>'Acct Summary 7-8'!J82</f>
        <v>-13193</v>
      </c>
      <c r="D6274" s="2" t="str">
        <f t="shared" si="97"/>
        <v>Error?</v>
      </c>
      <c r="E6274" s="2" t="s">
        <v>190</v>
      </c>
    </row>
    <row r="6275" spans="1:5" x14ac:dyDescent="0.2">
      <c r="A6275">
        <v>6214</v>
      </c>
      <c r="B6275" s="138">
        <f>'Acct Summary 7-8'!K82</f>
        <v>22951</v>
      </c>
      <c r="D6275" s="2" t="str">
        <f t="shared" si="97"/>
        <v>Error?</v>
      </c>
      <c r="E6275" s="2" t="s">
        <v>190</v>
      </c>
    </row>
    <row r="6276" spans="1:5" x14ac:dyDescent="0.2">
      <c r="A6276">
        <v>6215</v>
      </c>
      <c r="B6276" s="138">
        <f>'Acct Summary 7-8'!C83</f>
        <v>-3.7080702022349227E-2</v>
      </c>
      <c r="D6276" s="2" t="str">
        <f t="shared" si="97"/>
        <v>Error?</v>
      </c>
      <c r="E6276" s="2" t="s">
        <v>190</v>
      </c>
    </row>
    <row r="6277" spans="1:5" x14ac:dyDescent="0.2">
      <c r="A6277">
        <v>6216</v>
      </c>
      <c r="B6277" s="138">
        <f>'Acct Summary 7-8'!D83</f>
        <v>2.760200478317278E-2</v>
      </c>
      <c r="D6277" s="2" t="str">
        <f t="shared" si="97"/>
        <v>Error?</v>
      </c>
      <c r="E6277" s="2" t="s">
        <v>190</v>
      </c>
    </row>
    <row r="6278" spans="1:5" x14ac:dyDescent="0.2">
      <c r="A6278">
        <v>6217</v>
      </c>
      <c r="B6278" s="138">
        <f>'Acct Summary 7-8'!E83</f>
        <v>-0.59845627738881357</v>
      </c>
      <c r="D6278" s="2" t="str">
        <f t="shared" si="97"/>
        <v>Error?</v>
      </c>
      <c r="E6278" s="2" t="s">
        <v>190</v>
      </c>
    </row>
    <row r="6279" spans="1:5" x14ac:dyDescent="0.2">
      <c r="A6279">
        <v>6218</v>
      </c>
      <c r="B6279" s="138">
        <f>'Acct Summary 7-8'!F83</f>
        <v>-2.5001437314782389E-2</v>
      </c>
      <c r="D6279" s="2" t="str">
        <f t="shared" si="97"/>
        <v>Error?</v>
      </c>
      <c r="E6279" s="2" t="s">
        <v>190</v>
      </c>
    </row>
    <row r="6280" spans="1:5" x14ac:dyDescent="0.2">
      <c r="A6280">
        <v>6219</v>
      </c>
      <c r="B6280" s="138">
        <f>'Acct Summary 7-8'!G83</f>
        <v>-1.1822200842954005</v>
      </c>
      <c r="D6280" s="2" t="str">
        <f t="shared" si="97"/>
        <v>Error?</v>
      </c>
      <c r="E6280" s="2" t="s">
        <v>190</v>
      </c>
    </row>
    <row r="6281" spans="1:5" x14ac:dyDescent="0.2">
      <c r="A6281">
        <v>6220</v>
      </c>
      <c r="B6281" s="138">
        <f>'Acct Summary 7-8'!H83</f>
        <v>-1.5461113417703352</v>
      </c>
      <c r="D6281" s="2" t="str">
        <f t="shared" si="97"/>
        <v>Error?</v>
      </c>
      <c r="E6281" s="2" t="s">
        <v>190</v>
      </c>
    </row>
    <row r="6282" spans="1:5" x14ac:dyDescent="0.2">
      <c r="A6282">
        <v>6221</v>
      </c>
      <c r="B6282" s="138">
        <f>'Acct Summary 7-8'!I83</f>
        <v>1.3302876541649362E-2</v>
      </c>
      <c r="D6282" s="2" t="str">
        <f t="shared" si="97"/>
        <v>Error?</v>
      </c>
      <c r="E6282" s="2" t="s">
        <v>190</v>
      </c>
    </row>
    <row r="6283" spans="1:5" x14ac:dyDescent="0.2">
      <c r="A6283">
        <v>6222</v>
      </c>
      <c r="B6283" s="138">
        <f>'Acct Summary 7-8'!J83</f>
        <v>-5.9279728606411897E-2</v>
      </c>
      <c r="D6283" s="2" t="str">
        <f t="shared" si="97"/>
        <v>Error?</v>
      </c>
      <c r="E6283" s="2" t="s">
        <v>190</v>
      </c>
    </row>
    <row r="6284" spans="1:5" x14ac:dyDescent="0.2">
      <c r="A6284">
        <v>6223</v>
      </c>
      <c r="B6284" s="138">
        <f>'Acct Summary 7-8'!K83</f>
        <v>0.12933201095470478</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187109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187109</v>
      </c>
      <c r="D6301" s="2" t="str">
        <f t="shared" si="97"/>
        <v>Error?</v>
      </c>
      <c r="E6301" s="2" t="s">
        <v>190</v>
      </c>
    </row>
    <row r="6302" spans="1:5" x14ac:dyDescent="0.2">
      <c r="A6302">
        <v>6241</v>
      </c>
      <c r="B6302" s="138">
        <f>'Revenues 9-14'!J14</f>
        <v>637</v>
      </c>
      <c r="D6302" s="2" t="str">
        <f t="shared" si="97"/>
        <v>Error?</v>
      </c>
      <c r="E6302" s="2" t="s">
        <v>190</v>
      </c>
    </row>
    <row r="6303" spans="1:5" x14ac:dyDescent="0.2">
      <c r="A6303">
        <v>6242</v>
      </c>
      <c r="B6303" s="138">
        <f>'Revenues 9-14'!J15</f>
        <v>780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1417</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237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237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308281</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15100</v>
      </c>
      <c r="D6350" s="2" t="str">
        <f t="shared" si="98"/>
        <v>Error?</v>
      </c>
      <c r="E6350" s="2" t="s">
        <v>190</v>
      </c>
    </row>
    <row r="6351" spans="1:5" x14ac:dyDescent="0.2">
      <c r="A6351">
        <v>6290</v>
      </c>
      <c r="B6351" s="138">
        <f>'Revenues 9-14'!J108</f>
        <v>15100</v>
      </c>
      <c r="D6351" s="2" t="str">
        <f t="shared" si="98"/>
        <v>Error?</v>
      </c>
      <c r="E6351" s="2" t="s">
        <v>190</v>
      </c>
    </row>
    <row r="6352" spans="1:5" x14ac:dyDescent="0.2">
      <c r="A6352">
        <v>6291</v>
      </c>
      <c r="B6352" s="138">
        <f>'Revenues 9-14'!J109</f>
        <v>203863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244542</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562274</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562274</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350476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112561</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14400</v>
      </c>
      <c r="D6981" s="2" t="str">
        <f t="shared" si="108"/>
        <v>Error?</v>
      </c>
    </row>
    <row r="6982" spans="1:4" x14ac:dyDescent="0.2">
      <c r="A6982">
        <v>6921</v>
      </c>
      <c r="B6982" s="138">
        <f>'Expenditures 15-22'!K85</f>
        <v>14400</v>
      </c>
      <c r="D6982" s="2" t="str">
        <f t="shared" si="108"/>
        <v>Error?</v>
      </c>
    </row>
    <row r="6983" spans="1:4" x14ac:dyDescent="0.2">
      <c r="A6983">
        <v>6922</v>
      </c>
      <c r="B6983" s="138">
        <f>'Expenditures 15-22'!H86</f>
        <v>608684</v>
      </c>
      <c r="D6983" s="2" t="str">
        <f t="shared" si="108"/>
        <v>Error?</v>
      </c>
    </row>
    <row r="6984" spans="1:4" x14ac:dyDescent="0.2">
      <c r="A6984">
        <v>6923</v>
      </c>
      <c r="B6984" s="138">
        <f>'Expenditures 15-22'!K86</f>
        <v>608684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623084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217056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203863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15893</v>
      </c>
      <c r="D7073" s="2" t="str">
        <f t="shared" si="109"/>
        <v>Error?</v>
      </c>
    </row>
    <row r="7074" spans="1:4" x14ac:dyDescent="0.2">
      <c r="A7074">
        <v>7013</v>
      </c>
      <c r="B7074" s="138">
        <f>'Expenditures 15-22'!K216</f>
        <v>15893</v>
      </c>
      <c r="D7074" s="2" t="str">
        <f t="shared" si="109"/>
        <v>Error?</v>
      </c>
    </row>
    <row r="7075" spans="1:4" x14ac:dyDescent="0.2">
      <c r="A7075">
        <v>7014</v>
      </c>
      <c r="B7075" s="138">
        <f>'Expenditures 15-22'!D218</f>
        <v>9411</v>
      </c>
      <c r="D7075" s="2" t="str">
        <f t="shared" si="109"/>
        <v>Error?</v>
      </c>
    </row>
    <row r="7076" spans="1:4" x14ac:dyDescent="0.2">
      <c r="A7076">
        <v>7015</v>
      </c>
      <c r="B7076" s="138">
        <f>'Expenditures 15-22'!K218</f>
        <v>9411</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67135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67135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1116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1116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2101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2101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75706</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75706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217056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217056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217056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217056</v>
      </c>
      <c r="D7224" s="2" t="str">
        <f t="shared" si="111"/>
        <v>Error?</v>
      </c>
    </row>
    <row r="7225" spans="1:4" x14ac:dyDescent="0.2">
      <c r="A7225">
        <v>7164</v>
      </c>
      <c r="B7225" s="138">
        <f>'Expenditures 15-22'!K343</f>
        <v>-13193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40539</v>
      </c>
      <c r="D7246" s="2" t="str">
        <f t="shared" si="112"/>
        <v>Error?</v>
      </c>
    </row>
    <row r="7247" spans="1:4" x14ac:dyDescent="0.2">
      <c r="A7247">
        <f t="shared" si="113"/>
        <v>7186</v>
      </c>
      <c r="B7247" s="138">
        <f>'Expenditures 15-22'!E7</f>
        <v>2892</v>
      </c>
      <c r="D7247" s="2" t="str">
        <f t="shared" si="112"/>
        <v>Error?</v>
      </c>
    </row>
    <row r="7248" spans="1:4" x14ac:dyDescent="0.2">
      <c r="A7248">
        <f t="shared" si="113"/>
        <v>7187</v>
      </c>
      <c r="B7248" s="138">
        <f>'Expenditures 15-22'!F7</f>
        <v>58777</v>
      </c>
      <c r="D7248" s="2" t="str">
        <f t="shared" si="112"/>
        <v>Error?</v>
      </c>
    </row>
    <row r="7249" spans="1:4" x14ac:dyDescent="0.2">
      <c r="A7249">
        <f t="shared" si="113"/>
        <v>7188</v>
      </c>
      <c r="B7249" s="138">
        <f>'Expenditures 15-22'!G7</f>
        <v>3726</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97837</v>
      </c>
      <c r="D7251" s="2" t="str">
        <f t="shared" si="112"/>
        <v>Error?</v>
      </c>
    </row>
    <row r="7252" spans="1:4" x14ac:dyDescent="0.2">
      <c r="A7252">
        <f t="shared" si="113"/>
        <v>7191</v>
      </c>
      <c r="B7252" s="138">
        <f>'Expenditures 15-22'!D9</f>
        <v>13636</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1088</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1798779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67880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67880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3118</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3118</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1315628</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1315628</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202071</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110525</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1205103</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1205103</v>
      </c>
      <c r="D7727" s="2" t="str">
        <f t="shared" si="126"/>
        <v>Error?</v>
      </c>
      <c r="E7727" s="2" t="s">
        <v>827</v>
      </c>
    </row>
    <row r="7728" spans="1:6" x14ac:dyDescent="0.2">
      <c r="A7728">
        <v>7667</v>
      </c>
      <c r="B7728" s="138">
        <f>'Revenues 9-14'!E103</f>
        <v>1205103</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1315628</v>
      </c>
      <c r="D7730" s="2" t="str">
        <f t="shared" si="126"/>
        <v>Error?</v>
      </c>
      <c r="E7730" s="2" t="s">
        <v>827</v>
      </c>
    </row>
    <row r="7731" spans="1:6" x14ac:dyDescent="0.2">
      <c r="A7731">
        <v>7670</v>
      </c>
      <c r="B7731" s="138">
        <f>'Revenues 9-14'!H103</f>
        <v>110525</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562274</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29'!D142</f>
        <v>0</v>
      </c>
      <c r="D7797" s="2" t="str">
        <f t="shared" si="127"/>
        <v>Error?</v>
      </c>
      <c r="E7797" s="4" t="s">
        <v>1900</v>
      </c>
    </row>
    <row r="7798" spans="1:5" x14ac:dyDescent="0.2">
      <c r="A7798">
        <v>7737</v>
      </c>
      <c r="B7798" s="138">
        <f>'Contracts Paid in CY 29'!F142</f>
        <v>0</v>
      </c>
      <c r="D7798" s="2" t="str">
        <f t="shared" si="127"/>
        <v>Error?</v>
      </c>
      <c r="E7798" s="4" t="s">
        <v>1900</v>
      </c>
    </row>
    <row r="7799" spans="1:5" x14ac:dyDescent="0.2">
      <c r="A7799">
        <v>7738</v>
      </c>
      <c r="B7799" s="138">
        <f>'Contracts Paid in CY 29'!G142</f>
        <v>0</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3" t="s">
        <v>1191</v>
      </c>
      <c r="B2" s="2383"/>
      <c r="C2" s="2383"/>
      <c r="D2" s="2383"/>
      <c r="E2" s="2383"/>
      <c r="F2" s="2383"/>
      <c r="G2" s="2383"/>
      <c r="H2" s="2383"/>
      <c r="I2" s="2383"/>
      <c r="J2" s="2383"/>
      <c r="K2" s="2383"/>
      <c r="L2" s="2383"/>
    </row>
    <row r="3" spans="1:29" ht="13.5" customHeight="1" x14ac:dyDescent="0.2">
      <c r="A3" s="2414" t="s">
        <v>1190</v>
      </c>
      <c r="B3" s="2414"/>
      <c r="C3" s="2414"/>
      <c r="D3" s="2414"/>
      <c r="E3" s="2414"/>
      <c r="F3" s="2414"/>
      <c r="G3" s="2414"/>
      <c r="H3" s="2414"/>
      <c r="I3" s="2414"/>
      <c r="J3" s="2414"/>
      <c r="K3" s="2414"/>
      <c r="L3" s="2414"/>
    </row>
    <row r="4" spans="1:29" ht="13.5" customHeight="1" x14ac:dyDescent="0.2">
      <c r="A4" s="2383" t="s">
        <v>1984</v>
      </c>
      <c r="B4" s="2404"/>
      <c r="C4" s="2404"/>
      <c r="D4" s="2404"/>
      <c r="E4" s="2404"/>
      <c r="F4" s="2404"/>
      <c r="G4" s="2404"/>
      <c r="H4" s="2404"/>
      <c r="I4" s="2404"/>
      <c r="J4" s="2404"/>
      <c r="K4" s="2404"/>
      <c r="L4" s="240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5" t="str">
        <f>COVER!A17</f>
        <v>Rantoul City SD 137</v>
      </c>
      <c r="B7" s="2406"/>
      <c r="C7" s="2406"/>
      <c r="D7" s="2407"/>
      <c r="E7" s="2408">
        <f>COVER!A13</f>
        <v>9010137002</v>
      </c>
      <c r="F7" s="2409"/>
      <c r="G7" s="2415" t="str">
        <f>COVER!T23</f>
        <v>065.018319</v>
      </c>
      <c r="H7" s="2416"/>
      <c r="I7" s="2416"/>
      <c r="J7" s="2416"/>
      <c r="K7" s="2416"/>
      <c r="L7" s="241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8"/>
      <c r="B9" s="2419"/>
      <c r="C9" s="2419"/>
      <c r="D9" s="2419"/>
      <c r="E9" s="2419"/>
      <c r="F9" s="2420"/>
      <c r="G9" s="2389" t="str">
        <f>COVER!T13</f>
        <v>RUSSELL LEIGH &amp; ASSOCIATES LLC</v>
      </c>
      <c r="H9" s="2421"/>
      <c r="I9" s="2421"/>
      <c r="J9" s="2421"/>
      <c r="K9" s="2421"/>
      <c r="L9" s="2422"/>
    </row>
    <row r="10" spans="1:29" ht="13.5" customHeight="1" x14ac:dyDescent="0.2">
      <c r="A10" s="2395" t="str">
        <f>COVER!A38</f>
        <v>Michelle Ramage</v>
      </c>
      <c r="B10" s="2396"/>
      <c r="C10" s="2396"/>
      <c r="D10" s="2396"/>
      <c r="E10" s="2396"/>
      <c r="F10" s="2397"/>
      <c r="G10" s="2389" t="str">
        <f>COVER!T17</f>
        <v>228 E MAIN ST</v>
      </c>
      <c r="H10" s="2390"/>
      <c r="I10" s="2390"/>
      <c r="J10" s="2390"/>
      <c r="K10" s="2390"/>
      <c r="L10" s="2391"/>
    </row>
    <row r="11" spans="1:29" ht="13.5" customHeight="1" x14ac:dyDescent="0.2">
      <c r="A11" s="1184" t="s">
        <v>1519</v>
      </c>
      <c r="B11" s="1185"/>
      <c r="C11" s="1186"/>
      <c r="D11" s="1191"/>
      <c r="E11" s="1186"/>
      <c r="F11" s="1190"/>
      <c r="G11" s="2389" t="str">
        <f>COVER!T19</f>
        <v>HOOPESTON</v>
      </c>
      <c r="H11" s="2390"/>
      <c r="I11" s="2390"/>
      <c r="J11" s="2390"/>
      <c r="K11" s="2390"/>
      <c r="L11" s="2391"/>
    </row>
    <row r="12" spans="1:29" ht="13.5" customHeight="1" x14ac:dyDescent="0.2">
      <c r="A12" s="2398" t="s">
        <v>1518</v>
      </c>
      <c r="B12" s="2399"/>
      <c r="C12" s="2399"/>
      <c r="D12" s="2399"/>
      <c r="E12" s="2399"/>
      <c r="F12" s="2400"/>
      <c r="G12" s="2392"/>
      <c r="H12" s="2393"/>
      <c r="I12" s="2393"/>
      <c r="J12" s="2393"/>
      <c r="K12" s="2393"/>
      <c r="L12" s="2394"/>
    </row>
    <row r="13" spans="1:29" ht="13.5" customHeight="1" x14ac:dyDescent="0.2">
      <c r="A13" s="2389"/>
      <c r="B13" s="2390"/>
      <c r="C13" s="2390"/>
      <c r="D13" s="2390"/>
      <c r="E13" s="2390"/>
      <c r="F13" s="2391"/>
      <c r="G13" s="2384" t="s">
        <v>1520</v>
      </c>
      <c r="H13" s="2385"/>
      <c r="I13" s="2401" t="str">
        <f>COVER!T25</f>
        <v>admin@russleigh.com</v>
      </c>
      <c r="J13" s="2402"/>
      <c r="K13" s="2402"/>
      <c r="L13" s="2403"/>
    </row>
    <row r="14" spans="1:29" ht="13.5" customHeight="1" x14ac:dyDescent="0.2">
      <c r="A14" s="2389" t="str">
        <f>COVER!A19</f>
        <v>400 EAST WABASH</v>
      </c>
      <c r="B14" s="2390"/>
      <c r="C14" s="2390"/>
      <c r="D14" s="2390"/>
      <c r="E14" s="2390"/>
      <c r="F14" s="2391"/>
      <c r="G14" s="1195" t="s">
        <v>1185</v>
      </c>
      <c r="H14" s="1193"/>
      <c r="I14" s="1193"/>
      <c r="J14" s="1193"/>
      <c r="K14" s="1193"/>
      <c r="L14" s="1194"/>
    </row>
    <row r="15" spans="1:29" ht="13.5" customHeight="1" x14ac:dyDescent="0.2">
      <c r="A15" s="2389" t="str">
        <f>COVER!A21</f>
        <v>RANTOUL</v>
      </c>
      <c r="B15" s="2390"/>
      <c r="C15" s="2390"/>
      <c r="D15" s="2390"/>
      <c r="E15" s="2390"/>
      <c r="F15" s="2391"/>
      <c r="G15" s="2386" t="str">
        <f>COVER!T15</f>
        <v>RUSS LEIGH</v>
      </c>
      <c r="H15" s="2387"/>
      <c r="I15" s="2387"/>
      <c r="J15" s="2387"/>
      <c r="K15" s="2387"/>
      <c r="L15" s="2388"/>
    </row>
    <row r="16" spans="1:29" ht="12.2" customHeight="1" x14ac:dyDescent="0.2">
      <c r="A16" s="2411">
        <f>COVER!A25</f>
        <v>61866</v>
      </c>
      <c r="B16" s="2412"/>
      <c r="C16" s="2412"/>
      <c r="D16" s="2412"/>
      <c r="E16" s="2412"/>
      <c r="F16" s="2413"/>
      <c r="G16" s="2423"/>
      <c r="H16" s="2424"/>
      <c r="I16" s="2424"/>
      <c r="J16" s="2424"/>
      <c r="K16" s="2424"/>
      <c r="L16" s="2425"/>
    </row>
    <row r="17" spans="1:13" ht="12.2" customHeight="1" x14ac:dyDescent="0.2">
      <c r="A17" s="2426"/>
      <c r="B17" s="2412"/>
      <c r="C17" s="2412"/>
      <c r="D17" s="2412"/>
      <c r="E17" s="2412"/>
      <c r="F17" s="2413"/>
      <c r="G17" s="1195" t="s">
        <v>1184</v>
      </c>
      <c r="H17" s="1193"/>
      <c r="I17" s="1193"/>
      <c r="J17" s="1193"/>
      <c r="K17" s="1197" t="s">
        <v>1183</v>
      </c>
      <c r="L17" s="1190"/>
      <c r="M17" s="1183"/>
    </row>
    <row r="18" spans="1:13" ht="12.2" customHeight="1" x14ac:dyDescent="0.2">
      <c r="A18" s="2395"/>
      <c r="B18" s="2396"/>
      <c r="C18" s="2396"/>
      <c r="D18" s="2396"/>
      <c r="E18" s="2396"/>
      <c r="F18" s="2397"/>
      <c r="G18" s="2405" t="str">
        <f>COVER!T21</f>
        <v>217-283-9336</v>
      </c>
      <c r="H18" s="2406"/>
      <c r="I18" s="2406"/>
      <c r="J18" s="2406"/>
      <c r="K18" s="2405" t="str">
        <f>COVER!X21</f>
        <v>217-283-9736</v>
      </c>
      <c r="L18" s="241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Rantoul City SD 137</v>
      </c>
      <c r="B1" s="2404"/>
      <c r="C1" s="2404"/>
      <c r="D1" s="2404"/>
    </row>
    <row r="2" spans="1:11" s="1212" customFormat="1" ht="12.75" x14ac:dyDescent="0.2">
      <c r="A2" s="2428">
        <f>'Single Audit Cover'!E7</f>
        <v>9010137002</v>
      </c>
      <c r="B2" s="2429"/>
      <c r="C2" s="2429"/>
      <c r="D2" s="2429"/>
    </row>
    <row r="3" spans="1:11" s="1212" customFormat="1" ht="12.75" x14ac:dyDescent="0.2">
      <c r="A3" s="2427" t="s">
        <v>1513</v>
      </c>
      <c r="B3" s="2404"/>
      <c r="C3" s="2404"/>
      <c r="D3" s="2404"/>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0" sqref="D10"/>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Rantoul City SD 137</v>
      </c>
      <c r="B1" s="2431"/>
      <c r="C1" s="2431"/>
      <c r="D1" s="2431"/>
      <c r="E1" s="2431"/>
    </row>
    <row r="2" spans="1:5" x14ac:dyDescent="0.2">
      <c r="A2" s="2432">
        <f>'Single Audit Cover'!E7</f>
        <v>9010137002</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3548089</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77904</v>
      </c>
    </row>
    <row r="15" spans="1:5" x14ac:dyDescent="0.2">
      <c r="A15" s="1258"/>
      <c r="B15" s="1259"/>
      <c r="C15" s="1259"/>
    </row>
    <row r="16" spans="1:5" x14ac:dyDescent="0.2">
      <c r="A16" s="1258" t="s">
        <v>1840</v>
      </c>
      <c r="B16" s="1259"/>
      <c r="C16" s="1259"/>
    </row>
    <row r="17" spans="1:4" x14ac:dyDescent="0.2">
      <c r="A17" s="1258" t="s">
        <v>2056</v>
      </c>
      <c r="B17" s="1259" t="s">
        <v>1236</v>
      </c>
      <c r="C17" s="1259"/>
      <c r="D17" s="1261">
        <f>-SUM('Revenues 9-14'!C264:D264,'Revenues 9-14'!F264:G264)</f>
        <v>-89317</v>
      </c>
    </row>
    <row r="19" spans="1:4" ht="13.5" thickBot="1" x14ac:dyDescent="0.25">
      <c r="A19" s="1262" t="s">
        <v>1235</v>
      </c>
      <c r="D19" s="1263">
        <f>SUM(D10:D17)</f>
        <v>3536676</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3536676</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0</v>
      </c>
    </row>
    <row r="49" spans="2:4" x14ac:dyDescent="0.2">
      <c r="B49" s="1269" t="s">
        <v>1226</v>
      </c>
      <c r="C49" s="1269"/>
      <c r="D49" s="1270">
        <f>D32-D47</f>
        <v>3536676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F878A-889E-4D31-B524-67929CE7DC0A}">
  <dimension ref="B1:N152"/>
  <sheetViews>
    <sheetView showGridLines="0" topLeftCell="A4" zoomScaleNormal="100" workbookViewId="0">
      <selection activeCell="F20" sqref="F20"/>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4" t="str">
        <f>'Single Audit Cover'!A7</f>
        <v>Rantoul City SD 137</v>
      </c>
      <c r="C1" s="2435"/>
      <c r="D1" s="2435"/>
      <c r="E1" s="2435"/>
      <c r="F1" s="2435"/>
      <c r="G1" s="2435"/>
      <c r="H1" s="2435"/>
      <c r="I1" s="2435"/>
      <c r="J1" s="2435"/>
      <c r="K1" s="2435"/>
      <c r="L1" s="2435"/>
      <c r="M1" s="2435"/>
    </row>
    <row r="2" spans="2:14" ht="15" x14ac:dyDescent="0.2">
      <c r="B2" s="2436">
        <f>'Single Audit Cover'!E7</f>
        <v>9010137002</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2150</v>
      </c>
      <c r="C11" s="1335"/>
      <c r="D11" s="1336"/>
      <c r="E11" s="1337"/>
      <c r="F11" s="1337"/>
      <c r="G11" s="1337"/>
      <c r="H11" s="1337"/>
      <c r="I11" s="1337"/>
      <c r="J11" s="1337"/>
      <c r="K11" s="1337"/>
      <c r="L11" s="1337">
        <f>+G11+I11+K11</f>
        <v>0</v>
      </c>
      <c r="M11" s="1337"/>
    </row>
    <row r="12" spans="2:14" ht="20.100000000000001" customHeight="1" x14ac:dyDescent="0.2">
      <c r="B12" s="1334" t="s">
        <v>2151</v>
      </c>
      <c r="C12" s="1338"/>
      <c r="D12" s="1339"/>
      <c r="E12" s="1340"/>
      <c r="F12" s="1340"/>
      <c r="G12" s="1340"/>
      <c r="H12" s="1340"/>
      <c r="I12" s="1340"/>
      <c r="J12" s="1340"/>
      <c r="K12" s="1340"/>
      <c r="L12" s="1337">
        <f t="shared" ref="L12:L27" si="0">+G12+I12+K12</f>
        <v>0</v>
      </c>
      <c r="M12" s="1340"/>
    </row>
    <row r="13" spans="2:14" ht="20.100000000000001" customHeight="1" x14ac:dyDescent="0.2">
      <c r="B13" s="1334" t="s">
        <v>2152</v>
      </c>
      <c r="C13" s="1338">
        <v>93.778000000000006</v>
      </c>
      <c r="D13" s="1339">
        <v>4992</v>
      </c>
      <c r="E13" s="1340"/>
      <c r="F13" s="1340">
        <v>48472</v>
      </c>
      <c r="G13" s="1340"/>
      <c r="H13" s="1340"/>
      <c r="I13" s="1340">
        <v>48472</v>
      </c>
      <c r="J13" s="1340"/>
      <c r="K13" s="1340"/>
      <c r="L13" s="1337">
        <f t="shared" si="0"/>
        <v>48472</v>
      </c>
      <c r="M13" s="1340"/>
    </row>
    <row r="14" spans="2:14" ht="20.100000000000001" customHeight="1" x14ac:dyDescent="0.2">
      <c r="B14" s="1334" t="s">
        <v>2153</v>
      </c>
      <c r="C14" s="1338">
        <v>93.57</v>
      </c>
      <c r="D14" s="1339">
        <v>4999</v>
      </c>
      <c r="E14" s="1340"/>
      <c r="F14" s="1340">
        <v>26897</v>
      </c>
      <c r="G14" s="1340"/>
      <c r="H14" s="1340"/>
      <c r="I14" s="1340">
        <v>26897</v>
      </c>
      <c r="J14" s="1340"/>
      <c r="K14" s="1340"/>
      <c r="L14" s="1337">
        <f t="shared" si="0"/>
        <v>26897</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t="s">
        <v>2154</v>
      </c>
      <c r="C16" s="1338"/>
      <c r="D16" s="1339"/>
      <c r="E16" s="1340"/>
      <c r="F16" s="1340">
        <v>75369</v>
      </c>
      <c r="G16" s="1340"/>
      <c r="H16" s="1340"/>
      <c r="I16" s="1340">
        <v>75369</v>
      </c>
      <c r="J16" s="1340"/>
      <c r="K16" s="1340"/>
      <c r="L16" s="1337">
        <f t="shared" si="0"/>
        <v>75369</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t="s">
        <v>2155</v>
      </c>
      <c r="C19" s="1338"/>
      <c r="D19" s="1339"/>
      <c r="E19" s="1340">
        <v>2228460</v>
      </c>
      <c r="F19" s="1340">
        <v>2974402</v>
      </c>
      <c r="G19" s="1340">
        <v>2352342</v>
      </c>
      <c r="H19" s="1340"/>
      <c r="I19" s="1340">
        <v>3140993</v>
      </c>
      <c r="J19" s="1340"/>
      <c r="K19" s="1340"/>
      <c r="L19" s="1337">
        <f t="shared" si="0"/>
        <v>5493335</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E68EA-3E2B-4F21-ADF3-2B7580BB6168}">
  <dimension ref="B1:N152"/>
  <sheetViews>
    <sheetView showGridLines="0" topLeftCell="A1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4" t="str">
        <f>'Single Audit Cover'!A7</f>
        <v>Rantoul City SD 137</v>
      </c>
      <c r="C1" s="2435"/>
      <c r="D1" s="2435"/>
      <c r="E1" s="2435"/>
      <c r="F1" s="2435"/>
      <c r="G1" s="2435"/>
      <c r="H1" s="2435"/>
      <c r="I1" s="2435"/>
      <c r="J1" s="2435"/>
      <c r="K1" s="2435"/>
      <c r="L1" s="2435"/>
      <c r="M1" s="2435"/>
    </row>
    <row r="2" spans="2:14" ht="15" x14ac:dyDescent="0.2">
      <c r="B2" s="2436">
        <f>'Single Audit Cover'!E7</f>
        <v>9010137002</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2168</v>
      </c>
      <c r="C11" s="1335" t="s">
        <v>2136</v>
      </c>
      <c r="D11" s="1336">
        <v>4620</v>
      </c>
      <c r="E11" s="1337">
        <v>525584</v>
      </c>
      <c r="F11" s="1337">
        <v>87207</v>
      </c>
      <c r="G11" s="1337">
        <v>610825</v>
      </c>
      <c r="H11" s="1337"/>
      <c r="I11" s="1337">
        <v>1966</v>
      </c>
      <c r="J11" s="1337"/>
      <c r="K11" s="1337"/>
      <c r="L11" s="1337">
        <f>+G11+I11+K11</f>
        <v>612791</v>
      </c>
      <c r="M11" s="1337"/>
    </row>
    <row r="12" spans="2:14" ht="20.100000000000001" customHeight="1" x14ac:dyDescent="0.2">
      <c r="B12" s="1334" t="s">
        <v>2168</v>
      </c>
      <c r="C12" s="1338" t="s">
        <v>2136</v>
      </c>
      <c r="D12" s="1339">
        <v>4620</v>
      </c>
      <c r="E12" s="1340"/>
      <c r="F12" s="1340">
        <v>473158</v>
      </c>
      <c r="G12" s="1340"/>
      <c r="H12" s="1340"/>
      <c r="I12" s="1340">
        <v>519725</v>
      </c>
      <c r="J12" s="1340"/>
      <c r="K12" s="1340">
        <v>7522</v>
      </c>
      <c r="L12" s="1337">
        <f t="shared" ref="L12:L27" si="0">+G12+I12+K12</f>
        <v>527247</v>
      </c>
      <c r="M12" s="1340">
        <v>545800</v>
      </c>
    </row>
    <row r="13" spans="2:14" ht="20.100000000000001" customHeight="1" x14ac:dyDescent="0.2">
      <c r="B13" s="1334" t="s">
        <v>2137</v>
      </c>
      <c r="C13" s="1338" t="s">
        <v>2138</v>
      </c>
      <c r="D13" s="1339">
        <v>4909</v>
      </c>
      <c r="E13" s="1340">
        <v>16066</v>
      </c>
      <c r="F13" s="1340">
        <v>11169</v>
      </c>
      <c r="G13" s="1340">
        <v>17794</v>
      </c>
      <c r="H13" s="1340"/>
      <c r="I13" s="1340">
        <v>9441</v>
      </c>
      <c r="J13" s="1340"/>
      <c r="K13" s="1340"/>
      <c r="L13" s="1337">
        <f t="shared" si="0"/>
        <v>27235</v>
      </c>
      <c r="M13" s="1340"/>
    </row>
    <row r="14" spans="2:14" ht="20.100000000000001" customHeight="1" x14ac:dyDescent="0.2">
      <c r="B14" s="1334" t="s">
        <v>2156</v>
      </c>
      <c r="C14" s="1338" t="s">
        <v>2139</v>
      </c>
      <c r="D14" s="1339">
        <v>4932</v>
      </c>
      <c r="E14" s="1340">
        <v>68660</v>
      </c>
      <c r="F14" s="1340">
        <v>10280</v>
      </c>
      <c r="G14" s="1340">
        <v>68660</v>
      </c>
      <c r="H14" s="1340"/>
      <c r="I14" s="1340">
        <v>10280</v>
      </c>
      <c r="J14" s="1340"/>
      <c r="K14" s="1340"/>
      <c r="L14" s="1337">
        <f t="shared" si="0"/>
        <v>78940</v>
      </c>
      <c r="M14" s="1340"/>
    </row>
    <row r="15" spans="2:14" ht="20.100000000000001" customHeight="1" x14ac:dyDescent="0.2">
      <c r="B15" s="1334" t="s">
        <v>2140</v>
      </c>
      <c r="C15" s="1338" t="s">
        <v>2138</v>
      </c>
      <c r="D15" s="1339">
        <v>4909</v>
      </c>
      <c r="E15" s="1340"/>
      <c r="F15" s="1340">
        <v>27869</v>
      </c>
      <c r="G15" s="1340"/>
      <c r="H15" s="1340"/>
      <c r="I15" s="1340">
        <v>28945</v>
      </c>
      <c r="J15" s="1340"/>
      <c r="K15" s="1340">
        <v>3451</v>
      </c>
      <c r="L15" s="1337">
        <f t="shared" si="0"/>
        <v>32396</v>
      </c>
      <c r="M15" s="1340"/>
    </row>
    <row r="16" spans="2:14" ht="20.100000000000001" customHeight="1" x14ac:dyDescent="0.2">
      <c r="B16" s="1334" t="s">
        <v>2141</v>
      </c>
      <c r="C16" s="1338" t="s">
        <v>2133</v>
      </c>
      <c r="D16" s="1339">
        <v>4331</v>
      </c>
      <c r="E16" s="1340"/>
      <c r="F16" s="1340">
        <v>57353</v>
      </c>
      <c r="G16" s="1340"/>
      <c r="H16" s="1340"/>
      <c r="I16" s="1340">
        <v>182765</v>
      </c>
      <c r="J16" s="1340"/>
      <c r="K16" s="1340">
        <v>84000</v>
      </c>
      <c r="L16" s="1337">
        <f t="shared" si="0"/>
        <v>266765</v>
      </c>
      <c r="M16" s="1340"/>
    </row>
    <row r="17" spans="2:14" ht="20.100000000000001" customHeight="1" x14ac:dyDescent="0.2">
      <c r="B17" s="1334" t="s">
        <v>2142</v>
      </c>
      <c r="C17" s="1338" t="s">
        <v>2143</v>
      </c>
      <c r="D17" s="1339">
        <v>4400</v>
      </c>
      <c r="E17" s="1340"/>
      <c r="F17" s="1340">
        <v>8809</v>
      </c>
      <c r="G17" s="1340"/>
      <c r="H17" s="1340"/>
      <c r="I17" s="1340">
        <v>15978</v>
      </c>
      <c r="J17" s="1340"/>
      <c r="K17" s="1340">
        <v>4500</v>
      </c>
      <c r="L17" s="1337">
        <f t="shared" si="0"/>
        <v>20478</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t="s">
        <v>2145</v>
      </c>
      <c r="C19" s="1338"/>
      <c r="D19" s="1339"/>
      <c r="E19" s="1340">
        <v>1415269</v>
      </c>
      <c r="F19" s="1340">
        <v>1716906</v>
      </c>
      <c r="G19" s="1340">
        <v>1539151</v>
      </c>
      <c r="H19" s="1340"/>
      <c r="I19" s="1340">
        <v>1895682</v>
      </c>
      <c r="J19" s="1340"/>
      <c r="K19" s="1340">
        <v>164323</v>
      </c>
      <c r="L19" s="1337">
        <f t="shared" si="0"/>
        <v>3599156</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t="s">
        <v>2146</v>
      </c>
      <c r="C21" s="1338"/>
      <c r="D21" s="1339"/>
      <c r="E21" s="1340"/>
      <c r="F21" s="1340"/>
      <c r="G21" s="1340"/>
      <c r="H21" s="1340"/>
      <c r="I21" s="1340"/>
      <c r="J21" s="1340"/>
      <c r="K21" s="1340"/>
      <c r="L21" s="1337">
        <f t="shared" si="0"/>
        <v>0</v>
      </c>
      <c r="M21" s="1340"/>
    </row>
    <row r="22" spans="2:14" ht="20.100000000000001" customHeight="1" x14ac:dyDescent="0.2">
      <c r="B22" s="1334" t="s">
        <v>2147</v>
      </c>
      <c r="C22" s="1338" t="s">
        <v>2148</v>
      </c>
      <c r="D22" s="1339">
        <v>4936</v>
      </c>
      <c r="E22" s="1340"/>
      <c r="F22" s="1340">
        <v>29696</v>
      </c>
      <c r="G22" s="1340"/>
      <c r="H22" s="1340"/>
      <c r="I22" s="1340">
        <v>29696</v>
      </c>
      <c r="J22" s="1340"/>
      <c r="K22" s="1340"/>
      <c r="L22" s="1337">
        <f t="shared" si="0"/>
        <v>29696</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t="s">
        <v>2149</v>
      </c>
      <c r="C24" s="1338"/>
      <c r="D24" s="1339"/>
      <c r="E24" s="1340"/>
      <c r="F24" s="1340">
        <v>29696</v>
      </c>
      <c r="G24" s="1340"/>
      <c r="H24" s="1340"/>
      <c r="I24" s="1340">
        <v>29696</v>
      </c>
      <c r="J24" s="1340"/>
      <c r="K24" s="1340"/>
      <c r="L24" s="1337"/>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t="s">
        <v>2144</v>
      </c>
      <c r="C26" s="1338"/>
      <c r="D26" s="1339"/>
      <c r="E26" s="1340">
        <v>1415269</v>
      </c>
      <c r="F26" s="1340">
        <v>1746602</v>
      </c>
      <c r="G26" s="1340"/>
      <c r="H26" s="1340"/>
      <c r="I26" s="1340">
        <v>1925378</v>
      </c>
      <c r="J26" s="1340"/>
      <c r="K26" s="1340"/>
      <c r="L26" s="1337">
        <f t="shared" si="0"/>
        <v>1925378</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9" zoomScaleNormal="100" workbookViewId="0">
      <selection activeCell="F21" sqref="F2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4" t="str">
        <f>'Single Audit Cover'!A7</f>
        <v>Rantoul City SD 137</v>
      </c>
      <c r="C1" s="2435"/>
      <c r="D1" s="2435"/>
      <c r="E1" s="2435"/>
      <c r="F1" s="2435"/>
      <c r="G1" s="2435"/>
      <c r="H1" s="2435"/>
      <c r="I1" s="2435"/>
      <c r="J1" s="2435"/>
      <c r="K1" s="2435"/>
      <c r="L1" s="2435"/>
      <c r="M1" s="2435"/>
    </row>
    <row r="2" spans="2:14" ht="15" x14ac:dyDescent="0.2">
      <c r="B2" s="2436">
        <f>'Single Audit Cover'!E7</f>
        <v>9010137002</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2121</v>
      </c>
      <c r="C11" s="1335"/>
      <c r="D11" s="1336"/>
      <c r="E11" s="1337"/>
      <c r="F11" s="1337"/>
      <c r="G11" s="1337"/>
      <c r="H11" s="1337"/>
      <c r="I11" s="1337"/>
      <c r="J11" s="1337"/>
      <c r="K11" s="1337"/>
      <c r="L11" s="1337">
        <f>+G11+I11+K11</f>
        <v>0</v>
      </c>
      <c r="M11" s="1337"/>
    </row>
    <row r="12" spans="2:14" ht="20.100000000000001" customHeight="1" x14ac:dyDescent="0.2">
      <c r="B12" s="1334" t="s">
        <v>2122</v>
      </c>
      <c r="C12" s="1338"/>
      <c r="D12" s="1339"/>
      <c r="E12" s="1340"/>
      <c r="F12" s="1340"/>
      <c r="G12" s="1340"/>
      <c r="H12" s="1340"/>
      <c r="I12" s="1340"/>
      <c r="J12" s="1340"/>
      <c r="K12" s="1340"/>
      <c r="L12" s="1337">
        <f t="shared" ref="L12:L27" si="0">+G12+I12+K12</f>
        <v>0</v>
      </c>
      <c r="M12" s="1340"/>
    </row>
    <row r="13" spans="2:14" ht="20.100000000000001" customHeight="1" x14ac:dyDescent="0.2">
      <c r="B13" s="1334" t="s">
        <v>2123</v>
      </c>
      <c r="C13" s="1338">
        <v>10.555</v>
      </c>
      <c r="D13" s="1339">
        <v>4210</v>
      </c>
      <c r="E13" s="1340">
        <v>600475</v>
      </c>
      <c r="F13" s="1340">
        <v>115507</v>
      </c>
      <c r="G13" s="1340">
        <v>600475</v>
      </c>
      <c r="H13" s="1340"/>
      <c r="I13" s="1340">
        <v>115507</v>
      </c>
      <c r="J13" s="1340"/>
      <c r="K13" s="1340"/>
      <c r="L13" s="1337">
        <f t="shared" si="0"/>
        <v>715982</v>
      </c>
      <c r="M13" s="1340"/>
    </row>
    <row r="14" spans="2:14" ht="20.100000000000001" customHeight="1" x14ac:dyDescent="0.2">
      <c r="B14" s="1334" t="s">
        <v>2124</v>
      </c>
      <c r="C14" s="1338">
        <v>10.555</v>
      </c>
      <c r="D14" s="1339">
        <v>4210</v>
      </c>
      <c r="E14" s="1340"/>
      <c r="F14" s="1340">
        <v>647085</v>
      </c>
      <c r="G14" s="1340"/>
      <c r="H14" s="1340"/>
      <c r="I14" s="1340">
        <v>647085</v>
      </c>
      <c r="J14" s="1340"/>
      <c r="K14" s="1340"/>
      <c r="L14" s="1337">
        <f t="shared" si="0"/>
        <v>647085</v>
      </c>
      <c r="M14" s="1340">
        <v>721500</v>
      </c>
    </row>
    <row r="15" spans="2:14" ht="20.100000000000001" customHeight="1" x14ac:dyDescent="0.2">
      <c r="B15" s="1334" t="s">
        <v>2125</v>
      </c>
      <c r="C15" s="1338">
        <v>10.553000000000001</v>
      </c>
      <c r="D15" s="1339">
        <v>4215</v>
      </c>
      <c r="E15" s="1340">
        <v>212716</v>
      </c>
      <c r="F15" s="1340">
        <v>47923</v>
      </c>
      <c r="G15" s="1340">
        <v>212716</v>
      </c>
      <c r="H15" s="1340"/>
      <c r="I15" s="1340">
        <v>47923</v>
      </c>
      <c r="J15" s="1340"/>
      <c r="K15" s="1340"/>
      <c r="L15" s="1337">
        <f t="shared" si="0"/>
        <v>260639</v>
      </c>
      <c r="M15" s="1340"/>
    </row>
    <row r="16" spans="2:14" ht="20.100000000000001" customHeight="1" x14ac:dyDescent="0.2">
      <c r="B16" s="1334" t="s">
        <v>2126</v>
      </c>
      <c r="C16" s="1338">
        <v>10.553000000000001</v>
      </c>
      <c r="D16" s="1339">
        <v>4215</v>
      </c>
      <c r="E16" s="1340"/>
      <c r="F16" s="1340">
        <v>251877</v>
      </c>
      <c r="G16" s="1340"/>
      <c r="H16" s="1340"/>
      <c r="I16" s="1340">
        <v>251877</v>
      </c>
      <c r="J16" s="1340"/>
      <c r="K16" s="1340"/>
      <c r="L16" s="1337">
        <f t="shared" si="0"/>
        <v>251877</v>
      </c>
      <c r="M16" s="1340">
        <v>284500</v>
      </c>
    </row>
    <row r="17" spans="2:14" ht="20.100000000000001" customHeight="1" x14ac:dyDescent="0.2">
      <c r="B17" s="1334" t="s">
        <v>2127</v>
      </c>
      <c r="C17" s="1338">
        <v>10.555</v>
      </c>
      <c r="D17" s="1339">
        <v>4250</v>
      </c>
      <c r="E17" s="1340"/>
      <c r="F17" s="1340">
        <v>77904</v>
      </c>
      <c r="G17" s="1340"/>
      <c r="H17" s="1340"/>
      <c r="I17" s="1340">
        <v>77904</v>
      </c>
      <c r="J17" s="1340"/>
      <c r="K17" s="1340"/>
      <c r="L17" s="1337">
        <f t="shared" si="0"/>
        <v>77904</v>
      </c>
      <c r="M17" s="1340"/>
    </row>
    <row r="18" spans="2:14" ht="20.100000000000001" customHeight="1" x14ac:dyDescent="0.2">
      <c r="B18" s="1334" t="s">
        <v>2128</v>
      </c>
      <c r="C18" s="1338">
        <v>10.55</v>
      </c>
      <c r="D18" s="1339">
        <v>4226</v>
      </c>
      <c r="E18" s="1340"/>
      <c r="F18" s="1340">
        <v>12185</v>
      </c>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t="s">
        <v>2129</v>
      </c>
      <c r="C20" s="1338"/>
      <c r="D20" s="1339"/>
      <c r="E20" s="1340">
        <v>813191</v>
      </c>
      <c r="F20" s="1340">
        <v>1152431</v>
      </c>
      <c r="G20" s="1340">
        <v>813191</v>
      </c>
      <c r="H20" s="1340"/>
      <c r="I20" s="1340">
        <v>1140246</v>
      </c>
      <c r="J20" s="1340"/>
      <c r="K20" s="1340"/>
      <c r="L20" s="1337">
        <f t="shared" si="0"/>
        <v>1953437</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t="s">
        <v>2130</v>
      </c>
      <c r="C22" s="1338"/>
      <c r="D22" s="1339"/>
      <c r="E22" s="1340"/>
      <c r="F22" s="1340"/>
      <c r="G22" s="1340"/>
      <c r="H22" s="1340"/>
      <c r="I22" s="1340"/>
      <c r="J22" s="1340"/>
      <c r="K22" s="1340"/>
      <c r="L22" s="1337">
        <f t="shared" si="0"/>
        <v>0</v>
      </c>
      <c r="M22" s="1340"/>
    </row>
    <row r="23" spans="2:14" ht="20.100000000000001" customHeight="1" x14ac:dyDescent="0.2">
      <c r="B23" s="1334" t="s">
        <v>2131</v>
      </c>
      <c r="C23" s="1338"/>
      <c r="D23" s="1339"/>
      <c r="E23" s="1340"/>
      <c r="F23" s="1340"/>
      <c r="G23" s="1340"/>
      <c r="H23" s="1340"/>
      <c r="I23" s="1340"/>
      <c r="J23" s="1340"/>
      <c r="K23" s="1340"/>
      <c r="L23" s="1337">
        <f t="shared" si="0"/>
        <v>0</v>
      </c>
      <c r="M23" s="1340"/>
    </row>
    <row r="24" spans="2:14" ht="20.100000000000001" customHeight="1" x14ac:dyDescent="0.2">
      <c r="B24" s="1334" t="s">
        <v>2132</v>
      </c>
      <c r="C24" s="1338" t="s">
        <v>2133</v>
      </c>
      <c r="D24" s="1339">
        <v>4300</v>
      </c>
      <c r="E24" s="1340">
        <v>782975</v>
      </c>
      <c r="F24" s="1340">
        <v>159814</v>
      </c>
      <c r="G24" s="1340">
        <v>819888</v>
      </c>
      <c r="H24" s="1340"/>
      <c r="I24" s="1340">
        <v>122901</v>
      </c>
      <c r="J24" s="1340"/>
      <c r="K24" s="1340"/>
      <c r="L24" s="1337">
        <f t="shared" si="0"/>
        <v>942789</v>
      </c>
      <c r="M24" s="1340"/>
    </row>
    <row r="25" spans="2:14" ht="20.100000000000001" customHeight="1" x14ac:dyDescent="0.2">
      <c r="B25" s="1334" t="s">
        <v>2132</v>
      </c>
      <c r="C25" s="1338" t="s">
        <v>2133</v>
      </c>
      <c r="D25" s="1339">
        <v>4300</v>
      </c>
      <c r="E25" s="1340"/>
      <c r="F25" s="1340">
        <v>861107</v>
      </c>
      <c r="G25" s="1340"/>
      <c r="H25" s="1340"/>
      <c r="I25" s="1340">
        <v>971662</v>
      </c>
      <c r="J25" s="1340"/>
      <c r="K25" s="1340">
        <v>57449</v>
      </c>
      <c r="L25" s="1337">
        <f t="shared" si="0"/>
        <v>1029111</v>
      </c>
      <c r="M25" s="1340">
        <v>1040332</v>
      </c>
    </row>
    <row r="26" spans="2:14" ht="20.100000000000001" customHeight="1" x14ac:dyDescent="0.2">
      <c r="B26" s="1334" t="s">
        <v>2134</v>
      </c>
      <c r="C26" s="1338" t="s">
        <v>2135</v>
      </c>
      <c r="D26" s="1339">
        <v>4600</v>
      </c>
      <c r="E26" s="1340">
        <v>21984</v>
      </c>
      <c r="F26" s="1340">
        <v>5937</v>
      </c>
      <c r="G26" s="1340">
        <v>21984</v>
      </c>
      <c r="H26" s="1340"/>
      <c r="I26" s="1340">
        <v>5937</v>
      </c>
      <c r="J26" s="1340"/>
      <c r="K26" s="1340"/>
      <c r="L26" s="1337">
        <f t="shared" si="0"/>
        <v>27921</v>
      </c>
      <c r="M26" s="1340"/>
    </row>
    <row r="27" spans="2:14" ht="20.100000000000001" customHeight="1" x14ac:dyDescent="0.2">
      <c r="B27" s="1334" t="s">
        <v>2134</v>
      </c>
      <c r="C27" s="1338" t="s">
        <v>2135</v>
      </c>
      <c r="D27" s="1339">
        <v>4600</v>
      </c>
      <c r="E27" s="1340"/>
      <c r="F27" s="1340">
        <v>14203</v>
      </c>
      <c r="G27" s="1340"/>
      <c r="H27" s="1340"/>
      <c r="I27" s="1340">
        <v>25082</v>
      </c>
      <c r="J27" s="1340"/>
      <c r="K27" s="1340">
        <v>7401</v>
      </c>
      <c r="L27" s="1337">
        <f t="shared" si="0"/>
        <v>32483</v>
      </c>
      <c r="M27" s="1340">
        <v>45420</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activeCell="C43" sqref="C4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Rantoul City SD 137</v>
      </c>
      <c r="B1" s="2448"/>
      <c r="C1" s="2448"/>
      <c r="D1" s="2448"/>
      <c r="E1" s="2448"/>
      <c r="F1" s="2448"/>
    </row>
    <row r="2" spans="1:7" ht="13.5" customHeight="1" x14ac:dyDescent="0.2">
      <c r="A2" s="2436">
        <f>'Single Audit Cover'!E7</f>
        <v>9010137002</v>
      </c>
      <c r="B2" s="2436"/>
      <c r="C2" s="2436"/>
      <c r="D2" s="2436"/>
      <c r="E2" s="2436"/>
      <c r="F2" s="2436"/>
      <c r="G2" s="1272"/>
    </row>
    <row r="3" spans="1:7" ht="15.75" customHeight="1" x14ac:dyDescent="0.2">
      <c r="A3" s="2449" t="s">
        <v>1271</v>
      </c>
      <c r="B3" s="2449"/>
      <c r="C3" s="2449"/>
      <c r="D3" s="2449"/>
      <c r="E3" s="2449"/>
      <c r="F3" s="2449"/>
    </row>
    <row r="4" spans="1:7" ht="13.5" customHeight="1" x14ac:dyDescent="0.2">
      <c r="A4" s="2450" t="str">
        <f>'Single Audit Cover'!A4</f>
        <v>Year Ending June 30, 2019</v>
      </c>
      <c r="B4" s="2450"/>
      <c r="C4" s="2450"/>
      <c r="D4" s="2450"/>
      <c r="E4" s="2450"/>
      <c r="F4" s="2450"/>
    </row>
    <row r="5" spans="1:7" ht="8.25" customHeight="1" x14ac:dyDescent="0.2">
      <c r="C5" s="317"/>
      <c r="D5" s="317"/>
    </row>
    <row r="6" spans="1:7" ht="13.5" customHeight="1" x14ac:dyDescent="0.2">
      <c r="A6" s="1273" t="s">
        <v>1728</v>
      </c>
      <c r="C6" s="317"/>
      <c r="D6" s="317"/>
    </row>
    <row r="7" spans="1:7" ht="60.95" customHeight="1" x14ac:dyDescent="0.2">
      <c r="A7" s="2447" t="s">
        <v>2157</v>
      </c>
      <c r="B7" s="2447"/>
      <c r="C7" s="2447"/>
      <c r="D7" s="2447"/>
      <c r="E7" s="2447"/>
      <c r="F7" s="2447"/>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t="s">
        <v>2158</v>
      </c>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7" t="s">
        <v>2159</v>
      </c>
      <c r="B13" s="2447"/>
      <c r="C13" s="2447"/>
      <c r="D13" s="2447"/>
      <c r="E13" s="2447"/>
      <c r="F13" s="2447"/>
    </row>
    <row r="14" spans="1:7" ht="9.75" customHeight="1" x14ac:dyDescent="0.2">
      <c r="C14" s="1257"/>
      <c r="D14" s="1257"/>
    </row>
    <row r="15" spans="1:7" ht="13.5" customHeight="1" x14ac:dyDescent="0.2">
      <c r="C15" s="1846" t="s">
        <v>1270</v>
      </c>
      <c r="D15" s="2445" t="s">
        <v>1269</v>
      </c>
      <c r="E15" s="2445"/>
      <c r="F15" s="2445"/>
    </row>
    <row r="16" spans="1:7" ht="13.5" customHeight="1" x14ac:dyDescent="0.2">
      <c r="A16" s="1279"/>
      <c r="B16" s="1273" t="s">
        <v>1268</v>
      </c>
      <c r="C16" s="1846" t="s">
        <v>1267</v>
      </c>
      <c r="D16" s="2446" t="s">
        <v>1588</v>
      </c>
      <c r="E16" s="2446"/>
      <c r="F16" s="2446"/>
    </row>
    <row r="17" spans="1:6" ht="20.45" customHeight="1" x14ac:dyDescent="0.2">
      <c r="A17" s="1280"/>
      <c r="B17" s="1281" t="s">
        <v>2160</v>
      </c>
      <c r="C17" s="1282"/>
      <c r="D17" s="2440"/>
      <c r="E17" s="2440"/>
      <c r="F17" s="2440"/>
    </row>
    <row r="18" spans="1:6" ht="20.65" customHeight="1" x14ac:dyDescent="0.2">
      <c r="A18" s="1280"/>
      <c r="B18" s="1281"/>
      <c r="C18" s="1282"/>
      <c r="D18" s="2440"/>
      <c r="E18" s="2440"/>
      <c r="F18" s="2440"/>
    </row>
    <row r="19" spans="1:6" ht="20.65" customHeight="1" x14ac:dyDescent="0.2">
      <c r="A19" s="1280"/>
      <c r="B19" s="1281"/>
      <c r="C19" s="1282"/>
      <c r="D19" s="2440"/>
      <c r="E19" s="2440"/>
      <c r="F19" s="2440"/>
    </row>
    <row r="20" spans="1:6" ht="20.65" customHeight="1" x14ac:dyDescent="0.2">
      <c r="A20" s="1280"/>
      <c r="B20" s="1281"/>
      <c r="C20" s="1282"/>
      <c r="D20" s="2440"/>
      <c r="E20" s="2440"/>
      <c r="F20" s="2440"/>
    </row>
    <row r="21" spans="1:6" ht="20.65" customHeight="1" x14ac:dyDescent="0.2">
      <c r="A21" s="1280"/>
      <c r="B21" s="1281"/>
      <c r="C21" s="1282"/>
      <c r="D21" s="2440"/>
      <c r="E21" s="2440"/>
      <c r="F21" s="2440"/>
    </row>
    <row r="22" spans="1:6" ht="20.65" customHeight="1" x14ac:dyDescent="0.2">
      <c r="A22" s="1280"/>
      <c r="B22" s="1281"/>
      <c r="C22" s="1282"/>
      <c r="D22" s="2440"/>
      <c r="E22" s="2440"/>
      <c r="F22" s="2440"/>
    </row>
    <row r="23" spans="1:6" ht="20.65" customHeight="1" x14ac:dyDescent="0.2">
      <c r="A23" s="1280"/>
      <c r="B23" s="1281"/>
      <c r="C23" s="1282"/>
      <c r="D23" s="2440"/>
      <c r="E23" s="2440"/>
      <c r="F23" s="2440"/>
    </row>
    <row r="24" spans="1:6" ht="20.65" customHeight="1" x14ac:dyDescent="0.2">
      <c r="A24" s="1280"/>
      <c r="B24" s="1281"/>
      <c r="C24" s="1282"/>
      <c r="D24" s="2440"/>
      <c r="E24" s="2440"/>
      <c r="F24" s="2440"/>
    </row>
    <row r="25" spans="1:6" ht="20.65" customHeight="1" x14ac:dyDescent="0.2">
      <c r="A25" s="1280"/>
      <c r="B25" s="1281"/>
      <c r="C25" s="1282"/>
      <c r="D25" s="2440"/>
      <c r="E25" s="2440"/>
      <c r="F25" s="2440"/>
    </row>
    <row r="26" spans="1:6" ht="20.65" customHeight="1" x14ac:dyDescent="0.2">
      <c r="A26" s="1280"/>
      <c r="B26" s="1281"/>
      <c r="C26" s="1282"/>
      <c r="D26" s="2440"/>
      <c r="E26" s="2440"/>
      <c r="F26" s="2440"/>
    </row>
    <row r="27" spans="1:6" ht="20.65" customHeight="1" x14ac:dyDescent="0.2">
      <c r="A27" s="1280"/>
      <c r="B27" s="1281"/>
      <c r="C27" s="1282"/>
      <c r="D27" s="2440"/>
      <c r="E27" s="2440"/>
      <c r="F27" s="2440"/>
    </row>
    <row r="28" spans="1:6" ht="20.65" customHeight="1" x14ac:dyDescent="0.2">
      <c r="A28" s="1280"/>
      <c r="B28" s="1281"/>
      <c r="C28" s="1282"/>
      <c r="D28" s="2440"/>
      <c r="E28" s="2440"/>
      <c r="F28" s="2440"/>
    </row>
    <row r="29" spans="1:6" ht="20.65" customHeight="1" x14ac:dyDescent="0.2">
      <c r="A29" s="1280"/>
      <c r="B29" s="1281"/>
      <c r="C29" s="1282"/>
      <c r="D29" s="2440"/>
      <c r="E29" s="2440"/>
      <c r="F29" s="2440"/>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1" t="s">
        <v>2161</v>
      </c>
      <c r="B32" s="2441"/>
      <c r="C32" s="2441"/>
      <c r="D32" s="2441"/>
      <c r="E32" s="2441"/>
      <c r="F32" s="2441"/>
    </row>
    <row r="33" spans="1:6" ht="13.5" customHeight="1" x14ac:dyDescent="0.2">
      <c r="A33" s="328" t="s">
        <v>1434</v>
      </c>
      <c r="B33" s="328"/>
      <c r="C33" s="1285">
        <v>77904</v>
      </c>
      <c r="D33" s="1903"/>
      <c r="E33" s="1283"/>
    </row>
    <row r="34" spans="1:6" ht="13.5" customHeight="1" x14ac:dyDescent="0.2">
      <c r="A34" s="328" t="s">
        <v>1835</v>
      </c>
      <c r="B34" s="328"/>
      <c r="C34" s="1286">
        <v>0</v>
      </c>
      <c r="D34" s="1903" t="s">
        <v>1589</v>
      </c>
      <c r="E34" s="2442">
        <f>+C33+C34</f>
        <v>77904</v>
      </c>
      <c r="F34" s="2443"/>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t="s">
        <v>2162</v>
      </c>
      <c r="D38" s="1903"/>
      <c r="E38" s="1283"/>
    </row>
    <row r="39" spans="1:6" ht="14.25" customHeight="1" x14ac:dyDescent="0.2">
      <c r="A39" s="328"/>
      <c r="B39" s="328" t="s">
        <v>1436</v>
      </c>
      <c r="C39" s="1289" t="s">
        <v>2162</v>
      </c>
      <c r="D39" s="1903"/>
      <c r="E39" s="1283"/>
    </row>
    <row r="40" spans="1:6" ht="14.25" customHeight="1" x14ac:dyDescent="0.2">
      <c r="A40" s="328"/>
      <c r="B40" s="328" t="s">
        <v>1437</v>
      </c>
      <c r="C40" s="1289" t="s">
        <v>2162</v>
      </c>
      <c r="D40" s="1903"/>
      <c r="E40" s="1283"/>
    </row>
    <row r="41" spans="1:6" ht="14.25" customHeight="1" x14ac:dyDescent="0.2">
      <c r="A41" s="328"/>
      <c r="B41" s="328" t="s">
        <v>1438</v>
      </c>
      <c r="C41" s="1289" t="s">
        <v>2162</v>
      </c>
      <c r="D41" s="1903"/>
      <c r="E41" s="1283"/>
    </row>
    <row r="42" spans="1:6" ht="14.25" customHeight="1" x14ac:dyDescent="0.2">
      <c r="A42" s="328" t="s">
        <v>1439</v>
      </c>
      <c r="B42" s="328"/>
      <c r="C42" s="1901" t="s">
        <v>2162</v>
      </c>
      <c r="D42" s="1903"/>
      <c r="E42" s="1283"/>
    </row>
    <row r="43" spans="1:6" ht="14.25" customHeight="1" x14ac:dyDescent="0.2">
      <c r="A43" s="328" t="s">
        <v>1440</v>
      </c>
      <c r="B43" s="328"/>
      <c r="C43" s="1290" t="s">
        <v>2162</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4" t="s">
        <v>1590</v>
      </c>
      <c r="C49" s="2444"/>
      <c r="D49" s="2444"/>
      <c r="E49" s="1396"/>
    </row>
    <row r="50" spans="1:5" s="1297" customFormat="1" ht="3.75" customHeight="1" x14ac:dyDescent="0.2">
      <c r="A50" s="1296"/>
      <c r="B50" s="1845"/>
      <c r="C50" s="1845"/>
      <c r="D50" s="1845"/>
      <c r="E50" s="1396"/>
    </row>
    <row r="51" spans="1:5" s="1297" customFormat="1" ht="20.25" customHeight="1" x14ac:dyDescent="0.2">
      <c r="A51" s="1298">
        <v>6</v>
      </c>
      <c r="B51" s="2439" t="s">
        <v>1551</v>
      </c>
      <c r="C51" s="2439"/>
      <c r="D51" s="2439"/>
    </row>
    <row r="52" spans="1:5" ht="14.25" customHeight="1" x14ac:dyDescent="0.2">
      <c r="A52" s="1298"/>
      <c r="B52" s="2439"/>
      <c r="C52" s="2439"/>
      <c r="D52" s="243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42" zoomScale="110" zoomScaleNormal="110" workbookViewId="0">
      <selection activeCell="G52" sqref="G52"/>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2" t="str">
        <f>'Single Audit Cover'!A7</f>
        <v>Rantoul City SD 137</v>
      </c>
      <c r="C1" s="2463"/>
      <c r="D1" s="2463"/>
      <c r="E1" s="2463"/>
      <c r="F1" s="2463"/>
      <c r="G1" s="2463"/>
      <c r="H1" s="2463"/>
      <c r="I1" s="2463"/>
      <c r="J1" s="1406"/>
    </row>
    <row r="2" spans="2:10" s="317" customFormat="1" ht="12.75" customHeight="1" x14ac:dyDescent="0.2">
      <c r="B2" s="2464">
        <f>'Single Audit Cover'!E7</f>
        <v>9010137002</v>
      </c>
      <c r="C2" s="2465"/>
      <c r="D2" s="2465"/>
      <c r="E2" s="2465"/>
      <c r="F2" s="2465"/>
      <c r="G2" s="2465"/>
      <c r="H2" s="2465"/>
      <c r="I2" s="2465"/>
      <c r="J2" s="1406"/>
    </row>
    <row r="3" spans="2:10" s="317" customFormat="1" ht="12.75" customHeight="1" x14ac:dyDescent="0.2">
      <c r="B3" s="2466" t="s">
        <v>1285</v>
      </c>
      <c r="C3" s="2467"/>
      <c r="D3" s="2467"/>
      <c r="E3" s="2467"/>
      <c r="F3" s="2467"/>
      <c r="G3" s="2467"/>
      <c r="H3" s="2467"/>
      <c r="I3" s="2467"/>
      <c r="J3" s="1407"/>
    </row>
    <row r="4" spans="2:10" s="317" customFormat="1" ht="12.75" customHeight="1" x14ac:dyDescent="0.2">
      <c r="B4" s="2466" t="str">
        <f>'Single Audit Cover'!A4</f>
        <v>Year Ending June 30, 2019</v>
      </c>
      <c r="C4" s="2467"/>
      <c r="D4" s="2467"/>
      <c r="E4" s="2467"/>
      <c r="F4" s="2467"/>
      <c r="G4" s="2467"/>
      <c r="H4" s="2467"/>
      <c r="I4" s="246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6" t="s">
        <v>1284</v>
      </c>
      <c r="C7" s="2467"/>
      <c r="D7" s="2467"/>
      <c r="E7" s="2467"/>
      <c r="F7" s="2467"/>
      <c r="G7" s="2467"/>
      <c r="H7" s="2467"/>
      <c r="I7" s="246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8" t="s">
        <v>2163</v>
      </c>
      <c r="D11" s="2468"/>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2158</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2158</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2158</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2158</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2158</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9" t="s">
        <v>2164</v>
      </c>
      <c r="E29" s="2469"/>
      <c r="F29" s="2469"/>
      <c r="G29" s="2469"/>
      <c r="H29" s="2469"/>
      <c r="I29" s="2469"/>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2158</v>
      </c>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70" t="s">
        <v>1748</v>
      </c>
      <c r="D37" s="2471"/>
      <c r="E37" s="2471"/>
      <c r="F37" s="2472"/>
      <c r="G37" s="2470" t="s">
        <v>1592</v>
      </c>
      <c r="H37" s="2471"/>
      <c r="I37" s="2472"/>
    </row>
    <row r="38" spans="2:9" ht="16.5" customHeight="1" x14ac:dyDescent="0.2">
      <c r="B38" s="1428" t="s">
        <v>2133</v>
      </c>
      <c r="C38" s="2458" t="s">
        <v>2165</v>
      </c>
      <c r="D38" s="2459"/>
      <c r="E38" s="2459"/>
      <c r="F38" s="2460"/>
      <c r="G38" s="2473">
        <v>1094563</v>
      </c>
      <c r="H38" s="2474"/>
      <c r="I38" s="2475"/>
    </row>
    <row r="39" spans="2:9" ht="16.5" customHeight="1" x14ac:dyDescent="0.2">
      <c r="B39" s="1428">
        <v>10.555</v>
      </c>
      <c r="C39" s="2458" t="s">
        <v>2166</v>
      </c>
      <c r="D39" s="2459"/>
      <c r="E39" s="2459"/>
      <c r="F39" s="2460"/>
      <c r="G39" s="2461">
        <v>762592</v>
      </c>
      <c r="H39" s="2461"/>
      <c r="I39" s="2461"/>
    </row>
    <row r="40" spans="2:9" ht="16.5" customHeight="1" x14ac:dyDescent="0.2">
      <c r="B40" s="1428">
        <v>84.027000000000001</v>
      </c>
      <c r="C40" s="2458" t="s">
        <v>2167</v>
      </c>
      <c r="D40" s="2459"/>
      <c r="E40" s="2459"/>
      <c r="F40" s="2460"/>
      <c r="G40" s="2461">
        <v>621691</v>
      </c>
      <c r="H40" s="2461"/>
      <c r="I40" s="2461"/>
    </row>
    <row r="41" spans="2:9" ht="16.5" customHeight="1" x14ac:dyDescent="0.2">
      <c r="B41" s="1428"/>
      <c r="C41" s="2458"/>
      <c r="D41" s="2459"/>
      <c r="E41" s="2459"/>
      <c r="F41" s="2460"/>
      <c r="G41" s="2461"/>
      <c r="H41" s="2461"/>
      <c r="I41" s="2461"/>
    </row>
    <row r="42" spans="2:9" ht="16.5" customHeight="1" x14ac:dyDescent="0.2">
      <c r="B42" s="1428"/>
      <c r="C42" s="2458"/>
      <c r="D42" s="2459"/>
      <c r="E42" s="2459"/>
      <c r="F42" s="2460"/>
      <c r="G42" s="2461"/>
      <c r="H42" s="2461"/>
      <c r="I42" s="2461"/>
    </row>
    <row r="43" spans="2:9" ht="16.5" customHeight="1" x14ac:dyDescent="0.2">
      <c r="B43" s="1428"/>
      <c r="C43" s="2451" t="s">
        <v>1593</v>
      </c>
      <c r="D43" s="2452"/>
      <c r="E43" s="2452"/>
      <c r="F43" s="2453"/>
      <c r="G43" s="2454">
        <f>SUM(G38:I42)</f>
        <v>2478846</v>
      </c>
      <c r="H43" s="2454"/>
      <c r="I43" s="2454"/>
    </row>
    <row r="44" spans="2:9" ht="12.75" customHeight="1" x14ac:dyDescent="0.2"/>
    <row r="45" spans="2:9" ht="12.75" customHeight="1" x14ac:dyDescent="0.2">
      <c r="B45" s="1419" t="s">
        <v>2059</v>
      </c>
      <c r="D45" s="2455">
        <v>3140933</v>
      </c>
      <c r="E45" s="2456"/>
    </row>
    <row r="46" spans="2:9" ht="5.25" customHeight="1" x14ac:dyDescent="0.2">
      <c r="B46" s="1429"/>
      <c r="D46" s="1430"/>
      <c r="E46" s="1431"/>
    </row>
    <row r="47" spans="2:9" ht="12.75" customHeight="1" x14ac:dyDescent="0.2">
      <c r="B47" s="1297" t="s">
        <v>1594</v>
      </c>
      <c r="C47" s="1297"/>
      <c r="D47" s="1432">
        <f>+G43/D45</f>
        <v>0.78920690126150417</v>
      </c>
      <c r="E47" s="1433"/>
      <c r="F47" s="1434"/>
      <c r="I47" s="1435"/>
    </row>
    <row r="48" spans="2:9" ht="9.9499999999999993" customHeight="1" x14ac:dyDescent="0.2"/>
    <row r="49" spans="1:9" x14ac:dyDescent="0.2">
      <c r="B49" s="1365" t="s">
        <v>1273</v>
      </c>
      <c r="C49" s="1279"/>
      <c r="D49" s="1279"/>
      <c r="E49" s="2457">
        <v>750000</v>
      </c>
      <c r="F49" s="2457"/>
      <c r="G49" s="2457"/>
      <c r="H49" s="322"/>
    </row>
    <row r="51" spans="1:9" ht="13.5" customHeight="1" x14ac:dyDescent="0.2">
      <c r="B51" s="1365" t="s">
        <v>1272</v>
      </c>
      <c r="C51" s="1279"/>
      <c r="E51" s="1422"/>
      <c r="F51" s="1297" t="s">
        <v>885</v>
      </c>
      <c r="G51" s="1422" t="s">
        <v>2158</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2" t="str">
        <f>'Single Audit Cover'!A7</f>
        <v>Rantoul City SD 137</v>
      </c>
      <c r="C1" s="2462"/>
      <c r="D1" s="2462"/>
      <c r="E1" s="2462"/>
      <c r="F1" s="2462"/>
      <c r="G1" s="2462"/>
      <c r="H1" s="2462"/>
      <c r="I1" s="2462"/>
      <c r="J1" s="2462"/>
      <c r="K1" s="2462"/>
      <c r="L1" s="1371"/>
      <c r="M1" s="1371"/>
    </row>
    <row r="2" spans="1:13" ht="12" customHeight="1" x14ac:dyDescent="0.2">
      <c r="B2" s="2464">
        <f>'Single Audit Cover'!E7</f>
        <v>9010137002</v>
      </c>
      <c r="C2" s="2464"/>
      <c r="D2" s="2464"/>
      <c r="E2" s="2464"/>
      <c r="F2" s="2464"/>
      <c r="G2" s="2464"/>
      <c r="H2" s="2464"/>
      <c r="I2" s="2464"/>
      <c r="J2" s="2464"/>
      <c r="K2" s="2464"/>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7" t="s">
        <v>2160</v>
      </c>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76"/>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5" t="str">
        <f>'Single Audit Cover'!A7</f>
        <v>Rantoul City SD 137</v>
      </c>
      <c r="C1" s="2485"/>
      <c r="D1" s="2485"/>
      <c r="E1" s="2485"/>
      <c r="F1" s="2485"/>
      <c r="G1" s="2485"/>
      <c r="H1" s="2485"/>
      <c r="I1" s="2485"/>
      <c r="J1" s="2485"/>
      <c r="K1" s="2485"/>
      <c r="L1" s="1449"/>
    </row>
    <row r="2" spans="1:12" ht="12.75" customHeight="1" x14ac:dyDescent="0.2">
      <c r="B2" s="2486">
        <f>'Single Audit Cover'!E7</f>
        <v>9010137002</v>
      </c>
      <c r="C2" s="2486"/>
      <c r="D2" s="2486"/>
      <c r="E2" s="2486"/>
      <c r="F2" s="2486"/>
      <c r="G2" s="2486"/>
      <c r="H2" s="2486"/>
      <c r="I2" s="2486"/>
      <c r="J2" s="2486"/>
      <c r="K2" s="2486"/>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7" t="s">
        <v>1308</v>
      </c>
      <c r="C6" s="2487"/>
      <c r="D6" s="2487"/>
      <c r="E6" s="2487"/>
      <c r="F6" s="2487"/>
      <c r="G6" s="2487"/>
      <c r="H6" s="2487"/>
      <c r="I6" s="2487"/>
      <c r="J6" s="2487"/>
      <c r="K6" s="2487"/>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1986</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9"/>
      <c r="G12" s="2469"/>
      <c r="H12" s="2469"/>
      <c r="I12" s="2469"/>
      <c r="J12" s="2469"/>
      <c r="K12" s="246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2"/>
      <c r="E14" s="2482"/>
      <c r="F14" s="2482"/>
      <c r="H14" s="1459" t="s">
        <v>1303</v>
      </c>
      <c r="I14" s="2483"/>
      <c r="J14" s="2483"/>
      <c r="K14" s="248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3"/>
      <c r="E16" s="2483"/>
      <c r="F16" s="2483"/>
      <c r="G16" s="2483"/>
      <c r="H16" s="2483"/>
      <c r="I16" s="2483"/>
      <c r="J16" s="2483"/>
      <c r="K16" s="2483"/>
      <c r="L16" s="322"/>
    </row>
    <row r="17" spans="2:12" ht="13.5" customHeight="1" x14ac:dyDescent="0.2">
      <c r="B17" s="1384" t="s">
        <v>1301</v>
      </c>
      <c r="C17" s="1384"/>
      <c r="D17" s="2484"/>
      <c r="E17" s="2484"/>
      <c r="F17" s="2484"/>
      <c r="G17" s="2484"/>
      <c r="H17" s="2484"/>
      <c r="I17" s="2484"/>
      <c r="J17" s="2484"/>
      <c r="K17" s="248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7" t="s">
        <v>2160</v>
      </c>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2" t="str">
        <f>'Single Audit Cover'!A7</f>
        <v>Rantoul City SD 137</v>
      </c>
      <c r="C1" s="2462"/>
      <c r="D1" s="2462"/>
      <c r="E1" s="1469"/>
    </row>
    <row r="2" spans="2:5" s="1279" customFormat="1" ht="12.75" customHeight="1" x14ac:dyDescent="0.2">
      <c r="B2" s="2464">
        <f>'Single Audit Cover'!E7</f>
        <v>9010137002</v>
      </c>
      <c r="C2" s="2464"/>
      <c r="D2" s="2464"/>
      <c r="E2" s="1470"/>
    </row>
    <row r="3" spans="2:5" ht="12.75" customHeight="1" x14ac:dyDescent="0.2">
      <c r="B3" s="2478" t="s">
        <v>1763</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1764</v>
      </c>
      <c r="C5" s="328"/>
      <c r="D5" s="328"/>
      <c r="E5" s="328"/>
    </row>
    <row r="6" spans="2:5" s="1279" customFormat="1" ht="13.5" customHeight="1" x14ac:dyDescent="0.2">
      <c r="B6" s="1473" t="s">
        <v>1315</v>
      </c>
      <c r="C6" s="1473" t="s">
        <v>1314</v>
      </c>
      <c r="D6" s="1473" t="s">
        <v>1765</v>
      </c>
    </row>
    <row r="7" spans="2:5" ht="13.5" customHeight="1" x14ac:dyDescent="0.2">
      <c r="B7" s="1474" t="s">
        <v>2160</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1766</v>
      </c>
    </row>
    <row r="46" spans="2:5" ht="12.2" customHeight="1" x14ac:dyDescent="0.2">
      <c r="B46" s="1483" t="s">
        <v>1767</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schemas.microsoft.com/office/infopath/2007/PartnerControls"/>
    <ds:schemaRef ds:uri="d21dc803-237d-4c68-8692-8d731fd29118"/>
    <ds:schemaRef ds:uri="http://purl.org/dc/terms/"/>
    <ds:schemaRef ds:uri="http://schemas.microsoft.com/office/2006/documentManagement/types"/>
    <ds:schemaRef ds:uri="http://purl.org/dc/elements/1.1/"/>
    <ds:schemaRef ds:uri="http://schemas.openxmlformats.org/package/2006/metadata/core-properties"/>
    <ds:schemaRef ds:uri="4d435f69-8686-490b-bd6d-b153bf22ab50"/>
    <ds:schemaRef ds:uri="http://schemas.microsoft.com/office/2006/metadata/properties"/>
    <ds:schemaRef ds:uri="6ce3111e-7420-4802-b50a-75d4e9a0b98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 (2)</vt:lpstr>
      <vt:lpstr> SEFA (3)</vt:lpstr>
      <vt:lpstr> SEFA</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2019-10-16T18:06:58Z</cp:lastPrinted>
  <dcterms:created xsi:type="dcterms:W3CDTF">2003-10-29T19:06:34Z</dcterms:created>
  <dcterms:modified xsi:type="dcterms:W3CDTF">2019-11-26T14:27:45Z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