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8CC1356-E123-44F5-B706-42CC25B56153}" xr6:coauthVersionLast="36" xr6:coauthVersionMax="36" xr10:uidLastSave="{00000000-0000-0000-0000-000000000000}"/>
  <bookViews>
    <workbookView xWindow="-12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7">' SEFA'!$B$1:$M$47</definedName>
    <definedName name="_xlnm.Print_Area" localSheetId="28">' SEFA (2)'!$B$1:$M$46</definedName>
    <definedName name="_xlnm.Print_Area" localSheetId="29">' SEFA (3)'!$B$1:$M$47</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29" l="1"/>
  <c r="C5" i="29"/>
  <c r="C13" i="29"/>
  <c r="C12" i="29"/>
  <c r="C36" i="29"/>
  <c r="C37" i="29"/>
  <c r="C44" i="29"/>
  <c r="F64" i="29"/>
  <c r="E61" i="29"/>
  <c r="F73" i="29"/>
  <c r="C265" i="5"/>
  <c r="C168" i="5"/>
  <c r="C107" i="5"/>
  <c r="H107" i="5"/>
  <c r="M19" i="3"/>
  <c r="C55" i="29" l="1"/>
  <c r="C40" i="29"/>
  <c r="C39" i="29"/>
  <c r="C18" i="29"/>
  <c r="C15" i="29"/>
  <c r="H169" i="29" l="1"/>
  <c r="H65" i="5"/>
  <c r="J19" i="12"/>
  <c r="J18" i="12"/>
  <c r="H39" i="3"/>
  <c r="H27" i="3"/>
  <c r="H4" i="3"/>
  <c r="E71" i="29" l="1"/>
  <c r="E69" i="29"/>
  <c r="F63" i="29"/>
  <c r="F61" i="29"/>
  <c r="D61" i="29"/>
  <c r="C61" i="29"/>
  <c r="C60" i="29"/>
  <c r="E51" i="29"/>
  <c r="F50" i="29"/>
  <c r="E50" i="29"/>
  <c r="D50" i="29"/>
  <c r="C50" i="29"/>
  <c r="E44" i="29"/>
  <c r="F37" i="29"/>
  <c r="E37" i="29"/>
  <c r="D37" i="29"/>
  <c r="E36" i="29"/>
  <c r="D36" i="29"/>
  <c r="F13" i="29"/>
  <c r="E13" i="29"/>
  <c r="D13" i="29"/>
  <c r="E124" i="29" l="1"/>
  <c r="G349" i="29"/>
  <c r="C96" i="5" l="1"/>
  <c r="C65" i="5"/>
  <c r="C27" i="3"/>
  <c r="C30" i="3"/>
  <c r="C4" i="3"/>
  <c r="L5" i="29" l="1"/>
  <c r="L7" i="29"/>
  <c r="L8" i="29"/>
  <c r="L13" i="29"/>
  <c r="L14" i="29"/>
  <c r="L36" i="29"/>
  <c r="L37" i="29"/>
  <c r="L44" i="29"/>
  <c r="L46" i="29"/>
  <c r="L45" i="29"/>
  <c r="L49" i="29"/>
  <c r="L50" i="29"/>
  <c r="L51" i="29"/>
  <c r="L55" i="29"/>
  <c r="L59" i="29"/>
  <c r="L60" i="29"/>
  <c r="L61" i="29"/>
  <c r="L63" i="29"/>
  <c r="L64" i="29"/>
  <c r="L68" i="29"/>
  <c r="L71" i="29"/>
  <c r="L70" i="29"/>
  <c r="L73" i="29"/>
  <c r="L75" i="29"/>
  <c r="L97" i="29"/>
  <c r="L86" i="29"/>
  <c r="L85" i="29"/>
  <c r="L83" i="29"/>
  <c r="L81" i="29"/>
  <c r="L80" i="29"/>
  <c r="L78" i="29"/>
  <c r="F22" i="185" l="1"/>
  <c r="I16" i="185" l="1"/>
  <c r="L16" i="185" s="1"/>
  <c r="I24" i="184"/>
  <c r="L24" i="184" s="1"/>
  <c r="I18" i="184"/>
  <c r="L18" i="184" s="1"/>
  <c r="I16" i="184"/>
  <c r="L16" i="184" s="1"/>
  <c r="I15" i="185"/>
  <c r="L15" i="185" s="1"/>
  <c r="I25" i="183"/>
  <c r="L25" i="183" s="1"/>
  <c r="I23" i="183"/>
  <c r="L12" i="184"/>
  <c r="I24" i="185"/>
  <c r="G24" i="185"/>
  <c r="F24" i="185"/>
  <c r="E24" i="185"/>
  <c r="G22" i="184"/>
  <c r="F22" i="184"/>
  <c r="E22" i="184"/>
  <c r="G27" i="183"/>
  <c r="F27" i="183"/>
  <c r="E27" i="183"/>
  <c r="E15" i="183"/>
  <c r="I15" i="183"/>
  <c r="G15" i="183"/>
  <c r="F15" i="183"/>
  <c r="I22" i="179"/>
  <c r="I28" i="179" s="1"/>
  <c r="G22" i="179"/>
  <c r="G28" i="179" s="1"/>
  <c r="F22" i="179"/>
  <c r="F28" i="179" s="1"/>
  <c r="E22" i="179"/>
  <c r="E28" i="179" s="1"/>
  <c r="L27" i="179"/>
  <c r="L26" i="179"/>
  <c r="L27" i="185"/>
  <c r="L25" i="185"/>
  <c r="L23" i="185"/>
  <c r="L22" i="185"/>
  <c r="L21" i="185"/>
  <c r="L20" i="185"/>
  <c r="L19" i="185"/>
  <c r="L17" i="185"/>
  <c r="L14" i="185"/>
  <c r="L13" i="185"/>
  <c r="L12" i="185"/>
  <c r="L11" i="185"/>
  <c r="B4" i="185"/>
  <c r="L28" i="184"/>
  <c r="L27" i="184"/>
  <c r="L26" i="184"/>
  <c r="L25" i="184"/>
  <c r="L23" i="184"/>
  <c r="L21" i="184"/>
  <c r="L20" i="184"/>
  <c r="L19" i="184"/>
  <c r="L17" i="184"/>
  <c r="L15" i="184"/>
  <c r="L14" i="184"/>
  <c r="L13" i="184"/>
  <c r="L11" i="184"/>
  <c r="B4" i="184"/>
  <c r="L26" i="183"/>
  <c r="L24" i="183"/>
  <c r="L22" i="183"/>
  <c r="L21" i="183"/>
  <c r="L20" i="183"/>
  <c r="L19" i="183"/>
  <c r="L18" i="183"/>
  <c r="L17" i="183"/>
  <c r="L16" i="183"/>
  <c r="L14" i="183"/>
  <c r="L13" i="183"/>
  <c r="L12" i="183"/>
  <c r="L11" i="183"/>
  <c r="B4" i="183"/>
  <c r="I22" i="184" l="1"/>
  <c r="L22" i="184" s="1"/>
  <c r="I27" i="183"/>
  <c r="L23" i="183"/>
  <c r="E18" i="185"/>
  <c r="E26" i="185" s="1"/>
  <c r="F18" i="185"/>
  <c r="F26" i="185" s="1"/>
  <c r="G18" i="185"/>
  <c r="G26" i="185" s="1"/>
  <c r="L24" i="185"/>
  <c r="L15"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I18" i="185" l="1"/>
  <c r="I26" i="185" s="1"/>
  <c r="L26" i="185" s="1"/>
  <c r="L27" i="183"/>
  <c r="B15" i="7"/>
  <c r="L18" i="185" l="1"/>
  <c r="D167" i="34"/>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8" i="179" l="1"/>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2" i="185"/>
  <c r="B1" i="183"/>
  <c r="B1" i="184"/>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E26" i="108"/>
  <c r="G26" i="108"/>
  <c r="D27" i="108"/>
  <c r="E27" i="108"/>
  <c r="F27" i="108"/>
  <c r="G27" i="108"/>
  <c r="F28" i="108"/>
  <c r="F31" i="108"/>
  <c r="G28" i="108"/>
  <c r="D31" i="108"/>
  <c r="E31" i="108"/>
  <c r="G31" i="108"/>
  <c r="E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L22" i="37"/>
  <c r="D24" i="37"/>
  <c r="B4270" i="106" s="1"/>
  <c r="D4270" i="106" s="1"/>
  <c r="F46" i="34" l="1"/>
  <c r="F42" i="34"/>
  <c r="F52" i="34"/>
  <c r="H28" i="118"/>
  <c r="D36" i="108"/>
  <c r="F36" i="108"/>
  <c r="D6103" i="106"/>
  <c r="L5" i="11"/>
  <c r="B2056" i="106" s="1"/>
  <c r="D2056" i="106" s="1"/>
  <c r="B7078" i="106"/>
  <c r="D7078" i="106" s="1"/>
  <c r="G29" i="108"/>
  <c r="G39" i="108"/>
  <c r="J210" i="29"/>
  <c r="B7072" i="106" s="1"/>
  <c r="D7072" i="106" s="1"/>
  <c r="L13" i="11"/>
  <c r="B2060" i="106" s="1"/>
  <c r="D2060" i="106" s="1"/>
  <c r="B1868" i="106"/>
  <c r="D1868" i="106" s="1"/>
  <c r="H44" i="4"/>
  <c r="B3296" i="106" s="1"/>
  <c r="D3296" i="106" s="1"/>
  <c r="F19" i="7"/>
  <c r="B1807" i="106" s="1"/>
  <c r="D1807" i="106" s="1"/>
  <c r="H76" i="4"/>
  <c r="B3298" i="106" s="1"/>
  <c r="D3298" i="106" s="1"/>
  <c r="K76" i="4"/>
  <c r="B3586" i="106" s="1"/>
  <c r="D3586" i="106" s="1"/>
  <c r="E34" i="108"/>
  <c r="G30" i="108"/>
  <c r="E35" i="108"/>
  <c r="G35" i="108"/>
  <c r="F34" i="34"/>
  <c r="F77" i="4"/>
  <c r="B3255" i="106" s="1"/>
  <c r="D3255" i="106" s="1"/>
  <c r="H342" i="29"/>
  <c r="B7221" i="106" s="1"/>
  <c r="D7221" i="106" s="1"/>
  <c r="J129" i="29"/>
  <c r="B7038" i="106" s="1"/>
  <c r="D7038" i="106" s="1"/>
  <c r="E29" i="108"/>
  <c r="B7047" i="106"/>
  <c r="D7047" i="106" s="1"/>
  <c r="I129" i="29"/>
  <c r="B7037" i="106" s="1"/>
  <c r="D7037" i="106" s="1"/>
  <c r="J41" i="3"/>
  <c r="B6216" i="106" s="1"/>
  <c r="D6216" i="106" s="1"/>
  <c r="J77" i="4"/>
  <c r="B6262" i="106" s="1"/>
  <c r="D6262" i="106" s="1"/>
  <c r="K184" i="29"/>
  <c r="F13" i="4" s="1"/>
  <c r="B2596" i="106" s="1"/>
  <c r="D2596" i="106" s="1"/>
  <c r="J352" i="29"/>
  <c r="J367" i="29" s="1"/>
  <c r="B7245" i="106" s="1"/>
  <c r="D7245" i="106" s="1"/>
  <c r="I210" i="29"/>
  <c r="B7071" i="106" s="1"/>
  <c r="D7071" i="106" s="1"/>
  <c r="C352" i="29"/>
  <c r="C367" i="29" s="1"/>
  <c r="B3622" i="106" s="1"/>
  <c r="D3622" i="106" s="1"/>
  <c r="B3647" i="106"/>
  <c r="D3647" i="106" s="1"/>
  <c r="G210" i="29"/>
  <c r="C342" i="29"/>
  <c r="B7216" i="106" s="1"/>
  <c r="D7216" i="106" s="1"/>
  <c r="C129" i="29"/>
  <c r="C151" i="29" s="1"/>
  <c r="B1226" i="106" s="1"/>
  <c r="D1226" i="106" s="1"/>
  <c r="L367" i="29"/>
  <c r="H365" i="29"/>
  <c r="B7242" i="106" s="1"/>
  <c r="D7242"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D7251" i="106"/>
  <c r="D7254" i="106"/>
  <c r="D7256" i="106"/>
  <c r="D7250" i="106"/>
  <c r="I7" i="4"/>
  <c r="B4444" i="106" s="1"/>
  <c r="D4444" i="106" s="1"/>
  <c r="I151" i="29"/>
  <c r="F59" i="34" s="1"/>
  <c r="J151" i="29"/>
  <c r="B7052" i="106" s="1"/>
  <c r="D7052" i="106" s="1"/>
  <c r="D51" i="36"/>
  <c r="H77" i="4"/>
  <c r="B3299" i="106" s="1"/>
  <c r="D3299" i="106" s="1"/>
  <c r="B5770" i="106"/>
  <c r="D5770" i="106" s="1"/>
  <c r="K77" i="4"/>
  <c r="B3587" i="106" s="1"/>
  <c r="D3587" i="106" s="1"/>
  <c r="L16" i="11"/>
  <c r="B2061" i="106" s="1"/>
  <c r="D2061" i="106" s="1"/>
  <c r="N23" i="3"/>
  <c r="B284" i="106" s="1"/>
  <c r="D284" i="106" s="1"/>
  <c r="F41" i="108"/>
  <c r="G43" i="108" s="1"/>
  <c r="F66" i="34"/>
  <c r="B1381" i="106"/>
  <c r="D1381" i="106" s="1"/>
  <c r="B1328" i="106"/>
  <c r="D1328" i="106" s="1"/>
  <c r="B1266" i="106"/>
  <c r="D1266" i="106" s="1"/>
  <c r="B3621" i="106"/>
  <c r="D3621" i="106" s="1"/>
  <c r="D41" i="108"/>
  <c r="E43" i="108" s="1"/>
  <c r="J16" i="4"/>
  <c r="B6226" i="106" s="1"/>
  <c r="D6226" i="106" s="1"/>
  <c r="B7235" i="106"/>
  <c r="D7235" i="106" s="1"/>
  <c r="B1365" i="106"/>
  <c r="D1365" i="106" s="1"/>
  <c r="F65" i="34"/>
  <c r="G6" i="4"/>
  <c r="B2604" i="106" s="1"/>
  <c r="D2604" i="106" s="1"/>
  <c r="K365" i="29"/>
  <c r="K16" i="4" s="1"/>
  <c r="D44" i="36"/>
  <c r="L114" i="29"/>
  <c r="C114" i="29"/>
  <c r="B757" i="106" s="1"/>
  <c r="D75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1145" i="106"/>
  <c r="D1145" i="106" s="1"/>
  <c r="K367" i="29"/>
  <c r="B3678" i="106" s="1"/>
  <c r="D3678" i="106" s="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J10" i="4"/>
  <c r="B6225" i="106" s="1"/>
  <c r="D6225" i="106" s="1"/>
  <c r="K17" i="4"/>
  <c r="B3575" i="106" s="1"/>
  <c r="D3575" i="106" s="1"/>
  <c r="K368" i="29"/>
  <c r="B3681" i="106" s="1"/>
  <c r="D3681" i="106" s="1"/>
  <c r="F8" i="4"/>
  <c r="B2595" i="106" s="1"/>
  <c r="D2595"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175" i="34"/>
  <c r="F79" i="34"/>
  <c r="F8" i="146"/>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<sst xmlns="http://schemas.openxmlformats.org/spreadsheetml/2006/main" count="5399" uniqueCount="2215">
  <si>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</si>
  <si>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</si>
  <si>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</si>
  <si>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</si>
  <si>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</si>
  <si>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</si>
  <si>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</si>
  <si>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</si>
  <si>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</si>
  <si>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</si>
  <si>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</si>
  <si>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</si>
  <si>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</si>
  <si>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</si>
  <si>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</si>
  <si>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</si>
  <si>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</si>
  <si>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</si>
  <si>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</si>
  <si>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</si>
  <si>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</si>
  <si>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</si>
  <si>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</si>
  <si>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</si>
  <si>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</si>
  <si>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</si>
  <si>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</si>
  <si>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</si>
  <si>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</si>
  <si>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</si>
  <si>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</si>
  <si>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</si>
  <si>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</si>
  <si>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</si>
  <si>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</si>
  <si>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</si>
  <si>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</si>
  <si>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</si>
  <si>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</si>
  <si>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</si>
  <si>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</si>
  <si>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</si>
  <si>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</si>
  <si>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</si>
  <si>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</si>
  <si>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</si>
  <si>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</si>
  <si>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</si>
  <si>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</si>
  <si>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</si>
  <si>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</si>
  <si>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</si>
  <si>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</si>
  <si>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</si>
  <si>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</si>
  <si>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</si>
  <si>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</si>
  <si>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</si>
  <si>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</si>
  <si>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</si>
  <si>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</si>
  <si>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</si>
  <si>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</si>
  <si>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</si>
  <si>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</si>
  <si>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</si>
  <si>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</si>
  <si>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</si>
  <si>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</si>
  <si>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</si>
  <si>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</si>
  <si>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</si>
  <si>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</si>
  <si>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</si>
  <si>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</si>
  <si>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</si>
  <si>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</si>
  <si>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</si>
  <si>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</si>
  <si>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</si>
  <si>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</si>
  <si>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</si>
  <si>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</si>
  <si>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</si>
  <si>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</si>
  <si>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</si>
  <si>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</si>
  <si>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</si>
  <si>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</si>
  <si>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</si>
  <si>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</si>
  <si>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</si>
  <si>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</si>
  <si>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</si>
  <si>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</si>
  <si>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</si>
  <si>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</si>
  <si>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</si>
  <si>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</si>
  <si>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</si>
  <si>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</si>
  <si>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</si>
  <si>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</si>
  <si>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</si>
  <si>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</si>
  <si>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</si>
  <si>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</si>
  <si>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</si>
  <si>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</si>
  <si>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</si>
  <si>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</si>
  <si>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</si>
  <si>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</si>
  <si>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</si>
  <si>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</si>
  <si>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</si>
  <si>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</si>
  <si>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</si>
  <si>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</si>
  <si>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</si>
  <si>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</si>
  <si>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</si>
  <si>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</si>
  <si>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</si>
  <si>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</si>
  <si>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</si>
  <si>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</si>
  <si>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</si>
  <si>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</si>
  <si>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</si>
  <si>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</si>
  <si>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</si>
  <si>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</si>
  <si>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</si>
  <si>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</si>
  <si>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</si>
  <si>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</si>
  <si>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</si>
  <si>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</si>
  <si>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</si>
  <si>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</si>
  <si>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</si>
  <si>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</si>
  <si>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</si>
  <si>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</si>
  <si>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</si>
  <si>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</si>
  <si>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</si>
  <si>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</si>
  <si>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</si>
  <si>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</si>
  <si>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</si>
  <si>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</si>
  <si>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</si>
  <si>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</si>
  <si>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</si>
  <si>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</si>
  <si>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</si>
  <si>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</si>
  <si>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</si>
  <si>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</si>
  <si>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</si>
  <si>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</si>
  <si>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</si>
  <si>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</si>
  <si>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</si>
  <si>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</si>
  <si>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</si>
  <si>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</si>
  <si>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</si>
  <si>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</si>
  <si>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</si>
  <si>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</si>
  <si>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</si>
  <si>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</si>
  <si>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</si>
  <si>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</si>
  <si>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</si>
  <si>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</si>
  <si>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</si>
  <si>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</si>
  <si>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</si>
  <si>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</si>
  <si>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</si>
  <si>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</si>
  <si>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</si>
  <si>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</si>
  <si>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</si>
  <si>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</si>
  <si>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</si>
  <si>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</si>
  <si>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</si>
  <si>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</si>
  <si>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</si>
  <si>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</si>
  <si>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</si>
  <si>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</si>
  <si>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</si>
  <si>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</si>
  <si>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</si>
  <si>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</si>
  <si>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</si>
  <si>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</si>
  <si>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</si>
  <si>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</si>
  <si>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</si>
  <si>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</si>
  <si>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</si>
  <si>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</si>
  <si>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</si>
  <si>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</si>
  <si>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</si>
  <si>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</si>
  <si>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</si>
  <si>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</si>
  <si>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</si>
  <si>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</si>
  <si>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</si>
  <si>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</si>
  <si>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</si>
  <si>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</si>
  <si>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</si>
  <si>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</si>
  <si>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</si>
  <si>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</si>
  <si>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</si>
  <si>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</si>
  <si>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</si>
  <si>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</si>
  <si>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</si>
  <si>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</si>
  <si>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</si>
  <si>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</si>
  <si>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</si>
  <si>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</si>
  <si>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</si>
  <si>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</si>
  <si>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</si>
  <si>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</si>
  <si>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</si>
  <si>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</si>
  <si>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</si>
  <si>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</si>
  <si>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</si>
  <si>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</si>
  <si>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</si>
  <si>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</si>
  <si>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</si>
  <si>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</si>
  <si>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</si>
  <si>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</si>
  <si>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</si>
  <si>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</si>
  <si>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</si>
  <si>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</si>
  <si>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</si>
  <si>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</si>
  <si>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</si>
  <si>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</si>
  <si>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</si>
  <si>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</si>
  <si>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</si>
  <si>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</si>
  <si>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</si>
  <si>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</si>
  <si>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</si>
  <si>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</si>
  <si>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</si>
  <si>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</si>
  <si>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</si>
  <si>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</si>
  <si>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</si>
  <si>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</si>
  <si>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</si>
  <si>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</si>
  <si>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</si>
  <si>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</si>
  <si>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</si>
  <si>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</si>
  <si>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</si>
  <si>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</si>
  <si>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</si>
  <si>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</si>
  <si>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</si>
  <si>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</si>
  <si>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</si>
  <si>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</si>
  <si>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</si>
  <si>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</si>
  <si>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</si>
  <si>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</si>
  <si>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</si>
  <si>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</si>
  <si>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</si>
  <si>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</si>
  <si>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</si>
  <si>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</si>
  <si>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</si>
  <si>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</si>
  <si>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</si>
  <si>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</si>
  <si>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</si>
  <si>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</si>
  <si>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</si>
  <si>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</si>
  <si>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</si>
  <si>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</si>
  <si>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</si>
  <si>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</si>
  <si>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</si>
  <si>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</si>
  <si>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</si>
  <si>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</si>
  <si>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</si>
  <si>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</si>
  <si>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</si>
  <si>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</si>
  <si>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</si>
  <si>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</si>
  <si>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</si>
  <si>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</si>
  <si>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</si>
  <si>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</si>
  <si>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</si>
  <si>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</si>
  <si>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</si>
  <si>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</si>
  <si>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</si>
  <si>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</si>
  <si>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</si>
  <si>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</si>
  <si>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</si>
  <si>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</si>
  <si>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</si>
  <si>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</si>
  <si>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</si>
  <si>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</si>
  <si>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</si>
  <si>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</si>
  <si>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</si>
  <si>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</si>
  <si>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</si>
  <si>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</si>
  <si>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</si>
  <si>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</si>
  <si>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</si>
  <si>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</si>
  <si>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</si>
  <si>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</si>
  <si>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</si>
  <si>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</si>
  <si>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</si>
  <si>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</si>
  <si>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</si>
  <si>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</si>
  <si>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</si>
  <si>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</si>
  <si>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</si>
  <si>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</si>
  <si>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</si>
  <si>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</si>
  <si>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</si>
  <si>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</si>
  <si>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</si>
  <si>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</si>
  <si>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</si>
  <si>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</si>
  <si>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</si>
  <si>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</si>
  <si>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</si>
  <si>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</si>
  <si>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</si>
  <si>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</si>
  <si>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</si>
  <si>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</si>
  <si>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</si>
  <si>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</si>
  <si>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</si>
  <si>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</si>
  <si>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</si>
  <si>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</si>
  <si>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</si>
  <si>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</si>
  <si>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</si>
  <si>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</si>
  <si>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</si>
  <si>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</si>
  <si>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</si>
  <si>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</si>
  <si>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</si>
  <si>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</si>
  <si>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</si>
  <si>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</si>
  <si>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</si>
  <si>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</si>
  <si>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</si>
  <si>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</si>
  <si>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</si>
  <si>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</si>
  <si>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</si>
  <si>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</si>
  <si>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</si>
  <si>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</si>
  <si>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</si>
  <si>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</si>
  <si>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</si>
  <si>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</si>
  <si>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</si>
  <si>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</si>
  <si>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</si>
  <si>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</si>
  <si>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</si>
  <si>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</si>
  <si>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</si>
  <si>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</si>
  <si>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</si>
  <si>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</si>
  <si>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</si>
  <si>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</si>
  <si>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</si>
  <si>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</si>
  <si>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</si>
  <si>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</si>
  <si>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</si>
  <si>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</si>
  <si>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</si>
  <si>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</si>
  <si>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</si>
  <si>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</si>
  <si>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</si>
  <si>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</si>
  <si>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</si>
  <si>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</si>
  <si>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</si>
  <si>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</si>
  <si>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</si>
  <si>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</si>
  <si>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</si>
  <si>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</si>
  <si>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</si>
  <si>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</si>
  <si>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</si>
  <si>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</si>
  <si>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</si>
  <si>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</si>
  <si>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</si>
  <si>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</si>
  <si>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</si>
  <si>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</si>
  <si>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</si>
  <si>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</si>
  <si>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</si>
  <si>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</si>
  <si>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</si>
  <si>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</si>
  <si>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</si>
  <si>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</si>
  <si>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</si>
  <si>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</si>
  <si>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</si>
  <si>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</si>
  <si>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</si>
  <si>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</si>
  <si>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</si>
  <si>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</si>
  <si>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</si>
  <si>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</si>
  <si>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</si>
  <si>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</si>
  <si>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</si>
  <si>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</si>
  <si>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</si>
  <si>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</si>
  <si>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</si>
  <si>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</si>
  <si>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</si>
  <si>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</si>
  <si>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</si>
  <si>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</si>
  <si>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</si>
  <si>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</si>
  <si>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</si>
  <si>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</si>
  <si>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</si>
  <si>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</si>
  <si>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</si>
  <si>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</si>
  <si>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</si>
  <si>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</si>
  <si>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</si>
  <si>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</si>
  <si>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</si>
  <si>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</si>
  <si>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</si>
  <si>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</si>
  <si>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</si>
  <si>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</si>
  <si>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</si>
  <si>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</si>
  <si>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</si>
  <si>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</si>
  <si>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</si>
  <si>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</si>
  <si>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</si>
  <si>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</si>
  <si>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</si>
  <si>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</si>
  <si>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</si>
  <si>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</si>
  <si>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</si>
  <si>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</si>
  <si>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</si>
  <si>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</si>
  <si>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</si>
  <si>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</si>
  <si>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</si>
  <si>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</si>
  <si>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</si>
  <si>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</si>
  <si>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</si>
  <si>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</si>
  <si>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</si>
  <si>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</si>
  <si>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</si>
  <si>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</si>
  <si>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</si>
  <si>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</si>
  <si>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</si>
  <si>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</si>
  <si>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</si>
  <si>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</si>
  <si>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</si>
  <si>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</si>
  <si>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</si>
  <si>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</si>
  <si>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</si>
  <si>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</si>
  <si>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</si>
  <si>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</si>
  <si>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</si>
  <si>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</si>
  <si>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</si>
  <si>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</si>
  <si>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</si>
  <si>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</si>
  <si>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</si>
  <si>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</si>
  <si>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</si>
  <si>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</si>
  <si>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</si>
  <si>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</si>
  <si>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</si>
  <si>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</si>
  <si>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</si>
  <si>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</si>
  <si>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</si>
  <si>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</si>
  <si>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</si>
  <si>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</si>
  <si>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</si>
  <si>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</si>
  <si>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</si>
  <si>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</si>
  <si>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</si>
  <si>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</si>
  <si>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</si>
  <si>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</si>
  <si>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</si>
  <si>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</si>
  <si>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</si>
  <si>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</si>
  <si>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</si>
  <si>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</si>
  <si>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</si>
  <si>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</si>
  <si>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</si>
  <si>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</si>
  <si>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</si>
  <si>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</si>
  <si>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</si>
  <si>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</si>
  <si>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</si>
  <si>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</si>
  <si>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</si>
  <si>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</si>
  <si>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</si>
  <si>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</si>
  <si>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</si>
  <si>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</si>
  <si>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</si>
  <si>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</si>
  <si>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</si>
  <si>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</si>
  <si>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</si>
  <si>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</si>
  <si>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</si>
  <si>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</si>
  <si>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</si>
  <si>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</si>
  <si>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</si>
  <si>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</si>
  <si>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</si>
  <si>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</si>
  <si>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</si>
  <si>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</si>
  <si>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</si>
  <si>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</si>
  <si>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</si>
  <si>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</si>
  <si>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</si>
  <si>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</si>
  <si>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</si>
  <si>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</si>
  <si>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</si>
  <si>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</si>
  <si>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</si>
  <si>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</si>
  <si>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</si>
  <si>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</si>
  <si>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</si>
  <si>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</si>
  <si>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</si>
  <si>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</si>
  <si>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</si>
  <si>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</si>
  <si>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</si>
  <si>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</si>
  <si>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</si>
  <si>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</si>
  <si>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</si>
  <si>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</si>
  <si>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</si>
  <si>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</si>
  <si>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</si>
  <si>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</si>
  <si>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</si>
  <si>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</si>
  <si>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</si>
  <si>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</si>
  <si>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</si>
  <si>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</si>
  <si>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</si>
  <si>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</si>
  <si>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</si>
  <si>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</si>
  <si>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</si>
  <si>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</si>
  <si>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</si>
  <si>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</si>
  <si>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</si>
  <si>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</si>
  <si>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</si>
  <si>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</si>
  <si>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</si>
  <si>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</si>
  <si>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</si>
  <si>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</si>
  <si>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</si>
  <si>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</si>
  <si>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</si>
  <si>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</si>
  <si>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</si>
  <si>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</si>
  <si>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</si>
  <si>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</si>
  <si>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</si>
  <si>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</si>
  <si>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</si>
  <si>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</si>
  <si>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</si>
  <si>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</si>
  <si>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</si>
  <si>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</si>
  <si>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</si>
  <si>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</si>
  <si>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</si>
  <si>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</si>
  <si>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</si>
  <si>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</si>
  <si>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</si>
  <si>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</si>
  <si>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</si>
  <si>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</si>
  <si>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</si>
  <si>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</si>
  <si>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</si>
  <si>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</si>
  <si>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</si>
  <si>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</si>
  <si>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</si>
  <si>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</si>
  <si>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</si>
  <si>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</si>
  <si>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</si>
  <si>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</si>
  <si>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</si>
  <si>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</si>
  <si>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</si>
  <si>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</si>
  <si>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</si>
  <si>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</si>
  <si>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</si>
  <si>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</si>
  <si>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</si>
  <si>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</si>
  <si>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</si>
  <si>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</si>
  <si>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</si>
  <si>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</si>
  <si>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</si>
  <si>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</si>
  <si>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</si>
  <si>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</si>
  <si>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</si>
  <si>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</si>
  <si>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</si>
  <si>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</si>
  <si>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</si>
  <si>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</si>
  <si>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</si>
  <si>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</si>
  <si>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</si>
  <si>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</si>
  <si>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</si>
  <si>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</si>
  <si>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</si>
  <si>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</si>
  <si>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</si>
  <si>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</si>
  <si>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</si>
  <si>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</si>
  <si>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</si>
  <si>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</si>
  <si>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</si>
  <si>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</si>
  <si>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</si>
  <si>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</si>
  <si>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</si>
  <si>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</si>
  <si>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</si>
  <si>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</si>
  <si>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</si>
  <si>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</si>
  <si>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</si>
  <si>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</si>
  <si>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</si>
  <si>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</si>
  <si>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</si>
  <si>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</si>
  <si>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</si>
  <si>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</si>
  <si>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</si>
  <si>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</si>
  <si>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</si>
  <si>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</si>
  <si>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</si>
  <si>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</si>
  <si>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</si>
  <si>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</si>
  <si>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</si>
  <si>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</si>
  <si>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</si>
  <si>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</si>
  <si>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</si>
  <si>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</si>
  <si>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</si>
  <si>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</si>
  <si>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</si>
  <si>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</si>
  <si>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</si>
  <si>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</si>
  <si>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</si>
  <si>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</si>
  <si>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</si>
  <si>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</si>
  <si>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</si>
  <si>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</si>
  <si>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</si>
  <si>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</si>
  <si>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</si>
  <si>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</si>
  <si>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</si>
  <si>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</si>
  <si>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</si>
  <si>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</si>
  <si>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</si>
  <si>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</si>
  <si>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</si>
  <si>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</si>
  <si>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</si>
  <si>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</si>
  <si>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</si>
  <si>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</si>
  <si>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</si>
  <si>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</si>
  <si>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</si>
  <si>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</si>
  <si>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</si>
  <si>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</si>
  <si>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</si>
  <si>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</si>
  <si>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</si>
  <si>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</si>
  <si>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</si>
  <si>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</si>
  <si>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</si>
  <si>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</si>
  <si>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</si>
  <si>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</si>
  <si>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</si>
  <si>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</si>
  <si>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</si>
  <si>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</si>
  <si>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</si>
  <si>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</si>
  <si>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</si>
  <si>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</si>
  <si>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</si>
  <si>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</si>
  <si>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</si>
  <si>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</si>
  <si>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</si>
  <si>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</si>
  <si>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</si>
  <si>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</si>
  <si>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</si>
  <si>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</si>
  <si>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</si>
  <si>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</si>
  <si>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</si>
  <si>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</si>
  <si>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</si>
  <si>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</si>
  <si>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</si>
  <si>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</si>
  <si>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</si>
  <si>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</si>
  <si>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</si>
  <si>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</si>
  <si>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</si>
  <si>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</si>
  <si>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</si>
  <si>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</si>
  <si>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</si>
  <si>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</si>
  <si>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</si>
  <si>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</si>
  <si>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</si>
  <si>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</si>
  <si>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</si>
  <si>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</si>
  <si>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</si>
  <si>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</si>
  <si>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</si>
  <si>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</si>
  <si>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</si>
  <si>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</si>
  <si>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</si>
  <si>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</si>
  <si>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</si>
  <si>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</si>
  <si>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</si>
  <si>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</si>
  <si>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</si>
  <si>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</si>
  <si>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</si>
  <si>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</si>
  <si>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</si>
  <si>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</si>
  <si>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</si>
  <si>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</si>
  <si>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</si>
  <si>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</si>
  <si>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</si>
  <si>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</si>
  <si>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</si>
  <si>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</si>
  <si>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</si>
  <si>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</si>
  <si>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</si>
  <si>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</si>
  <si>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</si>
  <si>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</si>
  <si>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</si>
  <si>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</si>
  <si>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</si>
  <si>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</si>
  <si>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</si>
  <si>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</si>
  <si>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</si>
  <si>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</si>
  <si>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</si>
  <si>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</si>
  <si>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</si>
  <si>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</si>
  <si>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</si>
  <si>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</si>
  <si>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</si>
  <si>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</si>
  <si>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</si>
  <si>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</si>
  <si>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</si>
  <si>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</si>
  <si>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</si>
  <si>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</si>
  <si>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</si>
  <si>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</si>
  <si>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</si>
  <si>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</si>
  <si>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</si>
  <si>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</si>
  <si>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</si>
  <si>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</si>
  <si>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</si>
  <si>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</si>
  <si>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</si>
  <si>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</si>
  <si>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</si>
  <si>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</si>
  <si>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</si>
  <si>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</si>
  <si>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</si>
  <si>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</si>
  <si>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</si>
  <si>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</si>
  <si>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</si>
  <si>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</si>
  <si>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</si>
  <si>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</si>
  <si>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</si>
  <si>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</si>
  <si>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</si>
  <si>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</si>
  <si>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</si>
  <si>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</si>
  <si>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</si>
  <si>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</si>
  <si>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</si>
  <si>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</si>
  <si>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</si>
  <si>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</si>
  <si>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</si>
  <si>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</si>
  <si>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</si>
  <si>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</si>
  <si>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</si>
  <si>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</si>
  <si>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</si>
  <si>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</si>
  <si>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</si>
  <si>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</si>
  <si>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</si>
  <si>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</si>
  <si>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</si>
  <si>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</si>
  <si>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</si>
  <si>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</si>
  <si>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</si>
  <si>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</si>
  <si>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</si>
  <si>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</si>
  <si>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</si>
  <si>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</si>
  <si>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</si>
  <si>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</si>
  <si>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</si>
  <si>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</si>
  <si>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</si>
  <si>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</si>
  <si>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</si>
  <si>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</si>
  <si>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</si>
  <si>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</si>
  <si>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</si>
  <si>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</si>
  <si>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</si>
  <si>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</si>
  <si>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</si>
  <si>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</si>
  <si>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</si>
  <si>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</si>
  <si>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</si>
  <si>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</si>
  <si>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</si>
  <si>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</si>
  <si>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</si>
  <si>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</si>
  <si>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</si>
  <si>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</si>
  <si>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</si>
  <si>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</si>
  <si>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</si>
  <si>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</si>
  <si>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</si>
  <si>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</si>
  <si>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</si>
  <si>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</si>
  <si>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</si>
  <si>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</si>
  <si>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</si>
  <si>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</si>
  <si>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</si>
  <si>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</si>
  <si>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</si>
  <si>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</si>
  <si>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</si>
  <si>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</si>
  <si>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</si>
  <si>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</si>
  <si>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</si>
  <si>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</si>
  <si>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</si>
  <si>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</si>
  <si>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</si>
  <si>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</si>
  <si>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</si>
  <si>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</si>
  <si>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</si>
  <si>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</si>
  <si>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</si>
  <si>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</si>
  <si>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</si>
  <si>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</si>
  <si>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</si>
  <si>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</si>
  <si>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</si>
  <si>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</si>
  <si>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</si>
  <si>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</si>
  <si>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</si>
  <si>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</si>
  <si>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</si>
  <si>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</si>
  <si>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</si>
  <si>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</si>
  <si>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</si>
  <si>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</si>
  <si>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</si>
  <si>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</si>
  <si>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</si>
  <si>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</si>
  <si>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</si>
  <si>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</si>
  <si>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</si>
  <si>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</si>
  <si>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</si>
  <si>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</si>
  <si>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</si>
  <si>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</si>
  <si>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</si>
  <si>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</si>
  <si>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</si>
  <si>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</si>
  <si>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</si>
  <si>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</si>
  <si>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</si>
  <si>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</si>
  <si>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</si>
  <si>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</si>
  <si>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</si>
  <si>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</si>
  <si>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</si>
  <si>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</si>
  <si>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</si>
  <si>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</si>
  <si>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</si>
  <si>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</si>
  <si>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</si>
  <si>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</si>
  <si>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</si>
  <si>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</si>
  <si>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</si>
  <si>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</si>
  <si>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</si>
  <si>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</si>
  <si>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</si>
  <si>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</si>
  <si>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</si>
  <si>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</si>
  <si>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</si>
  <si>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</si>
  <si>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</si>
  <si>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</si>
  <si>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</si>
  <si>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</si>
  <si>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</si>
  <si>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</si>
  <si>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</si>
  <si>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</si>
  <si>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</si>
  <si>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</si>
  <si>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</si>
  <si>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</si>
  <si>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</si>
  <si>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</si>
  <si>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</si>
  <si>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</si>
  <si>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</si>
  <si>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</si>
  <si>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</si>
  <si>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</si>
  <si>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</si>
  <si>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</si>
  <si>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</si>
  <si>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</si>
  <si>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</si>
  <si>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</si>
  <si>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</si>
  <si>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</si>
  <si>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</si>
  <si>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</si>
  <si>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</si>
  <si>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</si>
  <si>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</si>
  <si>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</si>
  <si>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</si>
  <si>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</si>
  <si>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</si>
  <si>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</si>
  <si>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</si>
  <si>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</si>
  <si>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</si>
  <si>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</si>
  <si>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</si>
  <si>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</si>
  <si>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</si>
  <si>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</si>
  <si>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</si>
  <si>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</si>
  <si>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</si>
  <si>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</si>
  <si>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</si>
  <si>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</si>
  <si>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</si>
  <si>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</si>
  <si>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</si>
  <si>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</si>
  <si>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</si>
  <si>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</si>
  <si>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</si>
  <si>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</si>
  <si>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</si>
  <si>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</si>
  <si>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</si>
  <si>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</si>
  <si>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</si>
  <si>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</si>
  <si>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</si>
  <si>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</si>
  <si>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</si>
  <si>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</si>
  <si>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</si>
  <si>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</si>
  <si>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</si>
  <si>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</si>
  <si>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</si>
  <si>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</si>
  <si>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</si>
  <si>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</si>
  <si>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</si>
  <si>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</si>
  <si>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</si>
  <si>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</si>
  <si>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</si>
  <si>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</si>
  <si>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</si>
  <si>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</si>
  <si>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</si>
  <si>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</si>
  <si>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</si>
  <si>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</si>
  <si>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</si>
  <si>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</si>
  <si>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</si>
  <si>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</si>
  <si>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</si>
  <si>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</si>
  <si>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</si>
  <si>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</si>
  <si>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</si>
  <si>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</si>
  <si>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</si>
  <si>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</si>
  <si>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</si>
  <si>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</si>
  <si>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</si>
  <si>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</si>
  <si>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</si>
  <si>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</si>
  <si>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</si>
  <si>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</si>
  <si>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</si>
  <si>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</si>
  <si>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</si>
  <si>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</si>
  <si>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</si>
  <si>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</si>
  <si>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</si>
  <si>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</si>
  <si>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</si>
  <si>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</si>
  <si>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</si>
  <si>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</si>
  <si>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</si>
  <si>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</si>
  <si>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</si>
  <si>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</si>
  <si>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</si>
  <si>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</si>
  <si>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</si>
  <si>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</si>
  <si>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</si>
  <si>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</si>
  <si>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</si>
  <si>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</si>
  <si>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</si>
  <si>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</si>
  <si>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</si>
  <si>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</si>
  <si>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</si>
  <si>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</si>
  <si>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</si>
  <si>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</si>
  <si>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</si>
  <si>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</si>
  <si>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</si>
  <si>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</si>
  <si>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</si>
  <si>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</si>
  <si>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</si>
  <si>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</si>
  <si>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</si>
  <si>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</si>
  <si>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</si>
  <si>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</si>
  <si>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</si>
  <si>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</si>
  <si>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</si>
  <si>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</si>
  <si>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</si>
  <si>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</si>
  <si>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</si>
  <si>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</si>
  <si>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</si>
  <si>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</si>
  <si>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</si>
  <si>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</si>
  <si>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</si>
  <si>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</si>
  <si>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</si>
  <si>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</si>
  <si>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</si>
  <si>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</si>
  <si>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</si>
  <si>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</si>
  <si>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</si>
  <si>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</si>
  <si>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</si>
  <si>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</si>
  <si>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</si>
  <si>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</si>
  <si>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</si>
  <si>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</si>
  <si>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</si>
  <si>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</si>
  <si>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</si>
  <si>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</si>
  <si>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</si>
  <si>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</si>
  <si>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</si>
  <si>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</si>
  <si>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</si>
  <si>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</si>
  <si>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</si>
  <si>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</si>
  <si>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</si>
  <si>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</si>
  <si>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</si>
  <si>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</si>
  <si>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</si>
  <si>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</si>
  <si>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</si>
  <si>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</si>
  <si>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</si>
  <si>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</si>
  <si>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</si>
  <si>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</si>
  <si>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</si>
  <si>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</si>
  <si>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</si>
  <si>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</si>
  <si>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</si>
  <si>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</si>
  <si>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</si>
  <si>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</si>
  <si>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</si>
  <si>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</si>
  <si>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</si>
  <si>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</si>
  <si>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</si>
  <si>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</si>
  <si>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</si>
  <si>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</si>
  <si>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</si>
  <si>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</si>
  <si>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</si>
  <si>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</si>
  <si>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</si>
  <si>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</si>
  <si>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</si>
  <si>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</si>
  <si>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</si>
  <si>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</si>
  <si>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</si>
  <si>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</si>
  <si>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</si>
  <si>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</si>
  <si>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</si>
  <si>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</si>
  <si>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</si>
  <si>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</si>
  <si>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</si>
  <si>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</si>
  <si>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</si>
  <si>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</si>
  <si>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</si>
  <si>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</si>
  <si>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</si>
  <si>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</si>
  <si>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</si>
  <si>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</si>
  <si>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</si>
  <si>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</si>
  <si>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</si>
  <si>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</si>
  <si>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</si>
  <si>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</si>
  <si>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</si>
  <si>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</si>
  <si>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</si>
  <si>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</si>
  <si>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</si>
  <si>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</si>
  <si>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</si>
  <si>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</si>
  <si>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</si>
  <si>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</si>
  <si>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</si>
  <si>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</si>
  <si>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</si>
  <si>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</si>
  <si>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</si>
  <si>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</si>
  <si>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</si>
  <si>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</si>
  <si>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</si>
  <si>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</si>
  <si>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</si>
  <si>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</si>
  <si>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</si>
  <si>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</si>
  <si>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</si>
  <si>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</si>
  <si>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</si>
  <si>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</si>
  <si>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</si>
  <si>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</si>
  <si>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</si>
  <si>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</si>
  <si>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</si>
  <si>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</si>
  <si>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</si>
  <si>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</si>
  <si>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</si>
  <si>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</si>
  <si>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</si>
  <si>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</si>
  <si>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</si>
  <si>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</si>
  <si>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</si>
  <si>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</si>
  <si>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</si>
  <si>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</si>
  <si>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</si>
  <si>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</si>
  <si>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</si>
  <si>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</si>
  <si>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</si>
  <si>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</si>
  <si>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</si>
  <si>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</si>
  <si>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</si>
  <si>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</si>
  <si>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</si>
  <si>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</si>
  <si>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</si>
  <si>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</si>
  <si>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</si>
  <si>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</si>
  <si>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</si>
  <si>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</si>
  <si>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</si>
  <si>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</si>
  <si>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</si>
  <si>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</si>
  <si>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</si>
  <si>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</si>
  <si>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</si>
  <si>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</si>
  <si>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</si>
  <si>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</si>
  <si>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</si>
  <si>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</si>
  <si>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</si>
  <si>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</si>
  <si>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</si>
  <si>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</si>
  <si>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</si>
  <si>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</si>
  <si>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</si>
  <si>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</si>
  <si>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</si>
  <si>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</si>
  <si>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</si>
  <si>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</si>
  <si>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</si>
  <si>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</si>
  <si>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</si>
  <si>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</si>
  <si>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</si>
  <si>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</si>
  <si>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</si>
  <si>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</si>
  <si>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</si>
  <si>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</si>
  <si>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</si>
  <si>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</si>
  <si>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</si>
  <si>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</si>
  <si>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</si>
  <si>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</si>
  <si>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</si>
  <si>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</si>
  <si>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</si>
  <si>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</si>
  <si>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</si>
  <si>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</si>
  <si>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</si>
  <si>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</si>
  <si>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</si>
  <si>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</si>
  <si>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</si>
  <si>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</si>
  <si>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</si>
  <si>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</si>
  <si>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</si>
  <si>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</si>
  <si>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</si>
  <si>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</si>
  <si>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</si>
  <si>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</si>
  <si>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</si>
  <si>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</si>
  <si>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</si>
  <si>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</si>
  <si>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</si>
  <si>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</si>
  <si>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</si>
  <si>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</si>
  <si>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</si>
  <si>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</si>
  <si>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</si>
  <si>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</si>
  <si>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</si>
  <si>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</si>
  <si>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</si>
  <si>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</si>
  <si>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</si>
  <si>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</si>
  <si>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</si>
  <si>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</si>
  <si>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</si>
  <si>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</si>
  <si>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</si>
  <si>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</si>
  <si>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</si>
  <si>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</si>
  <si>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</si>
  <si>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</si>
  <si>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</si>
  <si>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</si>
  <si>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</si>
  <si>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</si>
  <si>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</si>
  <si>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</si>
  <si>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</si>
  <si>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</si>
  <si>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</si>
  <si>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</si>
  <si>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</si>
  <si>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</si>
  <si>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</si>
  <si>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</si>
  <si>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</si>
  <si>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</si>
  <si>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</si>
  <si>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</si>
  <si>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</si>
  <si>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</si>
  <si>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</si>
  <si>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</si>
  <si>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</si>
  <si>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</si>
  <si>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</si>
  <si>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</si>
  <si>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</si>
  <si>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</si>
  <si>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</si>
  <si>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</si>
  <si>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</si>
  <si>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</si>
  <si>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</si>
  <si>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</si>
  <si>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</si>
  <si>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</si>
  <si>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</si>
  <si>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</si>
  <si>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</si>
  <si>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</si>
  <si>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</si>
  <si>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</si>
  <si>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</si>
  <si>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</si>
  <si>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</si>
  <si>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</si>
  <si>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</si>
  <si>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</si>
  <si>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</si>
  <si>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</si>
  <si>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</si>
  <si>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</si>
  <si>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</si>
  <si>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</si>
  <si>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</si>
  <si>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</si>
  <si>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</si>
  <si>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</si>
  <si>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</si>
  <si>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</si>
  <si>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</si>
  <si>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</si>
  <si>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</si>
  <si>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</si>
  <si>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</si>
  <si>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</si>
  <si>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</si>
  <si>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</si>
  <si>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</si>
  <si>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</si>
  <si>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</si>
  <si>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</si>
  <si>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</si>
  <si>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</si>
  <si>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</si>
  <si>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</si>
  <si>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</si>
  <si>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</si>
  <si>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</si>
  <si>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</si>
  <si>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</si>
  <si>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</si>
  <si>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</si>
  <si>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</si>
  <si>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</si>
  <si>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</si>
  <si>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</si>
  <si>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</si>
  <si>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</si>
  <si>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</si>
  <si>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</si>
  <si>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</si>
  <si>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</si>
  <si>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</si>
  <si>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</si>
  <si>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</si>
  <si>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</si>
  <si>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</si>
  <si>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</si>
  <si>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</si>
  <si>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</si>
  <si>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</si>
  <si>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</si>
  <si>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</si>
  <si>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</si>
  <si>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</si>
  <si>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</si>
  <si>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</si>
  <si>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</si>
  <si>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</si>
  <si>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</si>
  <si>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</si>
  <si>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</si>
  <si>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</si>
  <si>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</si>
  <si>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</si>
  <si>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</si>
  <si>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</si>
  <si>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</si>
  <si>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</si>
  <si>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</si>
  <si>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</si>
  <si>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</si>
  <si>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</si>
  <si>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</si>
  <si>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</si>
  <si>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</si>
  <si>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</si>
  <si>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</si>
  <si>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</si>
  <si>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</si>
  <si>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</si>
  <si>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</si>
  <si>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</si>
  <si>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</si>
  <si>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</si>
  <si>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</si>
  <si>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</si>
  <si>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</si>
  <si>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</si>
  <si>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</si>
  <si>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</si>
  <si>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</si>
  <si>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</si>
  <si>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</si>
  <si>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</si>
  <si>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</si>
  <si>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</si>
  <si>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</si>
  <si>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</si>
  <si>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</si>
  <si>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</si>
  <si>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</si>
  <si>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</si>
  <si>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</si>
  <si>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</si>
  <si>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</si>
  <si>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</si>
  <si>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</si>
  <si>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</si>
  <si>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</si>
  <si>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</si>
  <si>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</si>
  <si>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</si>
  <si>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</si>
  <si>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</si>
  <si>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</si>
  <si>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</si>
  <si>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</si>
  <si>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</si>
  <si>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</si>
  <si>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</si>
  <si>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</si>
  <si>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</si>
  <si>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</si>
  <si>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</si>
  <si>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</si>
  <si>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</si>
  <si>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</si>
  <si>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</si>
  <si>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</si>
  <si>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</si>
  <si>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</si>
  <si>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</si>
  <si>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</si>
  <si>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</si>
  <si>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</si>
  <si>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</si>
  <si>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</si>
  <si>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</si>
  <si>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</si>
  <si>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</si>
  <si>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</si>
  <si>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</si>
  <si>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</si>
  <si>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</si>
  <si>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</si>
  <si>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</si>
  <si>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</si>
  <si>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</si>
  <si>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</si>
  <si>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</si>
  <si>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</si>
  <si>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</si>
  <si>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</si>
  <si>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</si>
  <si>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</si>
  <si>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</si>
  <si>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</si>
  <si>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</si>
  <si>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</si>
  <si>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</si>
  <si>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</si>
  <si>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</si>
  <si>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</si>
  <si>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</si>
  <si>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</si>
  <si>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</si>
  <si>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</si>
  <si>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</si>
  <si>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</si>
  <si>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</si>
  <si>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</si>
  <si>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</si>
  <si>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</si>
  <si>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</si>
  <si>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</si>
  <si>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</si>
  <si>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</si>
  <si>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</si>
  <si>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</si>
  <si>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</si>
  <si>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</si>
  <si>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</si>
  <si>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</si>
  <si>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</si>
  <si>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</si>
  <si>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</si>
  <si>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</si>
  <si>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</si>
  <si>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</si>
  <si>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</si>
  <si>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</si>
  <si>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</si>
  <si>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</si>
  <si>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</si>
  <si>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</si>
  <si>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</si>
  <si>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</si>
  <si>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</si>
  <si>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</si>
  <si>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</si>
  <si>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</si>
  <si>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</si>
  <si>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</si>
  <si>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</si>
  <si>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</si>
  <si>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</si>
  <si>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</si>
  <si>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</si>
  <si>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</si>
  <si>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</si>
  <si>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</si>
  <si>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</si>
  <si>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</si>
  <si>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</si>
  <si>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</si>
  <si>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</si>
  <si>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</si>
  <si>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</si>
  <si>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</si>
  <si>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</si>
  <si>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</si>
  <si>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</si>
  <si>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</si>
  <si>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</si>
  <si>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</si>
  <si>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</si>
  <si>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</si>
  <si>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</si>
  <si>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</si>
  <si>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</si>
  <si>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</si>
  <si>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</si>
  <si>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</si>
  <si>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</si>
  <si>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</si>
  <si>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</si>
  <si>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</si>
  <si>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</si>
  <si>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</si>
  <si>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</si>
  <si>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</si>
  <si>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</si>
  <si>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</si>
  <si>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</si>
  <si>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</si>
  <si>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</si>
  <si>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</si>
  <si>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</si>
  <si>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</si>
  <si>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</si>
  <si>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</si>
  <si>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</si>
  <si>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</si>
  <si>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</si>
  <si>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</si>
  <si>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</si>
  <si>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</si>
  <si>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</si>
  <si>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</si>
  <si>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</si>
  <si>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</si>
  <si>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</si>
  <si>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</si>
  <si>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</si>
  <si>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</si>
  <si>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</si>
  <si>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</si>
  <si>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</si>
  <si>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</si>
  <si>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</si>
  <si>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</si>
  <si>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</si>
  <si>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</si>
  <si>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</si>
  <si>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</si>
  <si>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</si>
  <si>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</si>
  <si>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</si>
  <si>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</si>
  <si>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</si>
  <si>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</si>
  <si>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</si>
  <si>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</si>
  <si>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</si>
  <si>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</si>
  <si>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</si>
  <si>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</si>
  <si>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</si>
  <si>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</si>
  <si>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</si>
  <si>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</si>
  <si>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</si>
  <si>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</si>
  <si>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</si>
  <si>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</si>
  <si>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</si>
  <si>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</si>
  <si>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</si>
  <si>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</si>
  <si>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</si>
  <si>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</si>
  <si>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</si>
  <si>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</si>
  <si>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</si>
  <si>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</si>
  <si>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</si>
  <si>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</si>
  <si>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</si>
  <si>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</si>
  <si>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</si>
  <si>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</si>
  <si>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</si>
  <si>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</si>
  <si>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</si>
  <si>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</si>
  <si>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</si>
  <si>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</si>
  <si>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</si>
  <si>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</si>
  <si>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</si>
  <si>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</si>
  <si>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</si>
  <si>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</si>
  <si>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</si>
  <si>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</si>
  <si>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</si>
  <si>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</si>
  <si>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</si>
  <si>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</si>
  <si>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</si>
  <si>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</si>
  <si>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</si>
  <si>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</si>
  <si>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</si>
  <si>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</si>
  <si>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</si>
  <si>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</si>
  <si>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</si>
  <si>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</si>
  <si>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</si>
  <si>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</si>
  <si>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</si>
  <si>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</si>
  <si>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</si>
  <si>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</si>
  <si>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</si>
  <si>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</si>
  <si>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</si>
  <si>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</si>
  <si>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</si>
  <si>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</si>
  <si>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</si>
  <si>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</si>
  <si>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</si>
  <si>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</si>
  <si>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</si>
  <si>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</si>
  <si>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</si>
  <si>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</si>
  <si>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</si>
  <si>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</si>
  <si>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</si>
  <si>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</si>
  <si>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</si>
  <si>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</si>
  <si>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</si>
  <si>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</si>
  <si>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</si>
  <si>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</si>
  <si>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</si>
  <si>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</si>
  <si>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</si>
  <si>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</si>
  <si>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</si>
  <si>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</si>
  <si>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</si>
  <si>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</si>
  <si>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</si>
  <si>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</si>
  <si>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</si>
  <si>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</si>
  <si>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</si>
  <si>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</si>
  <si>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</si>
  <si>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</si>
  <si>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</si>
  <si>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</si>
  <si>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</si>
  <si>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</si>
  <si>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</si>
  <si>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</si>
  <si>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</si>
  <si>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</si>
  <si>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</si>
  <si>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</si>
  <si>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</si>
  <si>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</si>
  <si>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</si>
  <si>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</si>
  <si>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</si>
  <si>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</si>
  <si>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</si>
  <si>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</si>
  <si>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</si>
  <si>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</si>
  <si>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</si>
  <si>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</si>
  <si>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</si>
  <si>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</si>
  <si>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</si>
  <si>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</si>
  <si>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</si>
  <si>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</si>
  <si>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</si>
  <si>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</si>
  <si>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</si>
  <si>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</si>
  <si>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</si>
  <si>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</si>
  <si>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</si>
  <si>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</si>
  <si>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</si>
  <si>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</si>
  <si>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</si>
  <si>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</si>
  <si>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</si>
  <si>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</si>
  <si>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</si>
  <si>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</si>
  <si>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</si>
  <si>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</si>
  <si>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</si>
  <si>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</si>
  <si>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</si>
  <si>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</si>
  <si>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</si>
  <si>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</si>
  <si>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</si>
  <si>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</si>
  <si>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</si>
  <si>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</si>
  <si>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</si>
  <si>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</si>
  <si>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</si>
  <si>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</si>
  <si>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</si>
  <si>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</si>
  <si>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</si>
  <si>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</si>
  <si>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</si>
  <si>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</si>
  <si>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</si>
  <si>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</si>
  <si>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</si>
  <si>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</si>
  <si>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</si>
  <si>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</si>
  <si>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</si>
  <si>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</si>
  <si>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</si>
  <si>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</si>
  <si>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</si>
  <si>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</si>
  <si>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</si>
  <si>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</si>
  <si>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</si>
  <si>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</si>
  <si>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</si>
  <si>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</si>
  <si>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</si>
  <si>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</si>
  <si>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</si>
  <si>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</si>
  <si>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</si>
  <si>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</si>
  <si>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</si>
  <si>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</si>
  <si>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</si>
  <si>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</si>
  <si>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</si>
  <si>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</si>
  <si>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</si>
  <si>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</si>
  <si>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</si>
  <si>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</si>
  <si>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</si>
  <si>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</si>
  <si>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</si>
  <si>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</si>
  <si>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</si>
  <si>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</si>
  <si>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</si>
  <si>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</si>
  <si>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</si>
  <si>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</si>
  <si>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</si>
  <si>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</si>
  <si>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</si>
  <si>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</si>
  <si>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</si>
  <si>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</si>
  <si>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</si>
  <si>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</si>
  <si>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</si>
  <si>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</si>
  <si>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</si>
  <si>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</si>
  <si>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</si>
  <si>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</si>
  <si>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</si>
  <si>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</si>
  <si>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</si>
  <si>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</si>
  <si>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</si>
  <si>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</si>
  <si>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</si>
  <si>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</si>
  <si>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</si>
  <si>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</si>
  <si>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</si>
  <si>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BKD, LLP</t>
  </si>
  <si>
    <t>Heather Powell</t>
  </si>
  <si>
    <t>225 North Water Street, Suite 400</t>
  </si>
  <si>
    <t>Decatur</t>
  </si>
  <si>
    <t>IL</t>
  </si>
  <si>
    <t>217-429-2411</t>
  </si>
  <si>
    <t>217-429-6109</t>
  </si>
  <si>
    <t>066-003844</t>
  </si>
  <si>
    <t>Champaign</t>
  </si>
  <si>
    <t>205 North Race Street</t>
  </si>
  <si>
    <t xml:space="preserve">Urbana </t>
  </si>
  <si>
    <t>Jennifer Ivory-Tatum</t>
  </si>
  <si>
    <t>217-384-3600</t>
  </si>
  <si>
    <t>217-337-4973</t>
  </si>
  <si>
    <t>hpowell@bkd.com</t>
  </si>
  <si>
    <r>
      <t xml:space="preserve">The accompanying Schedule of Expenditures of Federal Awards includes the federal grant activity of </t>
    </r>
    <r>
      <rPr>
        <b/>
        <sz val="9"/>
        <rFont val="Calibri"/>
        <family val="2"/>
        <scheme val="minor"/>
      </rPr>
      <t>Urbana School District No.116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</si>
  <si>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t>None</t>
  </si>
  <si>
    <r>
      <t xml:space="preserve">The following amounts were expended in the form of non-cash assistance by </t>
    </r>
    <r>
      <rPr>
        <b/>
        <sz val="9"/>
        <rFont val="Calibri"/>
        <family val="2"/>
        <scheme val="minor"/>
      </rPr>
      <t>Urbana School District No. 116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</si>
  <si>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Agriculture</t>
  </si>
  <si>
    <t>Passed Through Illinois State Board of Education</t>
  </si>
  <si>
    <t>Food Distribution - ISBE Lanter Commodities</t>
  </si>
  <si>
    <t>Food Distribution - DoD Fruits and Vegetables</t>
  </si>
  <si>
    <t>Federal School Lunch Program</t>
  </si>
  <si>
    <t xml:space="preserve">   Regular </t>
  </si>
  <si>
    <t xml:space="preserve">   Breakfast</t>
  </si>
  <si>
    <t>Total Child Nutrition Cluster</t>
  </si>
  <si>
    <t>Child and Adult Care Food Program</t>
  </si>
  <si>
    <t>NSLP Equipment Assistance Grant</t>
  </si>
  <si>
    <t>Total U.S Department of Agriculture</t>
  </si>
  <si>
    <t>N/A</t>
  </si>
  <si>
    <t>18-4210-00</t>
  </si>
  <si>
    <t>19-4210-00</t>
  </si>
  <si>
    <t>18-4220-00</t>
  </si>
  <si>
    <t>19-4220-00</t>
  </si>
  <si>
    <t>18-4226-00</t>
  </si>
  <si>
    <t>19-4226-00</t>
  </si>
  <si>
    <t>18-4260-00</t>
  </si>
  <si>
    <t>U.S. Department of Labor</t>
  </si>
  <si>
    <t>Passed Through Champaign Consortium WIA</t>
  </si>
  <si>
    <t xml:space="preserve">   WIA Youth Activities</t>
  </si>
  <si>
    <t xml:space="preserve">Total U.S. Department of Labor and WIA Cluster </t>
  </si>
  <si>
    <t>18-4537-00</t>
  </si>
  <si>
    <t>19-4537-00</t>
  </si>
  <si>
    <t>U.S. Department of Education</t>
  </si>
  <si>
    <t>Passed Through Illinois College Community Board</t>
  </si>
  <si>
    <t xml:space="preserve">   Adult Education State Grant Program</t>
  </si>
  <si>
    <t>84.002ANA</t>
  </si>
  <si>
    <t>18-4800-00</t>
  </si>
  <si>
    <t>19-4800-00</t>
  </si>
  <si>
    <t xml:space="preserve">   Title I - Low Income</t>
  </si>
  <si>
    <t xml:space="preserve">   Title I - Low Income - Neglected Priv</t>
  </si>
  <si>
    <t>84.010A</t>
  </si>
  <si>
    <t>18-4300-00</t>
  </si>
  <si>
    <t>19-4300-00</t>
  </si>
  <si>
    <t>18-4305-00</t>
  </si>
  <si>
    <t>19-4305-00</t>
  </si>
  <si>
    <t xml:space="preserve">   Special Education - IDEA Flow Through</t>
  </si>
  <si>
    <t xml:space="preserve">   Special Education - IDEA Room and Board</t>
  </si>
  <si>
    <t>Total Special Education (IDEA) Cluster</t>
  </si>
  <si>
    <t xml:space="preserve">    Special Education - Preschool Flow Through</t>
  </si>
  <si>
    <t xml:space="preserve">   Title I - Migrant Education</t>
  </si>
  <si>
    <t>84.011A</t>
  </si>
  <si>
    <t>84.173A</t>
  </si>
  <si>
    <t>84.027A</t>
  </si>
  <si>
    <t>18-4340-00</t>
  </si>
  <si>
    <t>19-4340-00</t>
  </si>
  <si>
    <t>18-4600-00</t>
  </si>
  <si>
    <t>19-4600-00</t>
  </si>
  <si>
    <t>18-4620-00</t>
  </si>
  <si>
    <t>19-4620-00</t>
  </si>
  <si>
    <t>18-4625-00</t>
  </si>
  <si>
    <t>19-4625-00</t>
  </si>
  <si>
    <t>Passed Through Illinois State Board of Education (continued)</t>
  </si>
  <si>
    <t xml:space="preserve">   Title III - Language Instruction Program</t>
  </si>
  <si>
    <t xml:space="preserve">   Title III - Immigrant Education Program (EIEP)</t>
  </si>
  <si>
    <t>84.365A</t>
  </si>
  <si>
    <t>18-4909-00</t>
  </si>
  <si>
    <t>19-4909-00</t>
  </si>
  <si>
    <t>18-4905-00</t>
  </si>
  <si>
    <t>Passed through Illinois State Board of Education (continued)</t>
  </si>
  <si>
    <t xml:space="preserve">   Title II - Teacher Quality</t>
  </si>
  <si>
    <t xml:space="preserve">   Title IV - 21st Century Comm Learning Centers</t>
  </si>
  <si>
    <t>Total U.S. Department of Education</t>
  </si>
  <si>
    <t>84.367A</t>
  </si>
  <si>
    <t>84.287C</t>
  </si>
  <si>
    <t>18-4932-00</t>
  </si>
  <si>
    <t>19-4932-00</t>
  </si>
  <si>
    <t>18-4421-00</t>
  </si>
  <si>
    <t>19-4421-00</t>
  </si>
  <si>
    <t>U.S. Department of Health and Human Services</t>
  </si>
  <si>
    <t>Passed Through Illinois Department of Healthcare and Family Services</t>
  </si>
  <si>
    <t xml:space="preserve">   Medicaid Cluster/Administrative Outreach</t>
  </si>
  <si>
    <t>Total Department of Health and Human Services</t>
  </si>
  <si>
    <t>Total Federal Awards</t>
  </si>
  <si>
    <t>19-4900-00</t>
  </si>
  <si>
    <t xml:space="preserve">   Title I - School Improvement and Accountability</t>
  </si>
  <si>
    <t>19-4331-00</t>
  </si>
  <si>
    <t>Series 2002</t>
  </si>
  <si>
    <t>Series 2010- Debt Certificates</t>
  </si>
  <si>
    <t>Series 2010A-D Taxable General Obligation Bonds</t>
  </si>
  <si>
    <t>Series 2011 General Obligation Bonds</t>
  </si>
  <si>
    <t>Series 2012 General Obligation Bonds</t>
  </si>
  <si>
    <t>Series 2016 General Obligation Limited Tax Bonds</t>
  </si>
  <si>
    <t>Series 2017 WA-B General Obligation Limited Tax Bonds</t>
  </si>
  <si>
    <t>Series 2019 General Obligation Limited Tax Bonds</t>
  </si>
  <si>
    <t>Refunding</t>
  </si>
  <si>
    <t>Funding</t>
  </si>
  <si>
    <t>Champaign, Tolono, Mahomet, St. Joseph, and Urbana</t>
  </si>
  <si>
    <t>Cash to accrual conversion</t>
  </si>
  <si>
    <t>Adverse (unqualified regulatory basis)</t>
  </si>
  <si>
    <t>Unmodified</t>
  </si>
  <si>
    <t>84.173A, 84.027A</t>
  </si>
  <si>
    <t>Special Education IDEA Cluster</t>
  </si>
  <si>
    <t>Title II - Improving Teacher Quality</t>
  </si>
  <si>
    <t>Page 5, Line 12 Education Fund and Tort Fund other assets of $153,471 and $264 are miscellaneous receivables.</t>
  </si>
  <si>
    <t>Page 11, Line 107, Education Fund, Other Revenue from Local Sources of $478,562 consists of City of Urbana ($94,644) , Print Shop</t>
  </si>
  <si>
    <t xml:space="preserve">Income ($23,610), At Risk Building Reimbursement ($24,952), United Way ($70,000),  Carle CNA ($44,941), ICCB Innovation ($86,393), </t>
  </si>
  <si>
    <t>and miscellaneous ($134,022 ).</t>
  </si>
  <si>
    <t xml:space="preserve">Page 11, Line 107 Capital Projects Fund, Other Revenue from Local Sources of $18,321 consists of miscellaneous income. </t>
  </si>
  <si>
    <t xml:space="preserve">Page 11, Line 107 O&amp;M Fund, Other Revenue from Local Sources of $74,444 consist of sale of property/equipment and miscellaneous.   </t>
  </si>
  <si>
    <t xml:space="preserve">Page 12, Line 171 Educational Fund, Other Restricted Revenues from State Sources of $319,095 consists of 18-3 Orphans Tuition ($215,521),  </t>
  </si>
  <si>
    <t>Health Community Grant ($100,575) and miscellaneous ($2,999).</t>
  </si>
  <si>
    <t xml:space="preserve">Page 14, Line 272 Educational Fund, Other Restricted Revenues from Federal Sources of $217,669 consists of e-rate refund ($1,652),  </t>
  </si>
  <si>
    <t>School Improvement and misc ($65,539) and WIA Youth Grant ($150,478).</t>
  </si>
  <si>
    <t xml:space="preserve">Page 15, Line 41 Educational Fund, Other Support Services - Pupils of $24,402 consists of HS Commencement ($4,468), U of I ($5,698), </t>
  </si>
  <si>
    <t>UHS Police ($12,188) and miscellaneous ($2,048).</t>
  </si>
  <si>
    <t xml:space="preserve">Page 16, Line 73 Educational Fund, Other Support Services - Central of $318,128 consists of 21st Century Grant ($87,185) and Mentoring ($210,583). </t>
  </si>
  <si>
    <t xml:space="preserve">Page 16, Line 83 Educational Fund, Payments to in-state govt units of $296,897 consists of loss on acquatic center ($210,605) and </t>
  </si>
  <si>
    <t>miscellaneous of ($86,292).</t>
  </si>
  <si>
    <t>Page 19, Line 237 IMRF Fund, Other Support Services - Pupils of $108 consists of IMRF expenses related to misc programs.</t>
  </si>
  <si>
    <t xml:space="preserve">Page 20, Line 278 IMRF Fund, Other Support Services - Central of $4,868 consists of IMRF expenses related to misc programs.  </t>
  </si>
  <si>
    <t xml:space="preserve">Page 25, Line 10, Special Education other receipts of $287,306 consists of Medicaid funds. </t>
  </si>
  <si>
    <t xml:space="preserve">Page 25, Line 22, Special Education other disbursements  of $348,865 consists of administrative outreach expenses. </t>
  </si>
  <si>
    <t>ED - Instruction  - Purch. Serv.</t>
  </si>
  <si>
    <t>10-1000-300</t>
  </si>
  <si>
    <t>ARO</t>
  </si>
  <si>
    <t>O&amp;M - Oper &amp; Maint - Purch. Serv.</t>
  </si>
  <si>
    <t>20-2540-300</t>
  </si>
  <si>
    <t>ESS</t>
  </si>
  <si>
    <t>ED - Oper &amp; Maint - Purch. Serv.</t>
  </si>
  <si>
    <t>15-2200-300</t>
  </si>
  <si>
    <t>80-2300-500</t>
  </si>
  <si>
    <t>ED - Food Services - Purch. Serv.</t>
  </si>
  <si>
    <t>10-2560-3290</t>
  </si>
  <si>
    <t>Aramark</t>
  </si>
  <si>
    <t>10-2540-3220</t>
  </si>
  <si>
    <t>Republic Services</t>
  </si>
  <si>
    <t>TRANSP - Pupil Transp. Serv. - Purch. Serv.</t>
  </si>
  <si>
    <t>40-2550-3300</t>
  </si>
  <si>
    <t>First Student</t>
  </si>
  <si>
    <t>20-2540-3220</t>
  </si>
  <si>
    <r>
      <t xml:space="preserve">Of the federal expenditures presented in the schedule, </t>
    </r>
    <r>
      <rPr>
        <b/>
        <sz val="9"/>
        <rFont val="Calibri"/>
        <family val="2"/>
        <scheme val="minor"/>
      </rPr>
      <t xml:space="preserve">Urbana School District No. 116 </t>
    </r>
    <r>
      <rPr>
        <sz val="9"/>
        <rFont val="Calibri"/>
        <family val="2"/>
        <scheme val="minor"/>
      </rPr>
      <t>provided federal awards to subrecipients as follows:</t>
    </r>
  </si>
  <si>
    <t xml:space="preserve">Part A, Item I - Sixteen individuals had not filed economic interest statements by May 1.
Part C, Item 23 - Adverse opinion given as the financial statements are not presented in conformity with accounting principles generally accepted in the United States of America.  However, an opinion is issued on the basis of accounting described in the notes to this report.  </t>
  </si>
  <si>
    <t>Urbana 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</si>
</sst>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8" fontId="1" fillId="0" borderId="157" xfId="17" applyNumberFormat="1" applyFont="1" applyBorder="1" applyAlignment="1" applyProtection="1">
      <alignment horizontal="right" vertical="top"/>
      <protection locked="0"/>
    </xf>
    <xf numFmtId="17" fontId="6" fillId="0" borderId="157" xfId="17" applyNumberForma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32" fillId="0" borderId="147" xfId="2" applyNumberForma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hpowell@bkd.com"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6" t="s">
        <v>404</v>
      </c>
      <c r="J1" s="1987"/>
      <c r="K1" s="1987"/>
      <c r="L1" s="1987"/>
      <c r="M1" s="1987"/>
      <c r="N1" s="1987"/>
      <c r="O1" s="1987"/>
      <c r="P1" s="1987"/>
      <c r="Q1" s="1987"/>
      <c r="R1" s="1987"/>
      <c r="S1" s="1987"/>
    </row>
    <row r="2" spans="1:28" ht="12" customHeight="1" x14ac:dyDescent="0.2">
      <c r="A2" s="47" t="s">
        <v>1988</v>
      </c>
      <c r="D2" s="48"/>
      <c r="I2" s="1988" t="s">
        <v>978</v>
      </c>
      <c r="J2" s="1987"/>
      <c r="K2" s="1987"/>
      <c r="L2" s="1987"/>
      <c r="M2" s="1987"/>
      <c r="N2" s="1987"/>
      <c r="O2" s="1987"/>
      <c r="P2" s="1987"/>
      <c r="Q2" s="1987"/>
      <c r="R2" s="1987"/>
      <c r="S2" s="1987"/>
    </row>
    <row r="3" spans="1:28" ht="12" customHeight="1" x14ac:dyDescent="0.2">
      <c r="A3" s="155" t="s">
        <v>1940</v>
      </c>
      <c r="B3" s="156"/>
      <c r="C3" s="156"/>
      <c r="D3" s="157"/>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4" t="s">
        <v>2060</v>
      </c>
      <c r="C5" s="26" t="s">
        <v>909</v>
      </c>
      <c r="D5" s="84"/>
      <c r="E5" s="84"/>
      <c r="H5" s="38"/>
      <c r="I5" s="1996" t="s">
        <v>679</v>
      </c>
      <c r="J5" s="1995"/>
      <c r="K5" s="1995"/>
      <c r="L5" s="1995"/>
      <c r="M5" s="1995"/>
      <c r="N5" s="1995"/>
      <c r="O5" s="1995"/>
      <c r="P5" s="1995"/>
      <c r="Q5" s="1995"/>
      <c r="R5" s="1995"/>
      <c r="S5" s="1995"/>
    </row>
    <row r="6" spans="1:28" ht="14.1" customHeight="1" x14ac:dyDescent="0.2">
      <c r="B6" s="104"/>
      <c r="C6" s="26" t="s">
        <v>910</v>
      </c>
      <c r="D6" s="84"/>
      <c r="E6" s="84"/>
      <c r="I6" s="1994" t="s">
        <v>882</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2007" t="s">
        <v>532</v>
      </c>
      <c r="U9" s="2008"/>
      <c r="V9" s="2008"/>
      <c r="W9" s="2008"/>
      <c r="X9" s="2008"/>
      <c r="Y9" s="2008"/>
      <c r="Z9" s="2008"/>
      <c r="AA9" s="2009"/>
    </row>
    <row r="10" spans="1:28" ht="13.5" customHeight="1" x14ac:dyDescent="0.2">
      <c r="A10" s="2014" t="s">
        <v>674</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954</v>
      </c>
      <c r="B11" s="2018"/>
      <c r="C11" s="2018"/>
      <c r="D11" s="2018"/>
      <c r="E11" s="2018"/>
      <c r="F11" s="2018"/>
      <c r="G11" s="2018"/>
      <c r="H11" s="2019"/>
      <c r="I11" s="27"/>
      <c r="J11" s="74"/>
      <c r="K11" s="27"/>
      <c r="O11" s="148"/>
      <c r="P11" s="100" t="s">
        <v>201</v>
      </c>
      <c r="Q11" s="30"/>
      <c r="R11" s="28"/>
      <c r="S11" s="27"/>
      <c r="T11" s="2011"/>
      <c r="U11" s="2012"/>
      <c r="V11" s="2012"/>
      <c r="W11" s="2012"/>
      <c r="X11" s="2012"/>
      <c r="Y11" s="2012"/>
      <c r="Z11" s="2012"/>
      <c r="AA11" s="2013"/>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21">
        <v>9010116022</v>
      </c>
      <c r="B13" s="2022"/>
      <c r="C13" s="2022"/>
      <c r="D13" s="2022"/>
      <c r="E13" s="2022"/>
      <c r="F13" s="2022"/>
      <c r="G13" s="2022"/>
      <c r="H13" s="2023"/>
      <c r="I13" s="31"/>
      <c r="J13" s="30"/>
      <c r="K13" s="28"/>
      <c r="L13" s="30"/>
      <c r="M13" s="30"/>
      <c r="N13" s="30"/>
      <c r="O13" s="30"/>
      <c r="P13" s="30"/>
      <c r="Q13" s="30"/>
      <c r="R13" s="30"/>
      <c r="S13" s="30"/>
      <c r="T13" s="2026" t="s">
        <v>2061</v>
      </c>
      <c r="U13" s="2027"/>
      <c r="V13" s="2027"/>
      <c r="W13" s="2027"/>
      <c r="X13" s="2027"/>
      <c r="Y13" s="2028"/>
      <c r="Z13" s="2028"/>
      <c r="AA13" s="202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0" t="s">
        <v>2069</v>
      </c>
      <c r="B15" s="2024"/>
      <c r="C15" s="2024"/>
      <c r="D15" s="2024"/>
      <c r="E15" s="2024"/>
      <c r="F15" s="2024"/>
      <c r="G15" s="2024"/>
      <c r="H15" s="2025"/>
      <c r="T15" s="2030" t="s">
        <v>2062</v>
      </c>
      <c r="U15" s="1974"/>
      <c r="V15" s="1974"/>
      <c r="W15" s="1974"/>
      <c r="X15" s="1974"/>
      <c r="Y15" s="2031"/>
      <c r="Z15" s="2031"/>
      <c r="AA15" s="203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2214</v>
      </c>
      <c r="B17" s="1981"/>
      <c r="C17" s="1981"/>
      <c r="D17" s="1981"/>
      <c r="E17" s="1981"/>
      <c r="F17" s="1981"/>
      <c r="G17" s="1981"/>
      <c r="H17" s="2006"/>
      <c r="T17" s="2037" t="s">
        <v>2063</v>
      </c>
      <c r="U17" s="2038"/>
      <c r="V17" s="2038"/>
      <c r="W17" s="2038"/>
      <c r="X17" s="2038"/>
      <c r="Y17" s="2038"/>
      <c r="Z17" s="2038"/>
      <c r="AA17" s="2039"/>
    </row>
    <row r="18" spans="1:27" ht="13.5" customHeight="1" x14ac:dyDescent="0.2">
      <c r="A18" s="85" t="s">
        <v>529</v>
      </c>
      <c r="B18" s="76"/>
      <c r="C18" s="72"/>
      <c r="D18" s="76"/>
      <c r="E18" s="76"/>
      <c r="F18" s="76"/>
      <c r="G18" s="76"/>
      <c r="H18" s="56"/>
      <c r="I18" s="2005" t="s">
        <v>675</v>
      </c>
      <c r="J18" s="1956"/>
      <c r="K18" s="1956"/>
      <c r="L18" s="1956"/>
      <c r="M18" s="1956"/>
      <c r="N18" s="1956"/>
      <c r="O18" s="1956"/>
      <c r="P18" s="1956"/>
      <c r="Q18" s="1956"/>
      <c r="R18" s="1956"/>
      <c r="S18" s="1957"/>
      <c r="T18" s="85" t="s">
        <v>710</v>
      </c>
      <c r="U18" s="51"/>
      <c r="V18" s="72"/>
      <c r="W18" s="50"/>
      <c r="X18" s="85" t="s">
        <v>265</v>
      </c>
      <c r="Y18" s="81"/>
      <c r="Z18" s="159" t="s">
        <v>676</v>
      </c>
      <c r="AA18" s="46"/>
    </row>
    <row r="19" spans="1:27" ht="13.5" customHeight="1" x14ac:dyDescent="0.2">
      <c r="A19" s="2020" t="s">
        <v>2070</v>
      </c>
      <c r="B19" s="1966"/>
      <c r="C19" s="1966"/>
      <c r="D19" s="1966"/>
      <c r="E19" s="1966"/>
      <c r="F19" s="1966"/>
      <c r="G19" s="1966"/>
      <c r="H19" s="1946"/>
      <c r="I19" s="30"/>
      <c r="J19" s="99"/>
      <c r="K19" s="40"/>
      <c r="L19" s="38"/>
      <c r="M19" s="112" t="s">
        <v>314</v>
      </c>
      <c r="P19" s="27"/>
      <c r="Q19" s="27"/>
      <c r="R19" s="27"/>
      <c r="S19" s="31"/>
      <c r="T19" s="2020" t="s">
        <v>2064</v>
      </c>
      <c r="U19" s="1945"/>
      <c r="V19" s="1945"/>
      <c r="W19" s="1946"/>
      <c r="X19" s="2035" t="s">
        <v>2065</v>
      </c>
      <c r="Y19" s="2036"/>
      <c r="Z19" s="2033">
        <v>62523</v>
      </c>
      <c r="AA19" s="203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4" t="s">
        <v>2071</v>
      </c>
      <c r="B21" s="1945"/>
      <c r="C21" s="1945"/>
      <c r="D21" s="1945"/>
      <c r="E21" s="1945"/>
      <c r="F21" s="1945"/>
      <c r="G21" s="1945"/>
      <c r="H21" s="1946"/>
      <c r="I21" s="2000" t="s">
        <v>677</v>
      </c>
      <c r="J21" s="1995"/>
      <c r="K21" s="1995"/>
      <c r="L21" s="1995"/>
      <c r="M21" s="1995"/>
      <c r="N21" s="1995"/>
      <c r="O21" s="1995"/>
      <c r="P21" s="1995"/>
      <c r="Q21" s="1995"/>
      <c r="R21" s="1995"/>
      <c r="S21" s="2001"/>
      <c r="T21" s="2044" t="s">
        <v>2066</v>
      </c>
      <c r="U21" s="2045"/>
      <c r="V21" s="2045"/>
      <c r="W21" s="2045"/>
      <c r="X21" s="2050" t="s">
        <v>2067</v>
      </c>
      <c r="Y21" s="2051"/>
      <c r="Z21" s="2051"/>
      <c r="AA21" s="2052"/>
    </row>
    <row r="22" spans="1:27" ht="13.5" customHeight="1" x14ac:dyDescent="0.2">
      <c r="A22" s="87" t="s">
        <v>530</v>
      </c>
      <c r="B22" s="59"/>
      <c r="C22" s="59"/>
      <c r="D22" s="59"/>
      <c r="E22" s="59"/>
      <c r="F22" s="59"/>
      <c r="G22" s="59"/>
      <c r="H22" s="60"/>
      <c r="I22" s="2002" t="s">
        <v>1428</v>
      </c>
      <c r="J22" s="2003"/>
      <c r="K22" s="2003"/>
      <c r="L22" s="2003"/>
      <c r="M22" s="2003"/>
      <c r="N22" s="2003"/>
      <c r="O22" s="2003"/>
      <c r="P22" s="2003"/>
      <c r="Q22" s="2003"/>
      <c r="R22" s="2003"/>
      <c r="S22" s="2004"/>
      <c r="T22" s="85" t="s">
        <v>1515</v>
      </c>
      <c r="U22" s="51"/>
      <c r="V22" s="72"/>
      <c r="W22" s="51"/>
      <c r="X22" s="160" t="s">
        <v>1317</v>
      </c>
      <c r="Z22" s="45"/>
      <c r="AA22" s="46"/>
    </row>
    <row r="23" spans="1:27" ht="13.5" customHeight="1" x14ac:dyDescent="0.2">
      <c r="A23" s="1997"/>
      <c r="B23" s="1998"/>
      <c r="C23" s="1998"/>
      <c r="D23" s="1998"/>
      <c r="E23" s="1998"/>
      <c r="F23" s="1998"/>
      <c r="G23" s="1998"/>
      <c r="H23" s="1999"/>
      <c r="T23" s="1980" t="s">
        <v>2068</v>
      </c>
      <c r="U23" s="2043"/>
      <c r="V23" s="2043"/>
      <c r="W23" s="2043"/>
      <c r="X23" s="2047">
        <v>44530</v>
      </c>
      <c r="Y23" s="2048"/>
      <c r="Z23" s="2048"/>
      <c r="AA23" s="2049"/>
    </row>
    <row r="24" spans="1:27" ht="14.1" customHeight="1" x14ac:dyDescent="0.2">
      <c r="A24" s="88" t="s">
        <v>676</v>
      </c>
      <c r="B24" s="49"/>
      <c r="C24" s="49"/>
      <c r="D24" s="49"/>
      <c r="E24" s="49"/>
      <c r="F24" s="49"/>
      <c r="G24" s="49"/>
      <c r="H24" s="61"/>
      <c r="J24" s="1967" t="str">
        <f>IF(B5="x",IF(AUDITCHECK!D29="AFR form Incomplete.","",IF(AUDITCHECK!D29="Deficit reduction plan is required.","School District must complete a deficit reduction plan in the 2019-2020 Budget",)),"")</f>
        <v>School District must complete a deficit reduction plan in the 2019-2020 Budget</v>
      </c>
      <c r="K24" s="1967"/>
      <c r="L24" s="1967"/>
      <c r="M24" s="1967"/>
      <c r="N24" s="1967"/>
      <c r="O24" s="1967"/>
      <c r="P24" s="1967"/>
      <c r="Q24" s="1967"/>
      <c r="R24" s="1967"/>
      <c r="S24" s="1968"/>
      <c r="T24" s="105" t="s">
        <v>530</v>
      </c>
      <c r="U24" s="106"/>
      <c r="V24" s="106"/>
      <c r="W24" s="106"/>
      <c r="X24" s="107"/>
      <c r="Y24" s="107"/>
      <c r="Z24" s="107"/>
      <c r="AA24" s="108"/>
    </row>
    <row r="25" spans="1:27" ht="14.1" customHeight="1" x14ac:dyDescent="0.2">
      <c r="A25" s="1944">
        <v>61801</v>
      </c>
      <c r="B25" s="1945"/>
      <c r="C25" s="1945"/>
      <c r="D25" s="1945"/>
      <c r="E25" s="1945"/>
      <c r="F25" s="1945"/>
      <c r="G25" s="1945"/>
      <c r="H25" s="1946"/>
      <c r="I25" s="113"/>
      <c r="J25" s="1969"/>
      <c r="K25" s="1969"/>
      <c r="L25" s="1969"/>
      <c r="M25" s="1969"/>
      <c r="N25" s="1969"/>
      <c r="O25" s="1969"/>
      <c r="P25" s="1969"/>
      <c r="Q25" s="1969"/>
      <c r="R25" s="1969"/>
      <c r="S25" s="1970"/>
      <c r="T25" s="2040"/>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5" t="s">
        <v>1510</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0" t="s">
        <v>2072</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530</v>
      </c>
      <c r="B39" s="1951"/>
      <c r="C39" s="72"/>
      <c r="D39" s="69"/>
      <c r="E39" s="69"/>
      <c r="F39" s="79"/>
      <c r="G39" s="69"/>
      <c r="H39" s="56"/>
      <c r="I39" s="1950" t="s">
        <v>530</v>
      </c>
      <c r="J39" s="1951"/>
      <c r="K39" s="1951"/>
      <c r="L39" s="1951"/>
      <c r="M39" s="1951"/>
      <c r="N39" s="67"/>
      <c r="O39" s="72"/>
      <c r="P39" s="72"/>
      <c r="Q39" s="78"/>
      <c r="R39" s="72"/>
      <c r="S39" s="56"/>
      <c r="T39" s="72" t="s">
        <v>530</v>
      </c>
      <c r="U39" s="51"/>
      <c r="V39" s="72"/>
      <c r="W39" s="50"/>
      <c r="X39" s="78"/>
      <c r="Y39" s="45"/>
      <c r="Z39" s="45"/>
      <c r="AA39" s="46"/>
    </row>
    <row r="40" spans="1:27" ht="13.5" customHeight="1" x14ac:dyDescent="0.2">
      <c r="A40" s="1958"/>
      <c r="B40" s="1959"/>
      <c r="C40" s="1960"/>
      <c r="D40" s="1960"/>
      <c r="E40" s="1960"/>
      <c r="F40" s="1961"/>
      <c r="G40" s="1961"/>
      <c r="H40" s="1962"/>
      <c r="I40" s="1983"/>
      <c r="J40" s="1984"/>
      <c r="K40" s="1984"/>
      <c r="L40" s="1984"/>
      <c r="M40" s="1984"/>
      <c r="N40" s="1984"/>
      <c r="O40" s="1984"/>
      <c r="P40" s="1984"/>
      <c r="Q40" s="1984"/>
      <c r="R40" s="1984"/>
      <c r="S40" s="1985"/>
      <c r="T40" s="1983"/>
      <c r="U40" s="2046"/>
      <c r="V40" s="1984"/>
      <c r="W40" s="1984"/>
      <c r="X40" s="1984"/>
      <c r="Y40" s="1984"/>
      <c r="Z40" s="1984"/>
      <c r="AA40" s="198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2" t="s">
        <v>2073</v>
      </c>
      <c r="B42" s="1964"/>
      <c r="C42" s="1965"/>
      <c r="D42" s="1963" t="s">
        <v>2074</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6" t="s">
        <v>1610</v>
      </c>
    </row>
    <row r="23" spans="1:5" x14ac:dyDescent="0.2">
      <c r="A23" s="168"/>
      <c r="B23" s="162" t="s">
        <v>1852</v>
      </c>
      <c r="D23" s="167" t="s">
        <v>636</v>
      </c>
      <c r="E23" s="1836"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6" t="s">
        <v>1064</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690</v>
      </c>
      <c r="B40" s="2053"/>
      <c r="C40" s="2053"/>
      <c r="D40" s="2053"/>
      <c r="E40" s="2053"/>
    </row>
    <row r="41" spans="1:5" x14ac:dyDescent="0.2">
      <c r="A41" s="2054" t="s">
        <v>1607</v>
      </c>
      <c r="B41" s="2054"/>
      <c r="C41" s="2054"/>
      <c r="D41" s="2054"/>
      <c r="E41" s="2054"/>
    </row>
    <row r="42" spans="1:5" ht="12.75" customHeight="1" x14ac:dyDescent="0.2">
      <c r="A42" s="2055" t="s">
        <v>1021</v>
      </c>
      <c r="B42" s="2055"/>
      <c r="C42" s="2055"/>
      <c r="D42" s="2055"/>
      <c r="E42" s="2055"/>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7" colorId="8" zoomScale="110" zoomScaleNormal="110" workbookViewId="0">
      <selection activeCell="G52" sqref="G5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1167</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2060</v>
      </c>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1" t="s">
        <v>1632</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312</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35370</v>
      </c>
      <c r="I53" s="237" t="s">
        <v>1482</v>
      </c>
    </row>
    <row r="54" spans="1:10" s="181" customFormat="1" x14ac:dyDescent="0.2">
      <c r="A54" s="219"/>
      <c r="B54" s="220" t="s">
        <v>2060</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2213</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1322</v>
      </c>
      <c r="B70" s="2074"/>
      <c r="C70" s="2074"/>
      <c r="D70" s="2074"/>
      <c r="E70" s="2075"/>
      <c r="F70" s="2075"/>
      <c r="G70" s="2075"/>
      <c r="H70" s="2075"/>
      <c r="I70" s="207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1319</v>
      </c>
      <c r="B83" s="2076"/>
      <c r="C83" s="2076"/>
      <c r="D83" s="207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2061</v>
      </c>
      <c r="D114" s="206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1329</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1901</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J25" sqref="J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385</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676821684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3.8219999999999997E-2</v>
      </c>
      <c r="E10" s="356" t="s">
        <v>1004</v>
      </c>
      <c r="F10" s="355">
        <v>6.0650000000000001E-3</v>
      </c>
      <c r="G10" s="356" t="s">
        <v>1004</v>
      </c>
      <c r="H10" s="355">
        <v>2.3900000000000002E-3</v>
      </c>
      <c r="I10" s="356" t="s">
        <v>1005</v>
      </c>
      <c r="J10" s="1732">
        <f>ROUND(D10+F10+H10,5)</f>
        <v>4.6679999999999999E-2</v>
      </c>
      <c r="K10" s="222"/>
      <c r="L10" s="355">
        <v>1.9999999999999999E-6</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55930493</v>
      </c>
      <c r="E16" s="356"/>
      <c r="F16" s="1733">
        <f>SUM('Acct Summary 7-8'!C17,'Acct Summary 7-8'!D17,'Acct Summary 7-8'!F17)</f>
        <v>62072321</v>
      </c>
      <c r="G16" s="356"/>
      <c r="H16" s="1733">
        <f>SUM(D16-F16)</f>
        <v>-6141828</v>
      </c>
      <c r="I16" s="222"/>
      <c r="J16" s="1733">
        <f>SUM('Acct Summary 7-8'!C81,'Acct Summary 7-8'!D81,'Acct Summary 7-8'!F81,'Acct Summary 7-8'!I81)</f>
        <v>14893729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93401392.392000005</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35826000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33" sqref="H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555</v>
      </c>
      <c r="B2" s="2106"/>
      <c r="C2" s="2106"/>
      <c r="D2" s="2106"/>
      <c r="E2" s="2106"/>
      <c r="F2" s="2106"/>
      <c r="G2" s="2106"/>
      <c r="H2" s="2106"/>
      <c r="I2" s="2106"/>
      <c r="J2" s="2106"/>
      <c r="K2" s="2106"/>
      <c r="L2" s="2106"/>
      <c r="M2" s="2106"/>
      <c r="N2" s="2106"/>
      <c r="O2" s="2106"/>
      <c r="P2" s="2106"/>
      <c r="Q2" s="2106"/>
      <c r="R2" s="2106"/>
    </row>
    <row r="3" spans="1:18" ht="12.75" x14ac:dyDescent="0.2">
      <c r="A3" s="2107" t="s">
        <v>1412</v>
      </c>
      <c r="B3" s="2107"/>
      <c r="C3" s="2107"/>
      <c r="D3" s="2107"/>
      <c r="E3" s="2107"/>
      <c r="F3" s="2107"/>
      <c r="G3" s="2107"/>
      <c r="H3" s="2107"/>
      <c r="I3" s="2107"/>
      <c r="J3" s="2107"/>
      <c r="K3" s="2107"/>
      <c r="L3" s="2107"/>
      <c r="M3" s="2107"/>
      <c r="N3" s="2107"/>
      <c r="O3" s="2107"/>
      <c r="P3" s="2107"/>
      <c r="Q3" s="2107"/>
      <c r="R3" s="2107"/>
    </row>
    <row r="4" spans="1:18" x14ac:dyDescent="0.2">
      <c r="A4" s="2108" t="s">
        <v>1553</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Urbana SD 116</v>
      </c>
      <c r="E7" s="391"/>
      <c r="G7" s="252"/>
      <c r="H7" s="387"/>
      <c r="I7" s="387"/>
      <c r="J7" s="387"/>
      <c r="K7" s="387"/>
      <c r="L7" s="329"/>
      <c r="M7" s="329"/>
      <c r="N7" s="329"/>
      <c r="O7" s="329"/>
      <c r="P7" s="329"/>
    </row>
    <row r="8" spans="1:18" ht="12.75" x14ac:dyDescent="0.2">
      <c r="A8" s="329"/>
      <c r="B8" s="329"/>
      <c r="C8" s="389" t="s">
        <v>1124</v>
      </c>
      <c r="D8" s="392">
        <f>COVER!A13</f>
        <v>9010116022</v>
      </c>
      <c r="E8" s="393"/>
      <c r="G8" s="329"/>
      <c r="H8" s="329"/>
      <c r="I8" s="329"/>
      <c r="J8" s="329"/>
      <c r="K8" s="329"/>
      <c r="L8" s="329"/>
      <c r="M8" s="329"/>
      <c r="N8" s="329"/>
      <c r="O8" s="329"/>
      <c r="P8" s="329"/>
    </row>
    <row r="9" spans="1:18" ht="12.75" x14ac:dyDescent="0.2">
      <c r="A9" s="329"/>
      <c r="B9" s="329"/>
      <c r="C9" s="389" t="s">
        <v>712</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14489131</v>
      </c>
      <c r="I12" s="404"/>
      <c r="J12" s="404"/>
      <c r="K12" s="405">
        <f>TRUNC((H12/H13*100000),5)/100000</f>
        <v>0.25905602150000001</v>
      </c>
      <c r="L12" s="406"/>
      <c r="M12" s="360" t="s">
        <v>1143</v>
      </c>
      <c r="N12" s="360"/>
      <c r="O12" s="407">
        <v>0.35</v>
      </c>
      <c r="P12" s="218"/>
      <c r="Q12" s="218"/>
    </row>
    <row r="13" spans="1:18" s="408" customFormat="1" ht="12.75" x14ac:dyDescent="0.2">
      <c r="A13" s="218"/>
      <c r="B13" s="401"/>
      <c r="C13" s="2104" t="s">
        <v>1323</v>
      </c>
      <c r="D13" s="2105"/>
      <c r="E13" s="218"/>
      <c r="F13" s="409" t="s">
        <v>792</v>
      </c>
      <c r="G13" s="402"/>
      <c r="H13" s="403">
        <f>SUM('Acct Summary 7-8'!C8+'Acct Summary 7-8'!D8+'Acct Summary 7-8'!F8+'Acct Summary 7-8'!I8)+H14</f>
        <v>55930493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2</v>
      </c>
      <c r="P16" s="216"/>
      <c r="R16" s="384"/>
    </row>
    <row r="17" spans="1:18" s="408" customFormat="1" ht="11.25" x14ac:dyDescent="0.2">
      <c r="A17" s="218"/>
      <c r="B17" s="401"/>
      <c r="C17" s="218" t="s">
        <v>796</v>
      </c>
      <c r="D17" s="218"/>
      <c r="E17" s="218"/>
      <c r="F17" s="218" t="s">
        <v>443</v>
      </c>
      <c r="G17" s="402"/>
      <c r="H17" s="403">
        <f>SUM('Acct Summary 7-8'!C17+'Acct Summary 7-8'!D17+'Acct Summary 7-8'!F17)</f>
        <v>62072321</v>
      </c>
      <c r="I17" s="404"/>
      <c r="J17" s="416"/>
      <c r="K17" s="405">
        <f>TRUNC((H17/H18*100000),5)/100000</f>
        <v>1.109811798</v>
      </c>
      <c r="L17" s="406"/>
      <c r="M17" s="417" t="s">
        <v>1170</v>
      </c>
      <c r="O17" s="418" t="str">
        <f>IF(AND(O16="2", J20 &gt; 2),"1",IF(AND(O16 = "1", J20 &gt; 2),"2",IF(AND(O16="1", J20 &gt;1),"1","0")))</f>
        <v>0</v>
      </c>
      <c r="P17" s="218"/>
    </row>
    <row r="18" spans="1:18" s="408" customFormat="1" ht="11.25" x14ac:dyDescent="0.2">
      <c r="A18" s="218"/>
      <c r="B18" s="401"/>
      <c r="C18" s="2104" t="s">
        <v>1316</v>
      </c>
      <c r="D18" s="2105"/>
      <c r="E18" s="218"/>
      <c r="F18" s="419" t="s">
        <v>793</v>
      </c>
      <c r="G18" s="402"/>
      <c r="H18" s="403">
        <f>SUM('Acct Summary 7-8'!C8+'Acct Summary 7-8'!D8+'Acct Summary 7-8'!F8+'Acct Summary 7-8'!I8)+H19</f>
        <v>55930493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1.448442</v>
      </c>
      <c r="K20" s="405" t="str">
        <f>IF(K17&lt;=1,"0",IF(AND(O16="2", J20 &gt; 2),TRUNC(((K12-0.1)/(K17-1)*100),5)/100,IF(AND(O16 = "1", J20 &gt; 2),TRUNC(((K12-0.1)/(K17-1)*100),5)/100,IF(AND(O16="1", J20 &gt;1),TRUNC(((K12-0.1)/(K17-1)*100),5)/100,""))))</f>
        <v/>
      </c>
      <c r="L20" s="218"/>
      <c r="M20" s="360" t="s">
        <v>1144</v>
      </c>
      <c r="N20" s="360"/>
      <c r="O20" s="411">
        <f>(O16+O17)*O18</f>
        <v>0.7</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01" t="s">
        <v>1411</v>
      </c>
      <c r="D24" s="2101"/>
      <c r="E24" s="218"/>
      <c r="F24" s="218" t="s">
        <v>444</v>
      </c>
      <c r="G24" s="402"/>
      <c r="H24" s="403">
        <f>SUM('Assets-Liab 5-6'!C4+'Assets-Liab 5-6'!D4+'Assets-Liab 5-6'!F4+'Assets-Liab 5-6'!I4+'Assets-Liab 5-6'!C5+'Assets-Liab 5-6'!D5+'Assets-Liab 5-6'!F5+'Assets-Liab 5-6'!I5)</f>
        <v>6884281</v>
      </c>
      <c r="I24" s="422"/>
      <c r="J24" s="422"/>
      <c r="K24" s="423">
        <f>TRUNC(((H24/H25*100000)/100000),2)</f>
        <v>39.92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172423.11389000001</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26854930.77775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35826000</v>
      </c>
      <c r="I32" s="420"/>
      <c r="J32" s="420"/>
      <c r="K32" s="423">
        <f>TRUNC(100-((((H32/H33*100))*100)/100),2)</f>
        <v>61.64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93401392.392000005</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F1" colorId="8" zoomScale="110" zoomScaleNormal="110" workbookViewId="0">
      <pane ySplit="2" topLeftCell="A3"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1" t="s">
        <v>972</v>
      </c>
      <c r="B3" s="2112"/>
      <c r="C3" s="1559"/>
      <c r="D3" s="1560"/>
      <c r="E3" s="1560"/>
      <c r="F3" s="1560"/>
      <c r="G3" s="1560"/>
      <c r="H3" s="1560"/>
      <c r="I3" s="1560"/>
      <c r="J3" s="1560"/>
      <c r="K3" s="1560"/>
      <c r="L3" s="1560"/>
      <c r="M3" s="1561"/>
      <c r="N3" s="1562"/>
    </row>
    <row r="4" spans="1:14" ht="13.5" customHeight="1" x14ac:dyDescent="0.2">
      <c r="A4" s="463" t="s">
        <v>1650</v>
      </c>
      <c r="B4" s="464"/>
      <c r="C4" s="465">
        <f>4720151+1046328</f>
        <v>5766479</v>
      </c>
      <c r="D4" s="466">
        <v>868467</v>
      </c>
      <c r="E4" s="466"/>
      <c r="F4" s="466">
        <v>218191</v>
      </c>
      <c r="G4" s="466">
        <v>448898</v>
      </c>
      <c r="H4" s="466">
        <f>8832142-805938</f>
        <v>8026204</v>
      </c>
      <c r="I4" s="466">
        <v>31144</v>
      </c>
      <c r="J4" s="467">
        <v>79261</v>
      </c>
      <c r="K4" s="466">
        <v>805938</v>
      </c>
      <c r="L4" s="466">
        <v>1766922</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v>21243116</v>
      </c>
      <c r="D6" s="466">
        <v>3219701</v>
      </c>
      <c r="E6" s="466">
        <v>2093736</v>
      </c>
      <c r="F6" s="466">
        <v>1268772</v>
      </c>
      <c r="G6" s="471">
        <v>1333009</v>
      </c>
      <c r="H6" s="471"/>
      <c r="I6" s="466">
        <v>1064</v>
      </c>
      <c r="J6" s="474">
        <v>634918</v>
      </c>
      <c r="K6" s="471">
        <v>317455</v>
      </c>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2624337</v>
      </c>
      <c r="D8" s="467"/>
      <c r="E8" s="467"/>
      <c r="F8" s="467">
        <v>210330</v>
      </c>
      <c r="G8" s="478"/>
      <c r="H8" s="467"/>
      <c r="I8" s="474">
        <v>7015000</v>
      </c>
      <c r="J8" s="474"/>
      <c r="K8" s="479"/>
      <c r="L8" s="480"/>
      <c r="M8" s="468"/>
      <c r="N8" s="469"/>
    </row>
    <row r="9" spans="1:14" ht="13.5" customHeight="1" x14ac:dyDescent="0.2">
      <c r="A9" s="473" t="s">
        <v>269</v>
      </c>
      <c r="B9" s="470">
        <v>160</v>
      </c>
      <c r="C9" s="476">
        <v>53591</v>
      </c>
      <c r="D9" s="467"/>
      <c r="E9" s="467"/>
      <c r="F9" s="467"/>
      <c r="G9" s="467"/>
      <c r="H9" s="478"/>
      <c r="I9" s="467"/>
      <c r="J9" s="467"/>
      <c r="K9" s="467"/>
      <c r="L9" s="467"/>
      <c r="M9" s="468"/>
      <c r="N9" s="469"/>
    </row>
    <row r="10" spans="1:14" ht="13.5" customHeight="1" x14ac:dyDescent="0.2">
      <c r="A10" s="473" t="s">
        <v>990</v>
      </c>
      <c r="B10" s="470">
        <v>170</v>
      </c>
      <c r="C10" s="465">
        <v>69085</v>
      </c>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v>153471</v>
      </c>
      <c r="D12" s="466"/>
      <c r="E12" s="466"/>
      <c r="F12" s="466"/>
      <c r="G12" s="466"/>
      <c r="H12" s="466"/>
      <c r="I12" s="466"/>
      <c r="J12" s="467">
        <v>264</v>
      </c>
      <c r="K12" s="466"/>
      <c r="L12" s="466"/>
      <c r="M12" s="469"/>
      <c r="N12" s="469"/>
    </row>
    <row r="13" spans="1:14" ht="13.5" customHeight="1" thickBot="1" x14ac:dyDescent="0.25">
      <c r="A13" s="1736" t="s">
        <v>643</v>
      </c>
      <c r="B13" s="1709"/>
      <c r="C13" s="1737">
        <f>SUM(C4:C12)</f>
        <v>29910079</v>
      </c>
      <c r="D13" s="1737">
        <f t="shared" ref="D13:L13" si="0">SUM(D4:D12)</f>
        <v>4088168</v>
      </c>
      <c r="E13" s="1737">
        <f t="shared" si="0"/>
        <v>2093736</v>
      </c>
      <c r="F13" s="1737">
        <f t="shared" si="0"/>
        <v>1697293</v>
      </c>
      <c r="G13" s="1737">
        <f t="shared" si="0"/>
        <v>1781907</v>
      </c>
      <c r="H13" s="1737">
        <f t="shared" si="0"/>
        <v>8026204</v>
      </c>
      <c r="I13" s="1737">
        <f t="shared" si="0"/>
        <v>7047208</v>
      </c>
      <c r="J13" s="1737">
        <f t="shared" si="0"/>
        <v>714443</v>
      </c>
      <c r="K13" s="1737">
        <f t="shared" si="0"/>
        <v>1123393</v>
      </c>
      <c r="L13" s="1737">
        <f t="shared" si="0"/>
        <v>1766922</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1085540</v>
      </c>
      <c r="N16" s="484"/>
    </row>
    <row r="17" spans="1:14" s="485" customFormat="1" ht="12.75" customHeight="1" x14ac:dyDescent="0.2">
      <c r="A17" s="482" t="s">
        <v>1402</v>
      </c>
      <c r="B17" s="483">
        <v>230</v>
      </c>
      <c r="C17" s="477"/>
      <c r="D17" s="477"/>
      <c r="E17" s="477"/>
      <c r="F17" s="477"/>
      <c r="G17" s="477"/>
      <c r="H17" s="477"/>
      <c r="I17" s="477"/>
      <c r="J17" s="477"/>
      <c r="K17" s="477"/>
      <c r="L17" s="477"/>
      <c r="M17" s="467">
        <v>131199046</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f>96446+22042302</f>
        <v>22138748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620408</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35205592</v>
      </c>
    </row>
    <row r="23" spans="1:14" ht="13.5" customHeight="1" thickBot="1" x14ac:dyDescent="0.25">
      <c r="A23" s="1736" t="s">
        <v>642</v>
      </c>
      <c r="B23" s="1741"/>
      <c r="C23" s="468"/>
      <c r="D23" s="468"/>
      <c r="E23" s="468"/>
      <c r="F23" s="468"/>
      <c r="G23" s="468"/>
      <c r="H23" s="468"/>
      <c r="I23" s="468"/>
      <c r="J23" s="468"/>
      <c r="K23" s="468"/>
      <c r="L23" s="468"/>
      <c r="M23" s="1688">
        <f>SUM(M15:M22)</f>
        <v>154423334</v>
      </c>
      <c r="N23" s="1688">
        <f>SUM(N21:N22)</f>
        <v>35826000</v>
      </c>
    </row>
    <row r="24" spans="1:14" ht="18" customHeight="1" thickTop="1" x14ac:dyDescent="0.2">
      <c r="A24" s="2115" t="s">
        <v>597</v>
      </c>
      <c r="B24" s="2116"/>
      <c r="C24" s="1568"/>
      <c r="D24" s="1565"/>
      <c r="E24" s="1565"/>
      <c r="F24" s="1565"/>
      <c r="G24" s="1565"/>
      <c r="H24" s="1565"/>
      <c r="I24" s="1565"/>
      <c r="J24" s="1565"/>
      <c r="K24" s="1565"/>
      <c r="L24" s="1565"/>
      <c r="M24" s="1564"/>
      <c r="N24" s="1569"/>
    </row>
    <row r="25" spans="1:14" x14ac:dyDescent="0.2">
      <c r="A25" s="473" t="s">
        <v>644</v>
      </c>
      <c r="B25" s="470">
        <v>410</v>
      </c>
      <c r="C25" s="478">
        <v>240000</v>
      </c>
      <c r="D25" s="478">
        <v>4800000</v>
      </c>
      <c r="E25" s="478"/>
      <c r="F25" s="478">
        <v>850000</v>
      </c>
      <c r="G25" s="478">
        <v>1025000</v>
      </c>
      <c r="H25" s="479"/>
      <c r="I25" s="468"/>
      <c r="J25" s="478">
        <v>100000</v>
      </c>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f>234286+891422+15827</f>
        <v>1141535</v>
      </c>
      <c r="D27" s="467">
        <v>2074</v>
      </c>
      <c r="E27" s="467">
        <v>161862</v>
      </c>
      <c r="F27" s="467">
        <v>23168</v>
      </c>
      <c r="G27" s="467">
        <v>197229</v>
      </c>
      <c r="H27" s="467">
        <f>902247+34765</f>
        <v>937012</v>
      </c>
      <c r="I27" s="467"/>
      <c r="J27" s="467">
        <v>346046</v>
      </c>
      <c r="K27" s="467">
        <v>498011</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f>4643961+29993</f>
        <v>4673954</v>
      </c>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v>13306145</v>
      </c>
      <c r="D32" s="492">
        <v>2016741</v>
      </c>
      <c r="E32" s="474">
        <v>1311466</v>
      </c>
      <c r="F32" s="474">
        <v>794732</v>
      </c>
      <c r="G32" s="474">
        <v>834972</v>
      </c>
      <c r="H32" s="474"/>
      <c r="I32" s="474">
        <v>670</v>
      </c>
      <c r="J32" s="474">
        <v>397701</v>
      </c>
      <c r="K32" s="479">
        <v>198841</v>
      </c>
      <c r="L32" s="468"/>
      <c r="M32" s="468"/>
      <c r="N32" s="468"/>
    </row>
    <row r="33" spans="1:14" ht="13.5" customHeight="1" x14ac:dyDescent="0.2">
      <c r="A33" s="493" t="s">
        <v>302</v>
      </c>
      <c r="B33" s="491">
        <v>493</v>
      </c>
      <c r="C33" s="467"/>
      <c r="D33" s="467"/>
      <c r="E33" s="467"/>
      <c r="F33" s="467"/>
      <c r="G33" s="467"/>
      <c r="H33" s="467"/>
      <c r="I33" s="467"/>
      <c r="J33" s="467"/>
      <c r="K33" s="467"/>
      <c r="L33" s="467">
        <v>1766922</v>
      </c>
      <c r="M33" s="468"/>
      <c r="N33" s="469"/>
    </row>
    <row r="34" spans="1:14" ht="13.5" customHeight="1" thickBot="1" x14ac:dyDescent="0.25">
      <c r="A34" s="1738" t="s">
        <v>653</v>
      </c>
      <c r="B34" s="1739"/>
      <c r="C34" s="1740">
        <f>SUM(C25:C33)</f>
        <v>19361634</v>
      </c>
      <c r="D34" s="1740">
        <f t="shared" ref="D34:K34" si="1">SUM(D25:D33)</f>
        <v>6818815</v>
      </c>
      <c r="E34" s="1740">
        <f t="shared" si="1"/>
        <v>1473328</v>
      </c>
      <c r="F34" s="1740">
        <f t="shared" si="1"/>
        <v>1667900</v>
      </c>
      <c r="G34" s="1740">
        <f t="shared" si="1"/>
        <v>2057201</v>
      </c>
      <c r="H34" s="1740">
        <f t="shared" si="1"/>
        <v>937012</v>
      </c>
      <c r="I34" s="1740">
        <f t="shared" si="1"/>
        <v>670</v>
      </c>
      <c r="J34" s="1740">
        <f t="shared" si="1"/>
        <v>843747</v>
      </c>
      <c r="K34" s="1740">
        <f t="shared" si="1"/>
        <v>696852</v>
      </c>
      <c r="L34" s="1721">
        <f>SUM(L33)</f>
        <v>1766922</v>
      </c>
      <c r="M34" s="468"/>
      <c r="N34" s="480"/>
    </row>
    <row r="35" spans="1:14" ht="18" customHeight="1" thickTop="1" x14ac:dyDescent="0.2">
      <c r="A35" s="2117" t="s">
        <v>528</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35826000</v>
      </c>
    </row>
    <row r="37" spans="1:14" ht="13.5" thickBot="1" x14ac:dyDescent="0.25">
      <c r="A37" s="1736" t="s">
        <v>652</v>
      </c>
      <c r="B37" s="1741"/>
      <c r="C37" s="477"/>
      <c r="D37" s="477"/>
      <c r="E37" s="477"/>
      <c r="F37" s="477"/>
      <c r="G37" s="477"/>
      <c r="H37" s="477"/>
      <c r="I37" s="477"/>
      <c r="J37" s="477"/>
      <c r="K37" s="477"/>
      <c r="L37" s="480"/>
      <c r="M37" s="468"/>
      <c r="N37" s="1688">
        <f>SUM(N36:N36)</f>
        <v>35826000</v>
      </c>
    </row>
    <row r="38" spans="1:14" s="329" customFormat="1" ht="13.5" customHeight="1" thickTop="1" x14ac:dyDescent="0.2">
      <c r="A38" s="496" t="s">
        <v>419</v>
      </c>
      <c r="B38" s="483">
        <v>714</v>
      </c>
      <c r="C38" s="466">
        <v>69085</v>
      </c>
      <c r="D38" s="466"/>
      <c r="E38" s="466"/>
      <c r="F38" s="466"/>
      <c r="G38" s="466"/>
      <c r="H38" s="466"/>
      <c r="I38" s="466"/>
      <c r="J38" s="467"/>
      <c r="K38" s="466"/>
      <c r="L38" s="481"/>
      <c r="M38" s="497"/>
      <c r="N38" s="497"/>
    </row>
    <row r="39" spans="1:14" s="329" customFormat="1" ht="13.5" customHeight="1" x14ac:dyDescent="0.2">
      <c r="A39" s="496" t="s">
        <v>341</v>
      </c>
      <c r="B39" s="483">
        <v>730</v>
      </c>
      <c r="C39" s="466">
        <v>10479360</v>
      </c>
      <c r="D39" s="466">
        <v>-2730647</v>
      </c>
      <c r="E39" s="466">
        <v>620408</v>
      </c>
      <c r="F39" s="466">
        <v>29393</v>
      </c>
      <c r="G39" s="466">
        <v>-275294</v>
      </c>
      <c r="H39" s="466">
        <f>3479553+220+3605573+3846</f>
        <v>7089192</v>
      </c>
      <c r="I39" s="466">
        <v>7046538</v>
      </c>
      <c r="J39" s="467">
        <v>-129304</v>
      </c>
      <c r="K39" s="466">
        <v>426541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154423334</v>
      </c>
      <c r="N40" s="497"/>
    </row>
    <row r="41" spans="1:14" ht="13.5" customHeight="1" thickBot="1" x14ac:dyDescent="0.25">
      <c r="A41" s="1736" t="s">
        <v>654</v>
      </c>
      <c r="B41" s="1706"/>
      <c r="C41" s="1688">
        <f>(SUM(C34,C37,C38,C39))</f>
        <v>29910079</v>
      </c>
      <c r="D41" s="1688">
        <f t="shared" ref="D41:L41" si="2">SUM(D34,D37,D38:D39)</f>
        <v>4088168</v>
      </c>
      <c r="E41" s="1688">
        <f t="shared" si="2"/>
        <v>2093736</v>
      </c>
      <c r="F41" s="1688">
        <f t="shared" si="2"/>
        <v>1697293</v>
      </c>
      <c r="G41" s="1688">
        <f t="shared" si="2"/>
        <v>1781907</v>
      </c>
      <c r="H41" s="1688">
        <f t="shared" si="2"/>
        <v>8026204</v>
      </c>
      <c r="I41" s="1688">
        <f t="shared" si="2"/>
        <v>7047208</v>
      </c>
      <c r="J41" s="1688">
        <f t="shared" si="2"/>
        <v>714443</v>
      </c>
      <c r="K41" s="1688">
        <f t="shared" si="2"/>
        <v>1123393</v>
      </c>
      <c r="L41" s="1688">
        <f t="shared" si="2"/>
        <v>1766922</v>
      </c>
      <c r="M41" s="1688">
        <f>SUM(M40)</f>
        <v>154423334</v>
      </c>
      <c r="N41" s="1688">
        <f>SUM(N37)</f>
        <v>35826000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8"/>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9" t="s">
        <v>1174</v>
      </c>
      <c r="B3" s="2140"/>
      <c r="C3" s="1573"/>
      <c r="D3" s="1574"/>
      <c r="E3" s="1574"/>
      <c r="F3" s="1574"/>
      <c r="G3" s="1574"/>
      <c r="H3" s="1574"/>
      <c r="I3" s="1574"/>
      <c r="J3" s="1574"/>
      <c r="K3" s="1575"/>
      <c r="L3" s="506"/>
    </row>
    <row r="4" spans="1:13" ht="15.75" customHeight="1" x14ac:dyDescent="0.2">
      <c r="A4" s="1928" t="s">
        <v>1498</v>
      </c>
      <c r="B4" s="1929">
        <v>1000</v>
      </c>
      <c r="C4" s="1742">
        <f>'Revenues 9-14'!C109</f>
        <v>26356894</v>
      </c>
      <c r="D4" s="1742">
        <f>'Revenues 9-14'!D109</f>
        <v>3481891</v>
      </c>
      <c r="E4" s="1742">
        <f>'Revenues 9-14'!E109</f>
        <v>2888530</v>
      </c>
      <c r="F4" s="1742">
        <f>'Revenues 9-14'!F109</f>
        <v>1240981</v>
      </c>
      <c r="G4" s="1742">
        <f>'Revenues 9-14'!G109</f>
        <v>1360381</v>
      </c>
      <c r="H4" s="1742">
        <f>'Revenues 9-14'!H109</f>
        <v>3573100</v>
      </c>
      <c r="I4" s="1742">
        <f>'Revenues 9-14'!I109</f>
        <v>18184</v>
      </c>
      <c r="J4" s="1742">
        <f>'Revenues 9-14'!J109</f>
        <v>662564</v>
      </c>
      <c r="K4" s="1742">
        <f>'Revenues 9-14'!K109</f>
        <v>327571</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16166283</v>
      </c>
      <c r="D6" s="1743">
        <f>'Revenues 9-14'!D170</f>
        <v>0</v>
      </c>
      <c r="E6" s="1743">
        <f>'Revenues 9-14'!E170</f>
        <v>0</v>
      </c>
      <c r="F6" s="1743">
        <f>'Revenues 9-14'!F170</f>
        <v>1000593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7592573</v>
      </c>
      <c r="D7" s="1743">
        <f>'Revenues 9-14'!D267</f>
        <v>0</v>
      </c>
      <c r="E7" s="1743">
        <f>'Revenues 9-14'!E267</f>
        <v>0</v>
      </c>
      <c r="F7" s="1743">
        <f>'Revenues 9-14'!F267</f>
        <v>73094</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50115750</v>
      </c>
      <c r="D8" s="1688">
        <f t="shared" ref="D8:K8" si="0">SUM(D4:D7)</f>
        <v>3481891</v>
      </c>
      <c r="E8" s="1688">
        <f t="shared" si="0"/>
        <v>2888530</v>
      </c>
      <c r="F8" s="1688">
        <f t="shared" si="0"/>
        <v>2314668</v>
      </c>
      <c r="G8" s="1688">
        <f t="shared" si="0"/>
        <v>1360381</v>
      </c>
      <c r="H8" s="1688">
        <f t="shared" si="0"/>
        <v>3573100</v>
      </c>
      <c r="I8" s="1688">
        <f t="shared" si="0"/>
        <v>18184</v>
      </c>
      <c r="J8" s="1688">
        <f t="shared" si="0"/>
        <v>662564</v>
      </c>
      <c r="K8" s="1688">
        <f t="shared" si="0"/>
        <v>327571</v>
      </c>
      <c r="L8" s="347"/>
    </row>
    <row r="9" spans="1:13" ht="15.75" thickTop="1" x14ac:dyDescent="0.2">
      <c r="A9" s="514" t="s">
        <v>1652</v>
      </c>
      <c r="B9" s="515">
        <v>3998</v>
      </c>
      <c r="C9" s="481">
        <v>19852854</v>
      </c>
      <c r="D9" s="516"/>
      <c r="E9" s="481"/>
      <c r="F9" s="481"/>
      <c r="G9" s="517"/>
      <c r="H9" s="481"/>
      <c r="I9" s="509" t="s">
        <v>1168</v>
      </c>
      <c r="J9" s="478"/>
      <c r="K9" s="481"/>
      <c r="L9" s="347"/>
    </row>
    <row r="10" spans="1:13" s="519" customFormat="1" ht="13.5" thickBot="1" x14ac:dyDescent="0.25">
      <c r="A10" s="1736" t="s">
        <v>1172</v>
      </c>
      <c r="B10" s="1709"/>
      <c r="C10" s="1688">
        <f>SUM(C8:C9)</f>
        <v>69968604</v>
      </c>
      <c r="D10" s="1688">
        <f t="shared" ref="D10:K10" si="1">SUM(D8:D9)</f>
        <v>3481891</v>
      </c>
      <c r="E10" s="1688">
        <f t="shared" si="1"/>
        <v>2888530</v>
      </c>
      <c r="F10" s="1688">
        <f t="shared" si="1"/>
        <v>2314668</v>
      </c>
      <c r="G10" s="1688">
        <f t="shared" si="1"/>
        <v>1360381</v>
      </c>
      <c r="H10" s="1688">
        <f t="shared" si="1"/>
        <v>3573100</v>
      </c>
      <c r="I10" s="1688">
        <f t="shared" si="1"/>
        <v>18184</v>
      </c>
      <c r="J10" s="1688">
        <f t="shared" si="1"/>
        <v>662564</v>
      </c>
      <c r="K10" s="1688">
        <f t="shared" si="1"/>
        <v>327571</v>
      </c>
      <c r="L10" s="518"/>
    </row>
    <row r="11" spans="1:13" s="519" customFormat="1" ht="16.7" customHeight="1" thickTop="1" x14ac:dyDescent="0.2">
      <c r="A11" s="2113" t="s">
        <v>1175</v>
      </c>
      <c r="B11" s="2114"/>
      <c r="C11" s="1570"/>
      <c r="D11" s="1571"/>
      <c r="E11" s="1571"/>
      <c r="F11" s="1571"/>
      <c r="G11" s="1571"/>
      <c r="H11" s="1571"/>
      <c r="I11" s="1571"/>
      <c r="J11" s="1571"/>
      <c r="K11" s="1572"/>
      <c r="L11" s="518"/>
    </row>
    <row r="12" spans="1:13" ht="15.75" customHeight="1" x14ac:dyDescent="0.2">
      <c r="A12" s="1576" t="s">
        <v>455</v>
      </c>
      <c r="B12" s="1578">
        <v>1000</v>
      </c>
      <c r="C12" s="1742">
        <f>'Expenditures 15-22'!K33</f>
        <v>34507499</v>
      </c>
      <c r="D12" s="520" t="s">
        <v>1168</v>
      </c>
      <c r="E12" s="468" t="s">
        <v>1168</v>
      </c>
      <c r="F12" s="468" t="s">
        <v>1168</v>
      </c>
      <c r="G12" s="1742">
        <f>'Expenditures 15-22'!K229</f>
        <v>561139</v>
      </c>
      <c r="H12" s="521"/>
      <c r="I12" s="468" t="s">
        <v>1168</v>
      </c>
      <c r="J12" s="468" t="s">
        <v>1168</v>
      </c>
      <c r="K12" s="521" t="s">
        <v>1168</v>
      </c>
      <c r="L12" s="347"/>
    </row>
    <row r="13" spans="1:13" ht="15.75" customHeight="1" x14ac:dyDescent="0.2">
      <c r="A13" s="1576" t="s">
        <v>456</v>
      </c>
      <c r="B13" s="1578">
        <v>2000</v>
      </c>
      <c r="C13" s="1743">
        <f>'Expenditures 15-22'!K74</f>
        <v>18481196</v>
      </c>
      <c r="D13" s="1743">
        <f>'Expenditures 15-22'!K129</f>
        <v>3773839</v>
      </c>
      <c r="E13" s="469" t="s">
        <v>1168</v>
      </c>
      <c r="F13" s="1743">
        <f>'Expenditures 15-22'!K184</f>
        <v>2521068</v>
      </c>
      <c r="G13" s="1743">
        <f>'Expenditures 15-22'!K279</f>
        <v>838979</v>
      </c>
      <c r="H13" s="1743">
        <f>'Expenditures 15-22'!K303</f>
        <v>3240753</v>
      </c>
      <c r="I13" s="468" t="s">
        <v>1168</v>
      </c>
      <c r="J13" s="1743">
        <f>'Expenditures 15-22'!K330</f>
        <v>761738</v>
      </c>
      <c r="K13" s="1747">
        <f>'Expenditures 15-22'!K352</f>
        <v>640131</v>
      </c>
      <c r="L13" s="347"/>
    </row>
    <row r="14" spans="1:13" ht="15.75" customHeight="1" x14ac:dyDescent="0.2">
      <c r="A14" s="1576" t="s">
        <v>448</v>
      </c>
      <c r="B14" s="1578">
        <v>3000</v>
      </c>
      <c r="C14" s="1743">
        <f>'Expenditures 15-22'!K75</f>
        <v>1581463</v>
      </c>
      <c r="D14" s="1743">
        <f>'Expenditures 15-22'!K130</f>
        <v>0</v>
      </c>
      <c r="E14" s="520" t="s">
        <v>1168</v>
      </c>
      <c r="F14" s="1743">
        <f>'Expenditures 15-22'!K185</f>
        <v>0</v>
      </c>
      <c r="G14" s="1743">
        <f>'Expenditures 15-22'!K280</f>
        <v>36893</v>
      </c>
      <c r="H14" s="512"/>
      <c r="I14" s="468" t="s">
        <v>1168</v>
      </c>
      <c r="J14" s="468" t="s">
        <v>1168</v>
      </c>
      <c r="K14" s="512" t="s">
        <v>1168</v>
      </c>
      <c r="L14" s="347"/>
    </row>
    <row r="15" spans="1:13" ht="15.75" customHeight="1" x14ac:dyDescent="0.2">
      <c r="A15" s="1576" t="s">
        <v>107</v>
      </c>
      <c r="B15" s="1578">
        <v>4000</v>
      </c>
      <c r="C15" s="1743">
        <f>'Expenditures 15-22'!K102</f>
        <v>1207256</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7454591</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55777414</v>
      </c>
      <c r="D17" s="1688">
        <f t="shared" si="2"/>
        <v>3773839</v>
      </c>
      <c r="E17" s="1688">
        <f t="shared" si="2"/>
        <v>7454591</v>
      </c>
      <c r="F17" s="1688">
        <f t="shared" si="2"/>
        <v>2521068</v>
      </c>
      <c r="G17" s="1688">
        <f t="shared" si="2"/>
        <v>1437011</v>
      </c>
      <c r="H17" s="1688">
        <f t="shared" si="2"/>
        <v>3240753</v>
      </c>
      <c r="I17" s="468"/>
      <c r="J17" s="1688">
        <f>SUM(J12:J16)</f>
        <v>761738</v>
      </c>
      <c r="K17" s="1688">
        <f>SUM(K12:K16)</f>
        <v>640131</v>
      </c>
      <c r="L17" s="347"/>
    </row>
    <row r="18" spans="1:12" ht="15" customHeight="1" thickTop="1" x14ac:dyDescent="0.2">
      <c r="A18" s="1744" t="s">
        <v>1653</v>
      </c>
      <c r="B18" s="1745">
        <v>4180</v>
      </c>
      <c r="C18" s="1742">
        <f t="shared" ref="C18:H18" si="3">C9</f>
        <v>19852854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75630268</v>
      </c>
      <c r="D19" s="1688">
        <f t="shared" si="4"/>
        <v>3773839</v>
      </c>
      <c r="E19" s="1688">
        <f t="shared" si="4"/>
        <v>7454591</v>
      </c>
      <c r="F19" s="1688">
        <f t="shared" si="4"/>
        <v>2521068</v>
      </c>
      <c r="G19" s="1688">
        <f t="shared" si="4"/>
        <v>1437011</v>
      </c>
      <c r="H19" s="1688">
        <f t="shared" si="4"/>
        <v>3240753</v>
      </c>
      <c r="I19" s="468"/>
      <c r="J19" s="1688">
        <f>SUM(J17:J18)</f>
        <v>761738</v>
      </c>
      <c r="K19" s="1688">
        <f>SUM(K17:K18)</f>
        <v>640131</v>
      </c>
      <c r="L19" s="347"/>
    </row>
    <row r="20" spans="1:12" ht="16.5" thickTop="1" thickBot="1" x14ac:dyDescent="0.25">
      <c r="A20" s="2129" t="s">
        <v>1654</v>
      </c>
      <c r="B20" s="2130"/>
      <c r="C20" s="1746">
        <f>C8-C17</f>
        <v>-5661664</v>
      </c>
      <c r="D20" s="1746">
        <f t="shared" ref="D20:K20" si="5">D8-D17</f>
        <v>-291948</v>
      </c>
      <c r="E20" s="1746">
        <f t="shared" si="5"/>
        <v>-4566061</v>
      </c>
      <c r="F20" s="1746">
        <f t="shared" si="5"/>
        <v>-206400</v>
      </c>
      <c r="G20" s="1746">
        <f t="shared" si="5"/>
        <v>-76630</v>
      </c>
      <c r="H20" s="1746">
        <f t="shared" si="5"/>
        <v>332347</v>
      </c>
      <c r="I20" s="1746">
        <f t="shared" si="5"/>
        <v>18184</v>
      </c>
      <c r="J20" s="1746">
        <f t="shared" si="5"/>
        <v>-99174</v>
      </c>
      <c r="K20" s="1746">
        <f t="shared" si="5"/>
        <v>-312560</v>
      </c>
      <c r="L20" s="347"/>
    </row>
    <row r="21" spans="1:12" ht="16.7" customHeight="1" thickTop="1" x14ac:dyDescent="0.2">
      <c r="A21" s="2141" t="s">
        <v>594</v>
      </c>
      <c r="B21" s="2142"/>
      <c r="C21" s="1570"/>
      <c r="D21" s="1571"/>
      <c r="E21" s="1571"/>
      <c r="F21" s="1571"/>
      <c r="G21" s="1571"/>
      <c r="H21" s="1571"/>
      <c r="I21" s="1571"/>
      <c r="J21" s="1571"/>
      <c r="K21" s="1572"/>
      <c r="L21" s="524"/>
    </row>
    <row r="22" spans="1:12" ht="15.75" customHeight="1" collapsed="1" x14ac:dyDescent="0.2">
      <c r="A22" s="2137" t="s">
        <v>595</v>
      </c>
      <c r="B22" s="2138"/>
      <c r="C22" s="477"/>
      <c r="D22" s="477"/>
      <c r="E22" s="477"/>
      <c r="F22" s="477"/>
      <c r="G22" s="477"/>
      <c r="H22" s="477"/>
      <c r="I22" s="477"/>
      <c r="J22" s="477"/>
      <c r="K22" s="477"/>
      <c r="L22" s="347"/>
    </row>
    <row r="23" spans="1:12" s="485" customFormat="1" ht="15.75" customHeight="1" x14ac:dyDescent="0.2">
      <c r="A23" s="2133" t="s">
        <v>292</v>
      </c>
      <c r="B23" s="2134"/>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17473</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35" t="s">
        <v>980</v>
      </c>
      <c r="B32" s="2136"/>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v>3072000</v>
      </c>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v>32133</v>
      </c>
      <c r="D43" s="467"/>
      <c r="E43" s="467">
        <v>1580907</v>
      </c>
      <c r="F43" s="467"/>
      <c r="G43" s="467"/>
      <c r="H43" s="467"/>
      <c r="I43" s="467"/>
      <c r="J43" s="467"/>
      <c r="K43" s="467"/>
      <c r="L43" s="524"/>
    </row>
    <row r="44" spans="1:12" s="485" customFormat="1" ht="13.5" customHeight="1" thickBot="1" x14ac:dyDescent="0.25">
      <c r="A44" s="2143" t="s">
        <v>373</v>
      </c>
      <c r="B44" s="2144"/>
      <c r="C44" s="1703">
        <f>SUM(C24:C43)</f>
        <v>49606</v>
      </c>
      <c r="D44" s="1703">
        <f t="shared" ref="D44:K44" si="6">SUM(D24:D43)</f>
        <v>0</v>
      </c>
      <c r="E44" s="1703">
        <f t="shared" si="6"/>
        <v>1580907</v>
      </c>
      <c r="F44" s="1703">
        <f t="shared" si="6"/>
        <v>0</v>
      </c>
      <c r="G44" s="1703">
        <f t="shared" si="6"/>
        <v>0</v>
      </c>
      <c r="H44" s="1703">
        <f t="shared" si="6"/>
        <v>3072000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17473</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v>204922</v>
      </c>
      <c r="D75" s="531"/>
      <c r="E75" s="530">
        <v>32133</v>
      </c>
      <c r="F75" s="532"/>
      <c r="G75" s="532"/>
      <c r="H75" s="532">
        <v>1375985</v>
      </c>
      <c r="I75" s="530"/>
      <c r="J75" s="530"/>
      <c r="K75" s="532"/>
      <c r="L75" s="524"/>
    </row>
    <row r="76" spans="1:12" s="485" customFormat="1" ht="14.25" thickTop="1" thickBot="1" x14ac:dyDescent="0.25">
      <c r="A76" s="2119" t="s">
        <v>439</v>
      </c>
      <c r="B76" s="2120"/>
      <c r="C76" s="1703">
        <f t="shared" ref="C76:K76" si="7">SUM(C47:C75)</f>
        <v>204922</v>
      </c>
      <c r="D76" s="1703">
        <f t="shared" si="7"/>
        <v>0</v>
      </c>
      <c r="E76" s="1703">
        <f t="shared" si="7"/>
        <v>32133</v>
      </c>
      <c r="F76" s="1703">
        <f t="shared" si="7"/>
        <v>0</v>
      </c>
      <c r="G76" s="1703">
        <f t="shared" si="7"/>
        <v>0</v>
      </c>
      <c r="H76" s="1703">
        <f t="shared" si="7"/>
        <v>1375985</v>
      </c>
      <c r="I76" s="1703">
        <f t="shared" si="7"/>
        <v>17473</v>
      </c>
      <c r="J76" s="1703">
        <f t="shared" si="7"/>
        <v>0</v>
      </c>
      <c r="K76" s="1703">
        <f t="shared" si="7"/>
        <v>0</v>
      </c>
      <c r="L76" s="524"/>
    </row>
    <row r="77" spans="1:12" ht="14.25" thickTop="1" thickBot="1" x14ac:dyDescent="0.25">
      <c r="A77" s="2121" t="s">
        <v>1176</v>
      </c>
      <c r="B77" s="2122"/>
      <c r="C77" s="1703">
        <f t="shared" ref="C77:K77" si="8">C44-C76</f>
        <v>-155316</v>
      </c>
      <c r="D77" s="1703">
        <f t="shared" si="8"/>
        <v>0</v>
      </c>
      <c r="E77" s="1703">
        <f t="shared" si="8"/>
        <v>1548774</v>
      </c>
      <c r="F77" s="1703">
        <f t="shared" si="8"/>
        <v>0</v>
      </c>
      <c r="G77" s="1703">
        <f t="shared" si="8"/>
        <v>0</v>
      </c>
      <c r="H77" s="1703">
        <f t="shared" si="8"/>
        <v>1696015</v>
      </c>
      <c r="I77" s="1703">
        <f t="shared" si="8"/>
        <v>-17473</v>
      </c>
      <c r="J77" s="1703">
        <f t="shared" si="8"/>
        <v>0</v>
      </c>
      <c r="K77" s="1703">
        <f t="shared" si="8"/>
        <v>0</v>
      </c>
      <c r="L77" s="347"/>
    </row>
    <row r="78" spans="1:12" ht="21.75" customHeight="1" thickTop="1" thickBot="1" x14ac:dyDescent="0.25">
      <c r="A78" s="2125" t="s">
        <v>596</v>
      </c>
      <c r="B78" s="2126"/>
      <c r="C78" s="1702">
        <f t="shared" ref="C78:K78" si="9">C20+C77</f>
        <v>-5816980</v>
      </c>
      <c r="D78" s="1702">
        <f t="shared" si="9"/>
        <v>-291948</v>
      </c>
      <c r="E78" s="1702">
        <f t="shared" si="9"/>
        <v>-3017287</v>
      </c>
      <c r="F78" s="1702">
        <f t="shared" si="9"/>
        <v>-206400</v>
      </c>
      <c r="G78" s="1702">
        <f t="shared" si="9"/>
        <v>-76630</v>
      </c>
      <c r="H78" s="1702">
        <f t="shared" si="9"/>
        <v>2028362</v>
      </c>
      <c r="I78" s="1702">
        <f t="shared" si="9"/>
        <v>711</v>
      </c>
      <c r="J78" s="1702">
        <f t="shared" si="9"/>
        <v>-99174</v>
      </c>
      <c r="K78" s="1702">
        <f t="shared" si="9"/>
        <v>-312560</v>
      </c>
      <c r="L78" s="533"/>
    </row>
    <row r="79" spans="1:12" ht="13.5" thickTop="1" x14ac:dyDescent="0.2">
      <c r="A79" s="1494" t="s">
        <v>1944</v>
      </c>
      <c r="B79" s="534"/>
      <c r="C79" s="478">
        <v>16365425</v>
      </c>
      <c r="D79" s="535">
        <v>-2438699</v>
      </c>
      <c r="E79" s="535">
        <v>3637695</v>
      </c>
      <c r="F79" s="535">
        <v>235793</v>
      </c>
      <c r="G79" s="535">
        <v>-198664</v>
      </c>
      <c r="H79" s="535">
        <v>5060830</v>
      </c>
      <c r="I79" s="535">
        <v>7045827</v>
      </c>
      <c r="J79" s="535">
        <v>-30130</v>
      </c>
      <c r="K79" s="535">
        <v>739101</v>
      </c>
      <c r="L79" s="347"/>
    </row>
    <row r="80" spans="1:12" x14ac:dyDescent="0.2">
      <c r="A80" s="2131" t="s">
        <v>1791</v>
      </c>
      <c r="B80" s="2132"/>
      <c r="C80" s="467"/>
      <c r="D80" s="467"/>
      <c r="E80" s="467"/>
      <c r="F80" s="467"/>
      <c r="G80" s="467"/>
      <c r="H80" s="467"/>
      <c r="I80" s="467"/>
      <c r="J80" s="467"/>
      <c r="K80" s="467"/>
      <c r="L80" s="347"/>
    </row>
    <row r="81" spans="1:12" ht="13.5" thickBot="1" x14ac:dyDescent="0.25">
      <c r="A81" s="2123" t="s">
        <v>1945</v>
      </c>
      <c r="B81" s="2124"/>
      <c r="C81" s="1688">
        <f>(SUM(C78:C80))</f>
        <v>10548445</v>
      </c>
      <c r="D81" s="1688">
        <f>SUM(D78:D80)</f>
        <v>-2730647</v>
      </c>
      <c r="E81" s="1688">
        <f t="shared" ref="E81:K81" si="10">SUM(E78:E80)</f>
        <v>620408</v>
      </c>
      <c r="F81" s="1688">
        <f t="shared" si="10"/>
        <v>29393</v>
      </c>
      <c r="G81" s="1688">
        <f t="shared" si="10"/>
        <v>-275294</v>
      </c>
      <c r="H81" s="1688">
        <f t="shared" si="10"/>
        <v>7089192</v>
      </c>
      <c r="I81" s="1688">
        <f t="shared" si="10"/>
        <v>7046538</v>
      </c>
      <c r="J81" s="1688">
        <f t="shared" si="10"/>
        <v>-129304</v>
      </c>
      <c r="K81" s="1688">
        <f t="shared" si="10"/>
        <v>426541</v>
      </c>
      <c r="L81" s="347"/>
    </row>
    <row r="82" spans="1:12" ht="0.75" customHeight="1" thickTop="1" thickBot="1" x14ac:dyDescent="0.25">
      <c r="A82" s="536" t="s">
        <v>342</v>
      </c>
      <c r="B82" s="537"/>
      <c r="C82" s="538">
        <f>(C81-C79)</f>
        <v>-5816980</v>
      </c>
      <c r="D82" s="538">
        <f t="shared" ref="D82:K82" si="11">(D81-D79)</f>
        <v>-291948</v>
      </c>
      <c r="E82" s="538">
        <f t="shared" si="11"/>
        <v>-3017287</v>
      </c>
      <c r="F82" s="538">
        <f t="shared" si="11"/>
        <v>-206400</v>
      </c>
      <c r="G82" s="538">
        <f t="shared" si="11"/>
        <v>-76630</v>
      </c>
      <c r="H82" s="538">
        <f t="shared" si="11"/>
        <v>2028362</v>
      </c>
      <c r="I82" s="538">
        <f t="shared" si="11"/>
        <v>711</v>
      </c>
      <c r="J82" s="538">
        <f t="shared" si="11"/>
        <v>-99174</v>
      </c>
      <c r="K82" s="538">
        <f t="shared" si="11"/>
        <v>-312560</v>
      </c>
    </row>
    <row r="83" spans="1:12" ht="14.25" hidden="1" thickTop="1" thickBot="1" x14ac:dyDescent="0.25">
      <c r="A83" s="539" t="s">
        <v>343</v>
      </c>
      <c r="B83" s="464"/>
      <c r="C83" s="540">
        <f>C82/C81</f>
        <v>-0.55145379247841741</v>
      </c>
      <c r="D83" s="540">
        <f t="shared" ref="D83:K83" si="12">D82/D81</f>
        <v>0.10691532080126065</v>
      </c>
      <c r="E83" s="540">
        <f t="shared" si="12"/>
        <v>-4.8633915101030292</v>
      </c>
      <c r="F83" s="540">
        <f t="shared" si="12"/>
        <v>-7.0220800870955671</v>
      </c>
      <c r="G83" s="540">
        <f t="shared" si="12"/>
        <v>0.27835695656280196</v>
      </c>
      <c r="H83" s="540">
        <f t="shared" si="12"/>
        <v>0.2861203364219787</v>
      </c>
      <c r="I83" s="540">
        <f t="shared" si="12"/>
        <v>1.0090061247097511E-4</v>
      </c>
      <c r="J83" s="540">
        <f t="shared" si="12"/>
        <v>0.76698323331064777</v>
      </c>
      <c r="K83" s="540">
        <f t="shared" si="12"/>
        <v>-0.73277832611636395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1798</v>
      </c>
      <c r="B1" s="452"/>
      <c r="C1" s="453" t="s">
        <v>424</v>
      </c>
      <c r="D1" s="453" t="s">
        <v>425</v>
      </c>
      <c r="E1" s="453" t="s">
        <v>426</v>
      </c>
      <c r="F1" s="453" t="s">
        <v>427</v>
      </c>
      <c r="G1" s="453" t="s">
        <v>428</v>
      </c>
      <c r="H1" s="453" t="s">
        <v>429</v>
      </c>
      <c r="I1" s="453" t="s">
        <v>430</v>
      </c>
      <c r="J1" s="453" t="s">
        <v>431</v>
      </c>
      <c r="K1" s="453" t="s">
        <v>755</v>
      </c>
    </row>
    <row r="2" spans="1:12" ht="36" x14ac:dyDescent="0.2">
      <c r="A2" s="2128"/>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22045518</v>
      </c>
      <c r="D5" s="481">
        <v>3341869</v>
      </c>
      <c r="E5" s="466">
        <v>2846285</v>
      </c>
      <c r="F5" s="548">
        <v>1220117</v>
      </c>
      <c r="G5" s="466">
        <v>638421</v>
      </c>
      <c r="H5" s="466"/>
      <c r="I5" s="466">
        <v>711</v>
      </c>
      <c r="J5" s="467">
        <v>657904</v>
      </c>
      <c r="K5" s="466">
        <v>316896</v>
      </c>
    </row>
    <row r="6" spans="1:12" ht="15" x14ac:dyDescent="0.2">
      <c r="A6" s="463" t="s">
        <v>1661</v>
      </c>
      <c r="B6" s="470">
        <v>1130</v>
      </c>
      <c r="C6" s="466"/>
      <c r="D6" s="466"/>
      <c r="E6" s="475"/>
      <c r="F6" s="475"/>
      <c r="G6" s="468"/>
      <c r="H6" s="468"/>
      <c r="I6" s="468"/>
      <c r="J6" s="468"/>
      <c r="K6" s="468"/>
    </row>
    <row r="7" spans="1:12" x14ac:dyDescent="0.2">
      <c r="A7" s="463" t="s">
        <v>110</v>
      </c>
      <c r="B7" s="549">
        <v>1140</v>
      </c>
      <c r="C7" s="466">
        <v>682257</v>
      </c>
      <c r="D7" s="466"/>
      <c r="E7" s="468"/>
      <c r="F7" s="467"/>
      <c r="G7" s="467"/>
      <c r="H7" s="467"/>
      <c r="I7" s="468"/>
      <c r="J7" s="468"/>
      <c r="K7" s="468"/>
    </row>
    <row r="8" spans="1:12" x14ac:dyDescent="0.2">
      <c r="A8" s="463" t="s">
        <v>412</v>
      </c>
      <c r="B8" s="470">
        <v>1150</v>
      </c>
      <c r="C8" s="475"/>
      <c r="D8" s="475"/>
      <c r="E8" s="477"/>
      <c r="F8" s="477"/>
      <c r="G8" s="481">
        <v>715079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22727775</v>
      </c>
      <c r="D12" s="1707">
        <f t="shared" si="0"/>
        <v>3341869</v>
      </c>
      <c r="E12" s="1707">
        <f t="shared" si="0"/>
        <v>2846285</v>
      </c>
      <c r="F12" s="1707">
        <f t="shared" si="0"/>
        <v>1220117</v>
      </c>
      <c r="G12" s="1707">
        <f t="shared" si="0"/>
        <v>1353500</v>
      </c>
      <c r="H12" s="1707">
        <f t="shared" si="0"/>
        <v>0</v>
      </c>
      <c r="I12" s="1707">
        <f t="shared" si="0"/>
        <v>711</v>
      </c>
      <c r="J12" s="1707">
        <f t="shared" si="0"/>
        <v>657904</v>
      </c>
      <c r="K12" s="1688">
        <f t="shared" si="0"/>
        <v>316896</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59271</v>
      </c>
      <c r="D14" s="466">
        <v>8259</v>
      </c>
      <c r="E14" s="466"/>
      <c r="F14" s="466">
        <v>2573</v>
      </c>
      <c r="G14" s="466"/>
      <c r="H14" s="466"/>
      <c r="I14" s="466"/>
      <c r="J14" s="467">
        <v>1621</v>
      </c>
      <c r="K14" s="466"/>
    </row>
    <row r="15" spans="1:12" ht="12.75" customHeight="1" x14ac:dyDescent="0.2">
      <c r="A15" s="463" t="s">
        <v>95</v>
      </c>
      <c r="B15" s="470">
        <v>1220</v>
      </c>
      <c r="C15" s="551">
        <v>100000</v>
      </c>
      <c r="D15" s="466"/>
      <c r="E15" s="466">
        <v>10112</v>
      </c>
      <c r="F15" s="466"/>
      <c r="G15" s="466">
        <v>3208</v>
      </c>
      <c r="H15" s="466"/>
      <c r="I15" s="466"/>
      <c r="J15" s="467"/>
      <c r="K15" s="466"/>
    </row>
    <row r="16" spans="1:12" ht="15" customHeight="1" x14ac:dyDescent="0.2">
      <c r="A16" s="463" t="s">
        <v>1662</v>
      </c>
      <c r="B16" s="549">
        <v>1230</v>
      </c>
      <c r="C16" s="551">
        <v>1109752</v>
      </c>
      <c r="D16" s="466"/>
      <c r="E16" s="466"/>
      <c r="F16" s="466"/>
      <c r="G16" s="466"/>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1269023</v>
      </c>
      <c r="D18" s="1710">
        <f t="shared" ref="D18:K18" si="1">SUM(D14:D17)</f>
        <v>8259</v>
      </c>
      <c r="E18" s="1710">
        <f t="shared" si="1"/>
        <v>10112</v>
      </c>
      <c r="F18" s="1710">
        <f t="shared" si="1"/>
        <v>2573</v>
      </c>
      <c r="G18" s="1710">
        <f t="shared" si="1"/>
        <v>3208</v>
      </c>
      <c r="H18" s="1710">
        <f t="shared" si="1"/>
        <v>0</v>
      </c>
      <c r="I18" s="1710">
        <f t="shared" si="1"/>
        <v>0</v>
      </c>
      <c r="J18" s="1710">
        <f t="shared" si="1"/>
        <v>1621</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34097</v>
      </c>
      <c r="D20" s="468"/>
      <c r="E20" s="468"/>
      <c r="F20" s="468"/>
      <c r="G20" s="468"/>
      <c r="H20" s="468"/>
      <c r="I20" s="468"/>
      <c r="J20" s="468"/>
      <c r="K20" s="468"/>
    </row>
    <row r="21" spans="1:11" ht="12.75" customHeight="1" x14ac:dyDescent="0.2">
      <c r="A21" s="463" t="s">
        <v>831</v>
      </c>
      <c r="B21" s="470">
        <v>1312</v>
      </c>
      <c r="C21" s="551">
        <v>2280</v>
      </c>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1060</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295838</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v>35246</v>
      </c>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v>295564</v>
      </c>
      <c r="D39" s="468"/>
      <c r="E39" s="468"/>
      <c r="F39" s="468"/>
      <c r="G39" s="468"/>
      <c r="H39" s="468"/>
      <c r="I39" s="468"/>
      <c r="J39" s="468"/>
      <c r="K39" s="468"/>
    </row>
    <row r="40" spans="1:11" ht="12.75" customHeight="1" thickBot="1" x14ac:dyDescent="0.25">
      <c r="A40" s="1708" t="s">
        <v>537</v>
      </c>
      <c r="B40" s="1709"/>
      <c r="C40" s="1688">
        <f>SUM(C20:C39)</f>
        <v>664085</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12467</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12467</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f>95+178967</f>
        <v>179062</v>
      </c>
      <c r="D65" s="466">
        <v>14189</v>
      </c>
      <c r="E65" s="466">
        <v>32133</v>
      </c>
      <c r="F65" s="467">
        <v>5824</v>
      </c>
      <c r="G65" s="466">
        <v>3673</v>
      </c>
      <c r="H65" s="466">
        <f>7337+132+30283+526</f>
        <v>38278</v>
      </c>
      <c r="I65" s="466">
        <v>17473</v>
      </c>
      <c r="J65" s="467">
        <v>3039</v>
      </c>
      <c r="K65" s="466">
        <v>10675</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179062</v>
      </c>
      <c r="D67" s="1688">
        <f t="shared" ref="D67:K67" si="2">SUM(D65:D66)</f>
        <v>14189</v>
      </c>
      <c r="E67" s="1688">
        <f t="shared" si="2"/>
        <v>32133</v>
      </c>
      <c r="F67" s="1688">
        <f t="shared" si="2"/>
        <v>5824</v>
      </c>
      <c r="G67" s="1688">
        <f t="shared" si="2"/>
        <v>3673</v>
      </c>
      <c r="H67" s="1688">
        <f t="shared" si="2"/>
        <v>38278</v>
      </c>
      <c r="I67" s="1688">
        <f t="shared" si="2"/>
        <v>17473</v>
      </c>
      <c r="J67" s="1688">
        <f t="shared" si="2"/>
        <v>3039</v>
      </c>
      <c r="K67" s="1688">
        <f t="shared" si="2"/>
        <v>10675</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36986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12019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49005</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40828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457846</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498674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130203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130203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25</v>
      </c>
      <c r="D95" s="551">
        <v>43130</v>
      </c>
      <c r="E95" s="521"/>
      <c r="F95" s="521"/>
      <c r="G95" s="521"/>
      <c r="H95" s="521"/>
      <c r="I95" s="521"/>
      <c r="J95" s="521"/>
      <c r="K95" s="521"/>
    </row>
    <row r="96" spans="1:11" ht="12.75" customHeight="1" x14ac:dyDescent="0.2">
      <c r="A96" s="463" t="s">
        <v>390</v>
      </c>
      <c r="B96" s="470">
        <v>1920</v>
      </c>
      <c r="C96" s="551">
        <f>2242+450</f>
        <v>2692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332236</v>
      </c>
      <c r="D98" s="466"/>
      <c r="E98" s="512"/>
      <c r="F98" s="466"/>
      <c r="G98" s="512"/>
      <c r="H98" s="512"/>
      <c r="I98" s="510"/>
      <c r="J98" s="512"/>
      <c r="K98" s="512"/>
    </row>
    <row r="99" spans="1:12" ht="12.75" customHeight="1" x14ac:dyDescent="0.2">
      <c r="A99" s="463" t="s">
        <v>820</v>
      </c>
      <c r="B99" s="470">
        <v>1950</v>
      </c>
      <c r="C99" s="489">
        <v>16080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9472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3516501</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f>236182-2242+244622</f>
        <v>478562</v>
      </c>
      <c r="D107" s="466">
        <v>74444</v>
      </c>
      <c r="E107" s="466"/>
      <c r="F107" s="466"/>
      <c r="G107" s="466"/>
      <c r="H107" s="466">
        <f>13580+4741</f>
        <v>18321</v>
      </c>
      <c r="I107" s="466"/>
      <c r="J107" s="467"/>
      <c r="K107" s="466"/>
    </row>
    <row r="108" spans="1:12" ht="12.75" customHeight="1" thickBot="1" x14ac:dyDescent="0.25">
      <c r="A108" s="1708" t="s">
        <v>486</v>
      </c>
      <c r="B108" s="1712"/>
      <c r="C108" s="1707">
        <f>SUM(C95:C107)</f>
        <v>839067</v>
      </c>
      <c r="D108" s="1707">
        <f t="shared" ref="D108:K108" si="3">SUM(D95:D107)</f>
        <v>117574</v>
      </c>
      <c r="E108" s="1707">
        <f t="shared" si="3"/>
        <v>0</v>
      </c>
      <c r="F108" s="1707">
        <f t="shared" si="3"/>
        <v>0</v>
      </c>
      <c r="G108" s="1707">
        <f t="shared" si="3"/>
        <v>0</v>
      </c>
      <c r="H108" s="1707">
        <f t="shared" si="3"/>
        <v>3534822</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26356894</v>
      </c>
      <c r="D109" s="1715">
        <f t="shared" si="4"/>
        <v>3481891</v>
      </c>
      <c r="E109" s="1715">
        <f t="shared" si="4"/>
        <v>2888530</v>
      </c>
      <c r="F109" s="1715">
        <f t="shared" si="4"/>
        <v>1240981</v>
      </c>
      <c r="G109" s="1715">
        <f t="shared" si="4"/>
        <v>1360381</v>
      </c>
      <c r="H109" s="1715">
        <f t="shared" si="4"/>
        <v>3573100</v>
      </c>
      <c r="I109" s="1715">
        <f t="shared" si="4"/>
        <v>18184</v>
      </c>
      <c r="J109" s="1715">
        <f t="shared" si="4"/>
        <v>662564</v>
      </c>
      <c r="K109" s="1702">
        <f t="shared" si="4"/>
        <v>327571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10601152</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1" t="s">
        <v>1931</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10601152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372010</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v>61611</v>
      </c>
      <c r="G127" s="468"/>
      <c r="H127" s="468"/>
      <c r="I127" s="468"/>
      <c r="J127" s="468"/>
      <c r="K127" s="468"/>
    </row>
    <row r="128" spans="1:11" ht="12.75" customHeight="1" x14ac:dyDescent="0.2">
      <c r="A128" s="463" t="s">
        <v>105</v>
      </c>
      <c r="B128" s="562">
        <v>3120</v>
      </c>
      <c r="C128" s="466">
        <v>2289215</v>
      </c>
      <c r="D128" s="561"/>
      <c r="E128" s="468"/>
      <c r="F128" s="466"/>
      <c r="G128" s="468"/>
      <c r="H128" s="468"/>
      <c r="I128" s="468"/>
      <c r="J128" s="468"/>
      <c r="K128" s="468"/>
    </row>
    <row r="129" spans="1:11" ht="12.75" customHeight="1" x14ac:dyDescent="0.2">
      <c r="A129" s="463" t="s">
        <v>1446</v>
      </c>
      <c r="B129" s="562">
        <v>3130</v>
      </c>
      <c r="C129" s="466">
        <v>120836</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2782061</v>
      </c>
      <c r="D132" s="1707">
        <f>SUM(D125:D131)</f>
        <v>0</v>
      </c>
      <c r="E132" s="469" t="s">
        <v>1168</v>
      </c>
      <c r="F132" s="1707">
        <f>SUM(F125:F131)</f>
        <v>61611</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36042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2770</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38812</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31997</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49123</v>
      </c>
      <c r="D148" s="573"/>
      <c r="E148" s="509"/>
      <c r="F148" s="468"/>
      <c r="G148" s="468"/>
      <c r="H148" s="468"/>
      <c r="I148" s="468"/>
      <c r="J148" s="468"/>
      <c r="K148" s="468"/>
    </row>
    <row r="149" spans="1:11" ht="12.75" customHeight="1" thickTop="1" thickBot="1" x14ac:dyDescent="0.25">
      <c r="A149" s="1500" t="s">
        <v>766</v>
      </c>
      <c r="B149" s="574">
        <v>3410</v>
      </c>
      <c r="C149" s="575">
        <v>322925</v>
      </c>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459863</v>
      </c>
      <c r="G152" s="467"/>
      <c r="H152" s="468"/>
      <c r="I152" s="468"/>
      <c r="J152" s="468"/>
      <c r="K152" s="468"/>
    </row>
    <row r="153" spans="1:11" ht="12.75" customHeight="1" x14ac:dyDescent="0.2">
      <c r="A153" s="463" t="s">
        <v>1056</v>
      </c>
      <c r="B153" s="562">
        <v>3510</v>
      </c>
      <c r="C153" s="551"/>
      <c r="D153" s="466"/>
      <c r="E153" s="561"/>
      <c r="F153" s="466">
        <v>387476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847339</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v>159488</v>
      </c>
      <c r="D158" s="468"/>
      <c r="E158" s="561"/>
      <c r="F158" s="576"/>
      <c r="G158" s="576"/>
      <c r="H158" s="468"/>
      <c r="I158" s="468"/>
      <c r="J158" s="468"/>
      <c r="K158" s="468"/>
    </row>
    <row r="159" spans="1:11" ht="12.75" customHeight="1" thickTop="1" thickBot="1" x14ac:dyDescent="0.25">
      <c r="A159" s="1500" t="s">
        <v>1050</v>
      </c>
      <c r="B159" s="574">
        <v>3705</v>
      </c>
      <c r="C159" s="576">
        <v>1861630</v>
      </c>
      <c r="D159" s="578"/>
      <c r="E159" s="561"/>
      <c r="F159" s="576">
        <v>91476</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f>3000+239943-24422+100575-1</f>
        <v>319095</v>
      </c>
      <c r="D168" s="580"/>
      <c r="E168" s="580"/>
      <c r="F168" s="580">
        <v>167</v>
      </c>
      <c r="G168" s="581"/>
      <c r="H168" s="582"/>
      <c r="I168" s="581"/>
      <c r="J168" s="581"/>
      <c r="K168" s="582"/>
    </row>
    <row r="169" spans="1:11" ht="12.75" customHeight="1" thickTop="1" thickBot="1" x14ac:dyDescent="0.25">
      <c r="A169" s="2147" t="s">
        <v>397</v>
      </c>
      <c r="B169" s="2148"/>
      <c r="C169" s="1722">
        <f t="shared" ref="C169:K169" si="6">SUM(C132,C141,C145,C146:C150,C155,C156:C167,C168)</f>
        <v>5565131</v>
      </c>
      <c r="D169" s="1722">
        <f t="shared" si="6"/>
        <v>0</v>
      </c>
      <c r="E169" s="1722">
        <f t="shared" si="6"/>
        <v>0</v>
      </c>
      <c r="F169" s="1722">
        <f t="shared" si="6"/>
        <v>1000593</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16166283</v>
      </c>
      <c r="D170" s="1715">
        <f t="shared" si="7"/>
        <v>0</v>
      </c>
      <c r="E170" s="1715">
        <f t="shared" si="7"/>
        <v>0</v>
      </c>
      <c r="F170" s="1715">
        <f t="shared" si="7"/>
        <v>1000593</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9" t="s">
        <v>1491</v>
      </c>
      <c r="B172" s="2150"/>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3" t="s">
        <v>1664</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1663</v>
      </c>
      <c r="B176" s="2158"/>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5" t="s">
        <v>784</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1799</v>
      </c>
      <c r="B182" s="2152"/>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1638141</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733498</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v>124401</v>
      </c>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2496040</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2116402</v>
      </c>
      <c r="D200" s="466"/>
      <c r="E200" s="468"/>
      <c r="F200" s="466">
        <v>7712</v>
      </c>
      <c r="G200" s="466"/>
      <c r="H200" s="468"/>
      <c r="I200" s="468"/>
      <c r="J200" s="468"/>
      <c r="K200" s="468"/>
    </row>
    <row r="201" spans="1:11" ht="12.75" customHeight="1" x14ac:dyDescent="0.2">
      <c r="A201" s="463" t="s">
        <v>918</v>
      </c>
      <c r="B201" s="470">
        <v>4305</v>
      </c>
      <c r="C201" s="551">
        <v>77317</v>
      </c>
      <c r="D201" s="466"/>
      <c r="E201" s="468"/>
      <c r="F201" s="466"/>
      <c r="G201" s="466"/>
      <c r="H201" s="468"/>
      <c r="I201" s="468"/>
      <c r="J201" s="468"/>
      <c r="K201" s="468"/>
    </row>
    <row r="202" spans="1:11" ht="12.75" customHeight="1" x14ac:dyDescent="0.2">
      <c r="A202" s="463" t="s">
        <v>1030</v>
      </c>
      <c r="B202" s="470">
        <v>4340</v>
      </c>
      <c r="C202" s="551">
        <v>37155</v>
      </c>
      <c r="D202" s="466"/>
      <c r="E202" s="468"/>
      <c r="F202" s="466"/>
      <c r="G202" s="466"/>
      <c r="H202" s="468"/>
      <c r="I202" s="468"/>
      <c r="J202" s="468"/>
      <c r="K202" s="468"/>
    </row>
    <row r="203" spans="1:11" ht="12.75" customHeight="1" x14ac:dyDescent="0.2">
      <c r="A203" s="463" t="s">
        <v>72</v>
      </c>
      <c r="B203" s="470">
        <v>4399</v>
      </c>
      <c r="C203" s="551"/>
      <c r="D203" s="466"/>
      <c r="E203" s="468"/>
      <c r="F203" s="466">
        <v>1656</v>
      </c>
      <c r="G203" s="466"/>
      <c r="H203" s="468"/>
      <c r="I203" s="468"/>
      <c r="J203" s="468"/>
      <c r="K203" s="468"/>
    </row>
    <row r="204" spans="1:11" ht="12.75" customHeight="1" thickBot="1" x14ac:dyDescent="0.25">
      <c r="A204" s="1708" t="s">
        <v>399</v>
      </c>
      <c r="B204" s="1709"/>
      <c r="C204" s="1707">
        <f>SUM(C200:C203)</f>
        <v>2230874</v>
      </c>
      <c r="D204" s="1707">
        <f>SUM(D200:D203)</f>
        <v>0</v>
      </c>
      <c r="E204" s="468"/>
      <c r="F204" s="1707">
        <f>SUM(F200:F203)</f>
        <v>9368</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v>476135</v>
      </c>
      <c r="D207" s="466"/>
      <c r="E207" s="468"/>
      <c r="F207" s="466">
        <v>46581</v>
      </c>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476135</v>
      </c>
      <c r="D209" s="1707">
        <f>SUM(D206:D208)</f>
        <v>0</v>
      </c>
      <c r="E209" s="468" t="s">
        <v>1168</v>
      </c>
      <c r="F209" s="1707">
        <f>SUM(F206:F208)</f>
        <v>46581</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57345</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1221694</v>
      </c>
      <c r="D213" s="466"/>
      <c r="E213" s="468"/>
      <c r="F213" s="466"/>
      <c r="G213" s="466"/>
      <c r="H213" s="468"/>
      <c r="I213" s="468"/>
      <c r="J213" s="468"/>
      <c r="K213" s="468"/>
    </row>
    <row r="214" spans="1:11" ht="12.75" customHeight="1" x14ac:dyDescent="0.2">
      <c r="A214" s="463" t="s">
        <v>1053</v>
      </c>
      <c r="B214" s="470">
        <v>4625</v>
      </c>
      <c r="C214" s="551">
        <v>271991</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1551030</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130270</v>
      </c>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36396</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127854</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1" t="s">
        <v>1932</v>
      </c>
      <c r="B261" s="470">
        <v>4981</v>
      </c>
      <c r="C261" s="575"/>
      <c r="D261" s="576"/>
      <c r="E261" s="468"/>
      <c r="F261" s="576"/>
      <c r="G261" s="576"/>
      <c r="H261" s="468"/>
      <c r="I261" s="468"/>
      <c r="J261" s="468"/>
      <c r="K261" s="468"/>
    </row>
    <row r="262" spans="1:11" ht="12.75" customHeight="1" thickTop="1" thickBot="1" x14ac:dyDescent="0.25">
      <c r="A262" s="1932"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83736</v>
      </c>
      <c r="D263" s="576"/>
      <c r="E263" s="468"/>
      <c r="F263" s="576">
        <v>17145</v>
      </c>
      <c r="G263" s="576"/>
      <c r="H263" s="468"/>
      <c r="I263" s="468"/>
      <c r="J263" s="468"/>
      <c r="K263" s="468"/>
    </row>
    <row r="264" spans="1:11" ht="12.75" customHeight="1" thickTop="1" thickBot="1" x14ac:dyDescent="0.25">
      <c r="A264" s="463" t="s">
        <v>376</v>
      </c>
      <c r="B264" s="470">
        <v>4992</v>
      </c>
      <c r="C264" s="575">
        <v>242569</v>
      </c>
      <c r="D264" s="576"/>
      <c r="E264" s="468"/>
      <c r="F264" s="576"/>
      <c r="G264" s="576"/>
      <c r="H264" s="468"/>
      <c r="I264" s="468"/>
      <c r="J264" s="468"/>
      <c r="K264" s="468"/>
    </row>
    <row r="265" spans="1:11" s="593" customFormat="1" ht="12.75" customHeight="1" thickTop="1" thickBot="1" x14ac:dyDescent="0.25">
      <c r="A265" s="563" t="s">
        <v>75</v>
      </c>
      <c r="B265" s="557">
        <v>4999</v>
      </c>
      <c r="C265" s="575">
        <f>109947+40531+17652+79647-30108</f>
        <v>217669</v>
      </c>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7592573</v>
      </c>
      <c r="D266" s="1715">
        <f t="shared" si="10"/>
        <v>0</v>
      </c>
      <c r="E266" s="1715">
        <f t="shared" si="10"/>
        <v>0</v>
      </c>
      <c r="F266" s="1715">
        <f t="shared" si="10"/>
        <v>73094</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7592573</v>
      </c>
      <c r="D267" s="1715">
        <f>SUM(D175,D181,D266)</f>
        <v>0</v>
      </c>
      <c r="E267" s="1715">
        <f>SUM(E175,E266)</f>
        <v>0</v>
      </c>
      <c r="F267" s="1715">
        <f t="shared" ref="F267:K267" si="11">SUM(F175,F181,F266)</f>
        <v>73094</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50115750</v>
      </c>
      <c r="D268" s="1715">
        <f t="shared" si="12"/>
        <v>3481891</v>
      </c>
      <c r="E268" s="1715">
        <f t="shared" si="12"/>
        <v>2888530</v>
      </c>
      <c r="F268" s="1715">
        <f t="shared" si="12"/>
        <v>2314668</v>
      </c>
      <c r="G268" s="1715">
        <f t="shared" si="12"/>
        <v>1360381</v>
      </c>
      <c r="H268" s="1715">
        <f t="shared" si="12"/>
        <v>3573100</v>
      </c>
      <c r="I268" s="1715">
        <f t="shared" si="12"/>
        <v>18184</v>
      </c>
      <c r="J268" s="1715">
        <f t="shared" si="12"/>
        <v>662564</v>
      </c>
      <c r="K268" s="1702">
        <f t="shared" si="12"/>
        <v>327571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D1" colorId="8" zoomScale="110" zoomScaleNormal="110" workbookViewId="0">
      <pane ySplit="2" topLeftCell="A303" activePane="bottomLeft" state="frozen"/>
      <selection pane="bottomLeft" activeCell="E328" sqref="E32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7" t="s">
        <v>296</v>
      </c>
      <c r="B3" s="2168"/>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f>14583422+3</f>
        <v>14583425</v>
      </c>
      <c r="D5" s="466">
        <v>1901768</v>
      </c>
      <c r="E5" s="466">
        <v>264287</v>
      </c>
      <c r="F5" s="466">
        <v>470295</v>
      </c>
      <c r="G5" s="466">
        <v>64347</v>
      </c>
      <c r="H5" s="466"/>
      <c r="I5" s="467"/>
      <c r="J5" s="467"/>
      <c r="K5" s="1671">
        <f>SUM(C5:J5)</f>
        <v>17284122</v>
      </c>
      <c r="L5" s="466">
        <f>68625+17066978</f>
        <v>17135603</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921671</v>
      </c>
      <c r="D7" s="467">
        <v>205558</v>
      </c>
      <c r="E7" s="467">
        <v>20133</v>
      </c>
      <c r="F7" s="467">
        <v>18190</v>
      </c>
      <c r="G7" s="467">
        <v>18509</v>
      </c>
      <c r="H7" s="467"/>
      <c r="I7" s="467"/>
      <c r="J7" s="467"/>
      <c r="K7" s="1671">
        <f t="shared" ref="K7:K32" si="0">SUM(C7:J7)</f>
        <v>1184061</v>
      </c>
      <c r="L7" s="466">
        <f>19100+1405293</f>
        <v>1424393</v>
      </c>
    </row>
    <row r="8" spans="1:14" x14ac:dyDescent="0.2">
      <c r="A8" s="1504" t="s">
        <v>164</v>
      </c>
      <c r="B8" s="614">
        <v>1200</v>
      </c>
      <c r="C8" s="466">
        <f>6566678+1</f>
        <v>6566679</v>
      </c>
      <c r="D8" s="466">
        <v>1342702</v>
      </c>
      <c r="E8" s="466">
        <v>950607</v>
      </c>
      <c r="F8" s="466">
        <v>88350</v>
      </c>
      <c r="G8" s="466">
        <v>13353</v>
      </c>
      <c r="H8" s="466">
        <v>1015526</v>
      </c>
      <c r="I8" s="467"/>
      <c r="J8" s="467"/>
      <c r="K8" s="1671">
        <f t="shared" si="0"/>
        <v>9977217</v>
      </c>
      <c r="L8" s="466">
        <f>50000+9970024</f>
        <v>10020024</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1610629</v>
      </c>
      <c r="D10" s="466">
        <v>244030</v>
      </c>
      <c r="E10" s="466">
        <v>252874</v>
      </c>
      <c r="F10" s="466">
        <v>230202</v>
      </c>
      <c r="G10" s="466"/>
      <c r="H10" s="466"/>
      <c r="I10" s="467"/>
      <c r="J10" s="467"/>
      <c r="K10" s="1671">
        <f t="shared" si="0"/>
        <v>2337735</v>
      </c>
      <c r="L10" s="466">
        <v>2203181</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f>247838-300-1</f>
        <v>247537</v>
      </c>
      <c r="D12" s="466">
        <v>66137</v>
      </c>
      <c r="E12" s="466">
        <v>9885</v>
      </c>
      <c r="F12" s="466">
        <v>15524</v>
      </c>
      <c r="G12" s="466"/>
      <c r="H12" s="466">
        <v>3075</v>
      </c>
      <c r="I12" s="467"/>
      <c r="J12" s="467"/>
      <c r="K12" s="1671">
        <f t="shared" si="0"/>
        <v>342158</v>
      </c>
      <c r="L12" s="466">
        <v>368682</v>
      </c>
    </row>
    <row r="13" spans="1:14" x14ac:dyDescent="0.2">
      <c r="A13" s="1504" t="s">
        <v>722</v>
      </c>
      <c r="B13" s="614">
        <v>1400</v>
      </c>
      <c r="C13" s="466">
        <f>84068+27990+2</f>
        <v>112060</v>
      </c>
      <c r="D13" s="466">
        <f>19535+2004</f>
        <v>21539</v>
      </c>
      <c r="E13" s="466">
        <f>711+1399</f>
        <v>2110</v>
      </c>
      <c r="F13" s="466">
        <f>295+15215</f>
        <v>15510</v>
      </c>
      <c r="G13" s="466"/>
      <c r="H13" s="466"/>
      <c r="I13" s="467"/>
      <c r="J13" s="467"/>
      <c r="K13" s="1671">
        <f t="shared" si="0"/>
        <v>151219</v>
      </c>
      <c r="L13" s="466">
        <f>135444+50805</f>
        <v>186249</v>
      </c>
    </row>
    <row r="14" spans="1:14" x14ac:dyDescent="0.2">
      <c r="A14" s="1504" t="s">
        <v>962</v>
      </c>
      <c r="B14" s="614">
        <v>1500</v>
      </c>
      <c r="C14" s="466">
        <v>790018</v>
      </c>
      <c r="D14" s="466">
        <v>76288</v>
      </c>
      <c r="E14" s="466">
        <v>77782</v>
      </c>
      <c r="F14" s="466">
        <v>38182</v>
      </c>
      <c r="G14" s="466">
        <v>33886</v>
      </c>
      <c r="H14" s="466">
        <v>3255</v>
      </c>
      <c r="I14" s="467"/>
      <c r="J14" s="467"/>
      <c r="K14" s="1671">
        <f t="shared" si="0"/>
        <v>1019411</v>
      </c>
      <c r="L14" s="466">
        <f>33600+975853</f>
        <v>1009453</v>
      </c>
    </row>
    <row r="15" spans="1:14" x14ac:dyDescent="0.2">
      <c r="A15" s="1504" t="s">
        <v>963</v>
      </c>
      <c r="B15" s="614">
        <v>1600</v>
      </c>
      <c r="C15" s="466">
        <f>45491-1</f>
        <v>45490</v>
      </c>
      <c r="D15" s="466">
        <v>2203</v>
      </c>
      <c r="E15" s="466"/>
      <c r="F15" s="466">
        <v>775</v>
      </c>
      <c r="G15" s="466"/>
      <c r="H15" s="466"/>
      <c r="I15" s="467"/>
      <c r="J15" s="467"/>
      <c r="K15" s="1671">
        <f t="shared" si="0"/>
        <v>48468</v>
      </c>
      <c r="L15" s="466">
        <v>37568</v>
      </c>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107343</v>
      </c>
      <c r="D17" s="467">
        <v>11380</v>
      </c>
      <c r="E17" s="467"/>
      <c r="F17" s="467">
        <v>3376</v>
      </c>
      <c r="G17" s="467"/>
      <c r="H17" s="467"/>
      <c r="I17" s="467"/>
      <c r="J17" s="467"/>
      <c r="K17" s="1671">
        <f t="shared" si="0"/>
        <v>122099</v>
      </c>
      <c r="L17" s="466">
        <v>163549</v>
      </c>
    </row>
    <row r="18" spans="1:12" x14ac:dyDescent="0.2">
      <c r="A18" s="1504" t="s">
        <v>1086</v>
      </c>
      <c r="B18" s="614">
        <v>1800</v>
      </c>
      <c r="C18" s="466">
        <f>1771613-2</f>
        <v>1771611</v>
      </c>
      <c r="D18" s="466">
        <v>254658</v>
      </c>
      <c r="E18" s="466">
        <v>2221</v>
      </c>
      <c r="F18" s="466">
        <v>12519</v>
      </c>
      <c r="G18" s="466"/>
      <c r="H18" s="466"/>
      <c r="I18" s="467"/>
      <c r="J18" s="467"/>
      <c r="K18" s="1671">
        <f t="shared" si="0"/>
        <v>2041009</v>
      </c>
      <c r="L18" s="466">
        <v>2079251</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26756463</v>
      </c>
      <c r="D33" s="1670">
        <f t="shared" ref="D33:L33" si="1">SUM(D5:D32)</f>
        <v>4126263</v>
      </c>
      <c r="E33" s="1670">
        <f t="shared" si="1"/>
        <v>1579899</v>
      </c>
      <c r="F33" s="1670">
        <f t="shared" si="1"/>
        <v>892923</v>
      </c>
      <c r="G33" s="1670">
        <f t="shared" si="1"/>
        <v>130095</v>
      </c>
      <c r="H33" s="1670">
        <f t="shared" si="1"/>
        <v>1021856</v>
      </c>
      <c r="I33" s="1670">
        <f t="shared" si="1"/>
        <v>0</v>
      </c>
      <c r="J33" s="1670">
        <f t="shared" si="1"/>
        <v>0</v>
      </c>
      <c r="K33" s="1670">
        <f t="shared" si="1"/>
        <v>34507499</v>
      </c>
      <c r="L33" s="1670">
        <f t="shared" si="1"/>
        <v>34627953</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f>137062+1364686-4</f>
        <v>1501744</v>
      </c>
      <c r="D36" s="481">
        <f>43422+256724</f>
        <v>300146</v>
      </c>
      <c r="E36" s="481">
        <f>87002</f>
        <v>87002</v>
      </c>
      <c r="F36" s="481">
        <v>1206</v>
      </c>
      <c r="G36" s="481"/>
      <c r="H36" s="481"/>
      <c r="I36" s="467"/>
      <c r="J36" s="467"/>
      <c r="K36" s="1671">
        <f t="shared" ref="K36:K41" si="2">SUM(C36:J36)</f>
        <v>1890098</v>
      </c>
      <c r="L36" s="466">
        <f>405467+1715153</f>
        <v>2120620</v>
      </c>
    </row>
    <row r="37" spans="1:14" x14ac:dyDescent="0.2">
      <c r="A37" s="1504" t="s">
        <v>1089</v>
      </c>
      <c r="B37" s="614">
        <v>2120</v>
      </c>
      <c r="C37" s="466">
        <f>106008+546851-1</f>
        <v>652858</v>
      </c>
      <c r="D37" s="466">
        <f>35411+60624</f>
        <v>96035</v>
      </c>
      <c r="E37" s="466">
        <f>17570+906</f>
        <v>18476</v>
      </c>
      <c r="F37" s="466">
        <f>4328+316</f>
        <v>4644</v>
      </c>
      <c r="G37" s="466"/>
      <c r="H37" s="466"/>
      <c r="I37" s="467"/>
      <c r="J37" s="467"/>
      <c r="K37" s="1671">
        <f t="shared" si="2"/>
        <v>772013</v>
      </c>
      <c r="L37" s="466">
        <f>188559+608664</f>
        <v>797223</v>
      </c>
    </row>
    <row r="38" spans="1:14" x14ac:dyDescent="0.2">
      <c r="A38" s="1504" t="s">
        <v>198</v>
      </c>
      <c r="B38" s="614">
        <v>2130</v>
      </c>
      <c r="C38" s="466">
        <v>768710</v>
      </c>
      <c r="D38" s="466">
        <v>151047</v>
      </c>
      <c r="E38" s="466">
        <v>27328</v>
      </c>
      <c r="F38" s="466">
        <v>6620</v>
      </c>
      <c r="G38" s="466">
        <v>1783</v>
      </c>
      <c r="H38" s="466"/>
      <c r="I38" s="467"/>
      <c r="J38" s="467"/>
      <c r="K38" s="1671">
        <f t="shared" si="2"/>
        <v>955488</v>
      </c>
      <c r="L38" s="466">
        <v>1150588</v>
      </c>
    </row>
    <row r="39" spans="1:14" x14ac:dyDescent="0.2">
      <c r="A39" s="1504" t="s">
        <v>199</v>
      </c>
      <c r="B39" s="614">
        <v>2140</v>
      </c>
      <c r="C39" s="466">
        <f>462097+2</f>
        <v>462099</v>
      </c>
      <c r="D39" s="466">
        <v>55736</v>
      </c>
      <c r="E39" s="466">
        <v>3911</v>
      </c>
      <c r="F39" s="466">
        <v>6550</v>
      </c>
      <c r="G39" s="466"/>
      <c r="H39" s="466"/>
      <c r="I39" s="467"/>
      <c r="J39" s="467"/>
      <c r="K39" s="1671">
        <f t="shared" si="2"/>
        <v>528296</v>
      </c>
      <c r="L39" s="466">
        <v>572559</v>
      </c>
    </row>
    <row r="40" spans="1:14" x14ac:dyDescent="0.2">
      <c r="A40" s="1504" t="s">
        <v>200</v>
      </c>
      <c r="B40" s="614">
        <v>2150</v>
      </c>
      <c r="C40" s="466">
        <f>844560+2</f>
        <v>844562</v>
      </c>
      <c r="D40" s="466">
        <v>105419</v>
      </c>
      <c r="E40" s="466">
        <v>40027</v>
      </c>
      <c r="F40" s="466">
        <v>4071</v>
      </c>
      <c r="G40" s="466"/>
      <c r="H40" s="466"/>
      <c r="I40" s="467"/>
      <c r="J40" s="467"/>
      <c r="K40" s="1671">
        <f t="shared" si="2"/>
        <v>994079</v>
      </c>
      <c r="L40" s="466">
        <v>1000058</v>
      </c>
    </row>
    <row r="41" spans="1:14" x14ac:dyDescent="0.2">
      <c r="A41" s="1504" t="s">
        <v>1668</v>
      </c>
      <c r="B41" s="614">
        <v>2190</v>
      </c>
      <c r="C41" s="466">
        <v>744</v>
      </c>
      <c r="D41" s="466">
        <v>46</v>
      </c>
      <c r="E41" s="466">
        <v>13838</v>
      </c>
      <c r="F41" s="466">
        <v>9774</v>
      </c>
      <c r="G41" s="466"/>
      <c r="H41" s="466"/>
      <c r="I41" s="467"/>
      <c r="J41" s="467"/>
      <c r="K41" s="1671">
        <f t="shared" si="2"/>
        <v>24402</v>
      </c>
      <c r="L41" s="466">
        <v>43136</v>
      </c>
    </row>
    <row r="42" spans="1:14" ht="12.75" customHeight="1" thickBot="1" x14ac:dyDescent="0.25">
      <c r="A42" s="1668" t="s">
        <v>559</v>
      </c>
      <c r="B42" s="1669" t="s">
        <v>715</v>
      </c>
      <c r="C42" s="1670">
        <f>SUM(C36:C41)</f>
        <v>4230717</v>
      </c>
      <c r="D42" s="1670">
        <f t="shared" ref="D42:L42" si="3">SUM(D36:D41)</f>
        <v>708429</v>
      </c>
      <c r="E42" s="1670">
        <f t="shared" si="3"/>
        <v>190582</v>
      </c>
      <c r="F42" s="1670">
        <f t="shared" si="3"/>
        <v>32865</v>
      </c>
      <c r="G42" s="1670">
        <f t="shared" si="3"/>
        <v>1783</v>
      </c>
      <c r="H42" s="1670">
        <f t="shared" si="3"/>
        <v>0</v>
      </c>
      <c r="I42" s="1670">
        <f t="shared" si="3"/>
        <v>0</v>
      </c>
      <c r="J42" s="1670">
        <f t="shared" si="3"/>
        <v>0</v>
      </c>
      <c r="K42" s="1670">
        <f t="shared" si="3"/>
        <v>5164376</v>
      </c>
      <c r="L42" s="1670">
        <f t="shared" si="3"/>
        <v>5684184</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f>906014-13</f>
        <v>906001</v>
      </c>
      <c r="D44" s="481">
        <v>90873</v>
      </c>
      <c r="E44" s="481">
        <f>9811+205522</f>
        <v>215333</v>
      </c>
      <c r="F44" s="481">
        <v>34076</v>
      </c>
      <c r="G44" s="481">
        <v>40545</v>
      </c>
      <c r="H44" s="481"/>
      <c r="I44" s="467"/>
      <c r="J44" s="467"/>
      <c r="K44" s="1672">
        <f>SUM(C44:J44)</f>
        <v>1286828</v>
      </c>
      <c r="L44" s="481">
        <f>12860+46800+1376695</f>
        <v>1436355</v>
      </c>
    </row>
    <row r="45" spans="1:14" x14ac:dyDescent="0.2">
      <c r="A45" s="1504" t="s">
        <v>814</v>
      </c>
      <c r="B45" s="614">
        <v>2220</v>
      </c>
      <c r="C45" s="466">
        <v>705091</v>
      </c>
      <c r="D45" s="466">
        <v>107689</v>
      </c>
      <c r="E45" s="466">
        <v>30266</v>
      </c>
      <c r="F45" s="466">
        <v>48887</v>
      </c>
      <c r="G45" s="466"/>
      <c r="H45" s="466"/>
      <c r="I45" s="467"/>
      <c r="J45" s="467"/>
      <c r="K45" s="1672">
        <f>SUM(C45:J45)</f>
        <v>891933</v>
      </c>
      <c r="L45" s="466">
        <f>848894</f>
        <v>848894</v>
      </c>
    </row>
    <row r="46" spans="1:14" x14ac:dyDescent="0.2">
      <c r="A46" s="1504" t="s">
        <v>815</v>
      </c>
      <c r="B46" s="614">
        <v>2230</v>
      </c>
      <c r="C46" s="466">
        <v>48493</v>
      </c>
      <c r="D46" s="466">
        <v>11268</v>
      </c>
      <c r="E46" s="466">
        <v>19500</v>
      </c>
      <c r="F46" s="466">
        <v>1000</v>
      </c>
      <c r="G46" s="466"/>
      <c r="H46" s="466"/>
      <c r="I46" s="467"/>
      <c r="J46" s="467"/>
      <c r="K46" s="1672">
        <f>SUM(C46:J46)</f>
        <v>80261</v>
      </c>
      <c r="L46" s="466">
        <f>47298+26500</f>
        <v>73798</v>
      </c>
    </row>
    <row r="47" spans="1:14" ht="12.75" customHeight="1" thickBot="1" x14ac:dyDescent="0.25">
      <c r="A47" s="1668" t="s">
        <v>560</v>
      </c>
      <c r="B47" s="1669" t="s">
        <v>32</v>
      </c>
      <c r="C47" s="1670">
        <f>SUM(C44:C46)</f>
        <v>1659585</v>
      </c>
      <c r="D47" s="1670">
        <f t="shared" ref="D47:K47" si="4">SUM(D44:D46)</f>
        <v>209830</v>
      </c>
      <c r="E47" s="1670">
        <f t="shared" si="4"/>
        <v>265099</v>
      </c>
      <c r="F47" s="1670">
        <f t="shared" si="4"/>
        <v>83963</v>
      </c>
      <c r="G47" s="1670">
        <f t="shared" si="4"/>
        <v>40545</v>
      </c>
      <c r="H47" s="1670">
        <f t="shared" si="4"/>
        <v>0</v>
      </c>
      <c r="I47" s="1670">
        <f t="shared" si="4"/>
        <v>0</v>
      </c>
      <c r="J47" s="1670">
        <f t="shared" si="4"/>
        <v>0</v>
      </c>
      <c r="K47" s="1670">
        <f t="shared" si="4"/>
        <v>2259022</v>
      </c>
      <c r="L47" s="1670">
        <f>SUM(L44:L46)</f>
        <v>2359047</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50661</v>
      </c>
      <c r="D49" s="481">
        <v>19321</v>
      </c>
      <c r="E49" s="481">
        <v>120877</v>
      </c>
      <c r="F49" s="481">
        <v>10881</v>
      </c>
      <c r="G49" s="481"/>
      <c r="H49" s="481">
        <v>96862</v>
      </c>
      <c r="I49" s="467"/>
      <c r="J49" s="467"/>
      <c r="K49" s="1672">
        <f>SUM(C49:J49)</f>
        <v>298602</v>
      </c>
      <c r="L49" s="481">
        <f>302293</f>
        <v>302293</v>
      </c>
    </row>
    <row r="50" spans="1:14" x14ac:dyDescent="0.2">
      <c r="A50" s="1504" t="s">
        <v>817</v>
      </c>
      <c r="B50" s="614">
        <v>2320</v>
      </c>
      <c r="C50" s="466">
        <f>129049+426802</f>
        <v>555851</v>
      </c>
      <c r="D50" s="466">
        <f>24827+35691</f>
        <v>60518</v>
      </c>
      <c r="E50" s="466">
        <f>4316+5372</f>
        <v>9688</v>
      </c>
      <c r="F50" s="466">
        <f>4229-1943</f>
        <v>2286</v>
      </c>
      <c r="G50" s="466"/>
      <c r="H50" s="466"/>
      <c r="I50" s="467"/>
      <c r="J50" s="467"/>
      <c r="K50" s="1672">
        <f>SUM(C50:J50)</f>
        <v>628343</v>
      </c>
      <c r="L50" s="466">
        <f>176840+310495</f>
        <v>487335</v>
      </c>
    </row>
    <row r="51" spans="1:14" x14ac:dyDescent="0.2">
      <c r="A51" s="1504" t="s">
        <v>42</v>
      </c>
      <c r="B51" s="614">
        <v>2330</v>
      </c>
      <c r="C51" s="466">
        <v>736295</v>
      </c>
      <c r="D51" s="466">
        <v>72510</v>
      </c>
      <c r="E51" s="466">
        <f>1623+6589</f>
        <v>8212</v>
      </c>
      <c r="F51" s="466">
        <v>6147</v>
      </c>
      <c r="G51" s="466">
        <v>1110</v>
      </c>
      <c r="H51" s="466"/>
      <c r="I51" s="467"/>
      <c r="J51" s="467"/>
      <c r="K51" s="1672">
        <f>SUM(C51:J51)</f>
        <v>824274</v>
      </c>
      <c r="L51" s="466">
        <f>2024+2000+811293</f>
        <v>815317</v>
      </c>
    </row>
    <row r="52" spans="1:14" ht="22.5" x14ac:dyDescent="0.2">
      <c r="A52" s="1505" t="s">
        <v>297</v>
      </c>
      <c r="B52" s="627" t="s">
        <v>365</v>
      </c>
      <c r="C52" s="474"/>
      <c r="D52" s="474"/>
      <c r="E52" s="474">
        <v>2223</v>
      </c>
      <c r="F52" s="474"/>
      <c r="G52" s="474"/>
      <c r="H52" s="474"/>
      <c r="I52" s="474"/>
      <c r="J52" s="474"/>
      <c r="K52" s="1672">
        <f>SUM(C52:J52)</f>
        <v>2223</v>
      </c>
      <c r="L52" s="474">
        <v>1280</v>
      </c>
    </row>
    <row r="53" spans="1:14" ht="12.75" customHeight="1" thickBot="1" x14ac:dyDescent="0.25">
      <c r="A53" s="1668" t="s">
        <v>716</v>
      </c>
      <c r="B53" s="1669" t="s">
        <v>33</v>
      </c>
      <c r="C53" s="1670">
        <f>SUM(C49:C52)</f>
        <v>1342807</v>
      </c>
      <c r="D53" s="1670">
        <f t="shared" ref="D53:L53" si="5">SUM(D49:D52)</f>
        <v>152349</v>
      </c>
      <c r="E53" s="1670">
        <f t="shared" si="5"/>
        <v>141000</v>
      </c>
      <c r="F53" s="1670">
        <f t="shared" si="5"/>
        <v>19314</v>
      </c>
      <c r="G53" s="1670">
        <f t="shared" si="5"/>
        <v>1110</v>
      </c>
      <c r="H53" s="1670">
        <f t="shared" si="5"/>
        <v>96862</v>
      </c>
      <c r="I53" s="1670">
        <f t="shared" si="5"/>
        <v>0</v>
      </c>
      <c r="J53" s="1670">
        <f t="shared" si="5"/>
        <v>0</v>
      </c>
      <c r="K53" s="1670">
        <f t="shared" si="5"/>
        <v>1753442</v>
      </c>
      <c r="L53" s="1670">
        <f t="shared" si="5"/>
        <v>1606225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f>2355071-1</f>
        <v>2355070</v>
      </c>
      <c r="D55" s="481">
        <v>300222</v>
      </c>
      <c r="E55" s="481">
        <v>59758</v>
      </c>
      <c r="F55" s="481">
        <v>41026</v>
      </c>
      <c r="G55" s="481"/>
      <c r="H55" s="481"/>
      <c r="I55" s="467"/>
      <c r="J55" s="467"/>
      <c r="K55" s="1672">
        <f>SUM(C55:J55)</f>
        <v>2756076</v>
      </c>
      <c r="L55" s="481">
        <f>2827879</f>
        <v>2827879</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2355070</v>
      </c>
      <c r="D57" s="1674">
        <f t="shared" ref="D57:K57" si="6">SUM(D55:D56)</f>
        <v>300222</v>
      </c>
      <c r="E57" s="1674">
        <f t="shared" si="6"/>
        <v>59758</v>
      </c>
      <c r="F57" s="1674">
        <f t="shared" si="6"/>
        <v>41026</v>
      </c>
      <c r="G57" s="1674">
        <f t="shared" si="6"/>
        <v>0</v>
      </c>
      <c r="H57" s="1674">
        <f t="shared" si="6"/>
        <v>0</v>
      </c>
      <c r="I57" s="1674">
        <f t="shared" si="6"/>
        <v>0</v>
      </c>
      <c r="J57" s="1674">
        <f t="shared" si="6"/>
        <v>0</v>
      </c>
      <c r="K57" s="1674">
        <f t="shared" si="6"/>
        <v>2756076</v>
      </c>
      <c r="L57" s="1670">
        <f>SUM(L55:L56)</f>
        <v>2827879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173549</v>
      </c>
      <c r="D59" s="481">
        <v>13657</v>
      </c>
      <c r="E59" s="481">
        <v>1251</v>
      </c>
      <c r="F59" s="481">
        <v>2221</v>
      </c>
      <c r="G59" s="481"/>
      <c r="H59" s="481"/>
      <c r="I59" s="467"/>
      <c r="J59" s="467"/>
      <c r="K59" s="1672">
        <f t="shared" ref="K59:K64" si="7">SUM(C59:J59)</f>
        <v>190678</v>
      </c>
      <c r="L59" s="481">
        <f>178933</f>
        <v>178933</v>
      </c>
      <c r="M59" s="609"/>
      <c r="N59" s="609"/>
    </row>
    <row r="60" spans="1:14" s="343" customFormat="1" x14ac:dyDescent="0.2">
      <c r="A60" s="1504" t="s">
        <v>462</v>
      </c>
      <c r="B60" s="614">
        <v>2520</v>
      </c>
      <c r="C60" s="466">
        <f>5959+278760</f>
        <v>284719</v>
      </c>
      <c r="D60" s="466">
        <v>25611</v>
      </c>
      <c r="E60" s="466"/>
      <c r="F60" s="466">
        <v>50751</v>
      </c>
      <c r="G60" s="466">
        <v>25000</v>
      </c>
      <c r="H60" s="466"/>
      <c r="I60" s="467"/>
      <c r="J60" s="467"/>
      <c r="K60" s="1672">
        <f t="shared" si="7"/>
        <v>386081</v>
      </c>
      <c r="L60" s="466">
        <f>6545+382708</f>
        <v>389253</v>
      </c>
      <c r="M60" s="609"/>
      <c r="N60" s="609"/>
    </row>
    <row r="61" spans="1:14" s="343" customFormat="1" x14ac:dyDescent="0.2">
      <c r="A61" s="1504" t="s">
        <v>197</v>
      </c>
      <c r="B61" s="614">
        <v>2540</v>
      </c>
      <c r="C61" s="466">
        <f>7020+227179</f>
        <v>234199</v>
      </c>
      <c r="D61" s="466">
        <f>537+27871</f>
        <v>28408</v>
      </c>
      <c r="E61" s="466">
        <f>48934+263281</f>
        <v>312215</v>
      </c>
      <c r="F61" s="466">
        <f>1328+1236976</f>
        <v>1238304</v>
      </c>
      <c r="G61" s="466"/>
      <c r="H61" s="466"/>
      <c r="I61" s="467"/>
      <c r="J61" s="467"/>
      <c r="K61" s="1672">
        <f t="shared" si="7"/>
        <v>1813126</v>
      </c>
      <c r="L61" s="466">
        <f>58055+1653957</f>
        <v>1712012</v>
      </c>
      <c r="M61" s="609"/>
      <c r="N61" s="609"/>
    </row>
    <row r="62" spans="1:14" s="343" customFormat="1" x14ac:dyDescent="0.2">
      <c r="A62" s="1504" t="s">
        <v>952</v>
      </c>
      <c r="B62" s="614">
        <v>2550</v>
      </c>
      <c r="C62" s="466"/>
      <c r="D62" s="466"/>
      <c r="E62" s="466">
        <v>959</v>
      </c>
      <c r="F62" s="466">
        <v>2084</v>
      </c>
      <c r="G62" s="466"/>
      <c r="H62" s="466"/>
      <c r="I62" s="467"/>
      <c r="J62" s="467"/>
      <c r="K62" s="1672">
        <f t="shared" si="7"/>
        <v>3043</v>
      </c>
      <c r="L62" s="466">
        <v>3300</v>
      </c>
      <c r="M62" s="609"/>
      <c r="N62" s="609"/>
    </row>
    <row r="63" spans="1:14" s="609" customFormat="1" x14ac:dyDescent="0.2">
      <c r="A63" s="1504" t="s">
        <v>100</v>
      </c>
      <c r="B63" s="614">
        <v>2560</v>
      </c>
      <c r="C63" s="466">
        <v>1339</v>
      </c>
      <c r="D63" s="466"/>
      <c r="E63" s="466">
        <v>2105221</v>
      </c>
      <c r="F63" s="466">
        <f>2432+152</f>
        <v>2584</v>
      </c>
      <c r="G63" s="466">
        <v>318</v>
      </c>
      <c r="H63" s="466">
        <v>1270</v>
      </c>
      <c r="I63" s="467"/>
      <c r="J63" s="467"/>
      <c r="K63" s="1672">
        <f t="shared" si="7"/>
        <v>2110732</v>
      </c>
      <c r="L63" s="466">
        <f>2400+2192000</f>
        <v>2194400</v>
      </c>
    </row>
    <row r="64" spans="1:14" s="609" customFormat="1" x14ac:dyDescent="0.2">
      <c r="A64" s="1509" t="s">
        <v>101</v>
      </c>
      <c r="B64" s="630">
        <v>2570</v>
      </c>
      <c r="C64" s="481">
        <v>146613</v>
      </c>
      <c r="D64" s="481">
        <v>21758</v>
      </c>
      <c r="E64" s="481">
        <v>4242</v>
      </c>
      <c r="F64" s="481">
        <f>32986+300-2</f>
        <v>33284</v>
      </c>
      <c r="G64" s="481">
        <v>2917</v>
      </c>
      <c r="H64" s="481"/>
      <c r="I64" s="467"/>
      <c r="J64" s="467"/>
      <c r="K64" s="1672">
        <f t="shared" si="7"/>
        <v>208814</v>
      </c>
      <c r="L64" s="481">
        <f>500+208566</f>
        <v>209066</v>
      </c>
    </row>
    <row r="65" spans="1:14" s="343" customFormat="1" ht="12.75" customHeight="1" thickBot="1" x14ac:dyDescent="0.25">
      <c r="A65" s="1668" t="s">
        <v>718</v>
      </c>
      <c r="B65" s="1669" t="s">
        <v>35</v>
      </c>
      <c r="C65" s="1670">
        <f>SUM(C59:C64)</f>
        <v>840419</v>
      </c>
      <c r="D65" s="1670">
        <f t="shared" ref="D65:L65" si="8">SUM(D59:D64)</f>
        <v>89434</v>
      </c>
      <c r="E65" s="1670">
        <f t="shared" si="8"/>
        <v>2423888</v>
      </c>
      <c r="F65" s="1670">
        <f t="shared" si="8"/>
        <v>1329228</v>
      </c>
      <c r="G65" s="1670">
        <f t="shared" si="8"/>
        <v>28235</v>
      </c>
      <c r="H65" s="1670">
        <f t="shared" si="8"/>
        <v>1270</v>
      </c>
      <c r="I65" s="1670">
        <f t="shared" si="8"/>
        <v>0</v>
      </c>
      <c r="J65" s="1670">
        <f t="shared" si="8"/>
        <v>0</v>
      </c>
      <c r="K65" s="1670">
        <f t="shared" si="8"/>
        <v>4712474</v>
      </c>
      <c r="L65" s="1670">
        <f t="shared" si="8"/>
        <v>4686964</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v>745300</v>
      </c>
      <c r="D68" s="466">
        <v>78182</v>
      </c>
      <c r="E68" s="466">
        <v>14803</v>
      </c>
      <c r="F68" s="466">
        <v>2145</v>
      </c>
      <c r="G68" s="466">
        <v>7239</v>
      </c>
      <c r="H68" s="466"/>
      <c r="I68" s="467"/>
      <c r="J68" s="467"/>
      <c r="K68" s="1672">
        <f>SUM(C68:J68)</f>
        <v>847669</v>
      </c>
      <c r="L68" s="466">
        <f>10000+729531</f>
        <v>739531</v>
      </c>
      <c r="M68" s="609"/>
      <c r="N68" s="609"/>
    </row>
    <row r="69" spans="1:14" s="343" customFormat="1" x14ac:dyDescent="0.2">
      <c r="A69" s="1504" t="s">
        <v>1060</v>
      </c>
      <c r="B69" s="614">
        <v>2630</v>
      </c>
      <c r="C69" s="466"/>
      <c r="D69" s="466"/>
      <c r="E69" s="466">
        <f>800+300</f>
        <v>1100</v>
      </c>
      <c r="F69" s="466"/>
      <c r="G69" s="466"/>
      <c r="H69" s="466"/>
      <c r="I69" s="467"/>
      <c r="J69" s="467"/>
      <c r="K69" s="1672">
        <f>SUM(C69:J69)</f>
        <v>1100</v>
      </c>
      <c r="L69" s="466">
        <v>500</v>
      </c>
      <c r="M69" s="609"/>
      <c r="N69" s="609"/>
    </row>
    <row r="70" spans="1:14" s="343" customFormat="1" x14ac:dyDescent="0.2">
      <c r="A70" s="1504" t="s">
        <v>402</v>
      </c>
      <c r="B70" s="614">
        <v>2640</v>
      </c>
      <c r="C70" s="466">
        <v>535027</v>
      </c>
      <c r="D70" s="466">
        <v>44366</v>
      </c>
      <c r="E70" s="466">
        <v>51574</v>
      </c>
      <c r="F70" s="466">
        <v>11511</v>
      </c>
      <c r="G70" s="466">
        <v>268</v>
      </c>
      <c r="H70" s="466"/>
      <c r="I70" s="467"/>
      <c r="J70" s="467"/>
      <c r="K70" s="1672">
        <f>SUM(C70:J70)</f>
        <v>642746</v>
      </c>
      <c r="L70" s="466">
        <f>2300+594794</f>
        <v>597094</v>
      </c>
      <c r="M70" s="609"/>
      <c r="N70" s="609"/>
    </row>
    <row r="71" spans="1:14" s="343" customFormat="1" x14ac:dyDescent="0.2">
      <c r="A71" s="1504" t="s">
        <v>403</v>
      </c>
      <c r="B71" s="614">
        <v>2660</v>
      </c>
      <c r="C71" s="466"/>
      <c r="D71" s="466"/>
      <c r="E71" s="466">
        <f>1477+22374</f>
        <v>23851</v>
      </c>
      <c r="F71" s="466">
        <v>2312</v>
      </c>
      <c r="G71" s="466"/>
      <c r="H71" s="466"/>
      <c r="I71" s="467"/>
      <c r="J71" s="467"/>
      <c r="K71" s="1672">
        <f>SUM(C71:J71)</f>
        <v>26163</v>
      </c>
      <c r="L71" s="466">
        <f>1319+5233+50500</f>
        <v>57052</v>
      </c>
      <c r="M71" s="609"/>
      <c r="N71" s="609"/>
    </row>
    <row r="72" spans="1:14" s="343" customFormat="1" ht="12.75" customHeight="1" thickBot="1" x14ac:dyDescent="0.25">
      <c r="A72" s="1668" t="s">
        <v>37</v>
      </c>
      <c r="B72" s="1675" t="s">
        <v>36</v>
      </c>
      <c r="C72" s="1670">
        <f>SUM(C67:C71)</f>
        <v>1280327</v>
      </c>
      <c r="D72" s="1670">
        <f t="shared" ref="D72:K72" si="9">SUM(D67:D71)</f>
        <v>122548</v>
      </c>
      <c r="E72" s="1670">
        <f t="shared" si="9"/>
        <v>91328</v>
      </c>
      <c r="F72" s="1670">
        <f t="shared" si="9"/>
        <v>15968</v>
      </c>
      <c r="G72" s="1670">
        <f t="shared" si="9"/>
        <v>7507</v>
      </c>
      <c r="H72" s="1670">
        <f t="shared" si="9"/>
        <v>0</v>
      </c>
      <c r="I72" s="1670">
        <f t="shared" si="9"/>
        <v>0</v>
      </c>
      <c r="J72" s="1670">
        <f t="shared" si="9"/>
        <v>0</v>
      </c>
      <c r="K72" s="1670">
        <f t="shared" si="9"/>
        <v>1517678</v>
      </c>
      <c r="L72" s="1670">
        <f>SUM(L67:L71)</f>
        <v>1394177</v>
      </c>
      <c r="M72" s="609"/>
      <c r="N72" s="609"/>
    </row>
    <row r="73" spans="1:14" s="343" customFormat="1" ht="14.25" thickTop="1" thickBot="1" x14ac:dyDescent="0.25">
      <c r="A73" s="1510" t="s">
        <v>979</v>
      </c>
      <c r="B73" s="632" t="s">
        <v>573</v>
      </c>
      <c r="C73" s="573">
        <v>264725</v>
      </c>
      <c r="D73" s="573">
        <v>40278</v>
      </c>
      <c r="E73" s="573">
        <v>2001</v>
      </c>
      <c r="F73" s="573">
        <f>3352+7771+1</f>
        <v>11124</v>
      </c>
      <c r="G73" s="573"/>
      <c r="H73" s="573"/>
      <c r="I73" s="531"/>
      <c r="J73" s="531"/>
      <c r="K73" s="1670">
        <f>SUM(C73:J73)</f>
        <v>318128</v>
      </c>
      <c r="L73" s="576">
        <f>3350+589998</f>
        <v>593348</v>
      </c>
      <c r="M73" s="609"/>
      <c r="N73" s="609"/>
    </row>
    <row r="74" spans="1:14" ht="12.75" customHeight="1" thickTop="1" thickBot="1" x14ac:dyDescent="0.25">
      <c r="A74" s="1668" t="s">
        <v>810</v>
      </c>
      <c r="B74" s="1676">
        <v>2000</v>
      </c>
      <c r="C74" s="1677">
        <f>SUM(C42,C47,C53,C57,C65,C72,C73)</f>
        <v>11973650</v>
      </c>
      <c r="D74" s="1677">
        <f t="shared" ref="D74:K74" si="10">SUM(D42,D47,D53,D57,D65,D72,D73)</f>
        <v>1623090</v>
      </c>
      <c r="E74" s="1677">
        <f t="shared" si="10"/>
        <v>3173656</v>
      </c>
      <c r="F74" s="1677">
        <f t="shared" si="10"/>
        <v>1533488</v>
      </c>
      <c r="G74" s="1677">
        <f t="shared" si="10"/>
        <v>79180</v>
      </c>
      <c r="H74" s="1677">
        <f t="shared" si="10"/>
        <v>98132</v>
      </c>
      <c r="I74" s="1677">
        <f t="shared" si="10"/>
        <v>0</v>
      </c>
      <c r="J74" s="1677">
        <f t="shared" si="10"/>
        <v>0</v>
      </c>
      <c r="K74" s="1677">
        <f t="shared" si="10"/>
        <v>18481196</v>
      </c>
      <c r="L74" s="1677">
        <f>SUM(L42,L47,L53,L57,L65,L72,L73)</f>
        <v>19151824</v>
      </c>
    </row>
    <row r="75" spans="1:14" s="259" customFormat="1" ht="15.75" customHeight="1" thickTop="1" thickBot="1" x14ac:dyDescent="0.25">
      <c r="A75" s="1610" t="s">
        <v>47</v>
      </c>
      <c r="B75" s="1611" t="s">
        <v>574</v>
      </c>
      <c r="C75" s="573">
        <v>1120428</v>
      </c>
      <c r="D75" s="573">
        <v>297178</v>
      </c>
      <c r="E75" s="573">
        <v>66826</v>
      </c>
      <c r="F75" s="573">
        <v>60106</v>
      </c>
      <c r="G75" s="573">
        <v>6925</v>
      </c>
      <c r="H75" s="573">
        <v>30000</v>
      </c>
      <c r="I75" s="531"/>
      <c r="J75" s="531"/>
      <c r="K75" s="1670">
        <f>SUM(C75:J75)</f>
        <v>1581463</v>
      </c>
      <c r="L75" s="576">
        <f>10749+1626437</f>
        <v>1637186</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42000</v>
      </c>
      <c r="F78" s="616"/>
      <c r="G78" s="616"/>
      <c r="H78" s="634">
        <v>110158</v>
      </c>
      <c r="I78" s="477"/>
      <c r="J78" s="477"/>
      <c r="K78" s="1671">
        <f t="shared" ref="K78:K83" si="11">SUM(C78:J78)</f>
        <v>152158</v>
      </c>
      <c r="L78" s="481">
        <f>88814</f>
        <v>88814</v>
      </c>
    </row>
    <row r="79" spans="1:14" x14ac:dyDescent="0.2">
      <c r="A79" s="1504" t="s">
        <v>303</v>
      </c>
      <c r="B79" s="614">
        <v>4120</v>
      </c>
      <c r="C79" s="616"/>
      <c r="D79" s="616"/>
      <c r="E79" s="466"/>
      <c r="F79" s="616"/>
      <c r="G79" s="616"/>
      <c r="H79" s="466">
        <v>276028</v>
      </c>
      <c r="I79" s="477"/>
      <c r="J79" s="477"/>
      <c r="K79" s="1671">
        <f t="shared" si="11"/>
        <v>276028</v>
      </c>
      <c r="L79" s="466">
        <v>250000</v>
      </c>
    </row>
    <row r="80" spans="1:14" x14ac:dyDescent="0.2">
      <c r="A80" s="1504" t="s">
        <v>304</v>
      </c>
      <c r="B80" s="614">
        <v>4130</v>
      </c>
      <c r="C80" s="616"/>
      <c r="D80" s="616"/>
      <c r="E80" s="466"/>
      <c r="F80" s="616"/>
      <c r="G80" s="616"/>
      <c r="H80" s="466">
        <v>295564</v>
      </c>
      <c r="I80" s="477"/>
      <c r="J80" s="477"/>
      <c r="K80" s="1671">
        <f t="shared" si="11"/>
        <v>295564</v>
      </c>
      <c r="L80" s="466">
        <f>310796</f>
        <v>310796</v>
      </c>
    </row>
    <row r="81" spans="1:12" x14ac:dyDescent="0.2">
      <c r="A81" s="1504" t="s">
        <v>696</v>
      </c>
      <c r="B81" s="614">
        <v>4140</v>
      </c>
      <c r="C81" s="616"/>
      <c r="D81" s="616"/>
      <c r="E81" s="466"/>
      <c r="F81" s="616"/>
      <c r="G81" s="616"/>
      <c r="H81" s="466">
        <v>4298</v>
      </c>
      <c r="I81" s="477"/>
      <c r="J81" s="477"/>
      <c r="K81" s="1671">
        <f t="shared" si="11"/>
        <v>4298</v>
      </c>
      <c r="L81" s="466">
        <f>4000</f>
        <v>4000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v>296897</v>
      </c>
      <c r="I83" s="477"/>
      <c r="J83" s="477"/>
      <c r="K83" s="1671">
        <f t="shared" si="11"/>
        <v>296897</v>
      </c>
      <c r="L83" s="466">
        <f>40000+10970+9400+223335</f>
        <v>283705</v>
      </c>
    </row>
    <row r="84" spans="1:12" ht="13.5" thickBot="1" x14ac:dyDescent="0.25">
      <c r="A84" s="1668" t="s">
        <v>1484</v>
      </c>
      <c r="B84" s="1678">
        <v>4100</v>
      </c>
      <c r="C84" s="616"/>
      <c r="D84" s="616"/>
      <c r="E84" s="1670">
        <f>SUM(E78:E83)</f>
        <v>42000</v>
      </c>
      <c r="F84" s="616"/>
      <c r="G84" s="616"/>
      <c r="H84" s="1670">
        <f>SUM(H78:H83)</f>
        <v>982945</v>
      </c>
      <c r="I84" s="477"/>
      <c r="J84" s="477"/>
      <c r="K84" s="1670">
        <f>SUM(K78:K83)</f>
        <v>1024945</v>
      </c>
      <c r="L84" s="1670">
        <f>SUM(L78:L83)</f>
        <v>937315</v>
      </c>
    </row>
    <row r="85" spans="1:12" ht="12.75" customHeight="1" thickTop="1" thickBot="1" x14ac:dyDescent="0.25">
      <c r="A85" s="1511" t="s">
        <v>255</v>
      </c>
      <c r="B85" s="635">
        <v>4210</v>
      </c>
      <c r="C85" s="616"/>
      <c r="D85" s="616"/>
      <c r="E85" s="636"/>
      <c r="F85" s="616"/>
      <c r="G85" s="616"/>
      <c r="H85" s="535">
        <v>112000</v>
      </c>
      <c r="I85" s="477"/>
      <c r="J85" s="477"/>
      <c r="K85" s="1677">
        <f>H85</f>
        <v>112000</v>
      </c>
      <c r="L85" s="530">
        <f>150000</f>
        <v>150000</v>
      </c>
    </row>
    <row r="86" spans="1:12" ht="12.75" customHeight="1" thickTop="1" thickBot="1" x14ac:dyDescent="0.25">
      <c r="A86" s="1512" t="s">
        <v>698</v>
      </c>
      <c r="B86" s="637">
        <v>4220</v>
      </c>
      <c r="C86" s="616"/>
      <c r="D86" s="616"/>
      <c r="E86" s="638"/>
      <c r="F86" s="616"/>
      <c r="G86" s="616"/>
      <c r="H86" s="467">
        <v>54437</v>
      </c>
      <c r="I86" s="477"/>
      <c r="J86" s="477"/>
      <c r="K86" s="1677">
        <f t="shared" ref="K86:K98" si="12">H86</f>
        <v>54437</v>
      </c>
      <c r="L86" s="530">
        <f>61919</f>
        <v>61919</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166437</v>
      </c>
      <c r="I92" s="477"/>
      <c r="J92" s="477"/>
      <c r="K92" s="1677">
        <f t="shared" si="12"/>
        <v>166437</v>
      </c>
      <c r="L92" s="1670">
        <f>SUM(L85:L91)</f>
        <v>211919</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v>15874</v>
      </c>
      <c r="I97" s="477"/>
      <c r="J97" s="477"/>
      <c r="K97" s="1677">
        <f t="shared" si="12"/>
        <v>15874</v>
      </c>
      <c r="L97" s="530">
        <f>20000</f>
        <v>20000</v>
      </c>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15874</v>
      </c>
      <c r="I100" s="477"/>
      <c r="J100" s="477"/>
      <c r="K100" s="1677">
        <f>SUM(K93:K99)</f>
        <v>15874</v>
      </c>
      <c r="L100" s="1677">
        <f>SUM(L93:L99)</f>
        <v>20000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42000</v>
      </c>
      <c r="F102" s="616"/>
      <c r="G102" s="616"/>
      <c r="H102" s="1677">
        <f>SUM(H84,H92,H100,H101)</f>
        <v>1165256</v>
      </c>
      <c r="I102" s="477"/>
      <c r="J102" s="477"/>
      <c r="K102" s="1677">
        <f>SUM(K84,K92,K100,K101)</f>
        <v>1207256</v>
      </c>
      <c r="L102" s="1677">
        <f>SUM(L84,L92,L100,L101)</f>
        <v>1169234</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39850541</v>
      </c>
      <c r="D114" s="1670">
        <f t="shared" ref="D114:K114" si="13">SUM(D33,D74,D75,D102,D112,D113)</f>
        <v>6046531</v>
      </c>
      <c r="E114" s="1670">
        <f t="shared" si="13"/>
        <v>4862381</v>
      </c>
      <c r="F114" s="1670">
        <f t="shared" si="13"/>
        <v>2486517</v>
      </c>
      <c r="G114" s="1670">
        <f t="shared" si="13"/>
        <v>216200</v>
      </c>
      <c r="H114" s="1670">
        <f>SUM(H33,H74,H75,H102,H112,H113)</f>
        <v>2315244</v>
      </c>
      <c r="I114" s="1670">
        <f t="shared" si="13"/>
        <v>0</v>
      </c>
      <c r="J114" s="1670">
        <f t="shared" si="13"/>
        <v>0</v>
      </c>
      <c r="K114" s="1670">
        <f t="shared" si="13"/>
        <v>55777414</v>
      </c>
      <c r="L114" s="1670">
        <f>SUM(L33,L74,L75,L102,L112,L113)</f>
        <v>56586197</v>
      </c>
    </row>
    <row r="115" spans="1:14" ht="13.5" thickTop="1" x14ac:dyDescent="0.2">
      <c r="A115" s="2159" t="s">
        <v>995</v>
      </c>
      <c r="B115" s="2160"/>
      <c r="C115" s="618"/>
      <c r="D115" s="618"/>
      <c r="E115" s="618"/>
      <c r="F115" s="618"/>
      <c r="G115" s="618"/>
      <c r="H115" s="618"/>
      <c r="I115" s="618"/>
      <c r="J115" s="618"/>
      <c r="K115" s="1684">
        <f>'Revenues 9-14'!C268-'Expenditures 15-22'!K114</f>
        <v>-5661664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295</v>
      </c>
      <c r="B117" s="2165"/>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2055</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46515</v>
      </c>
      <c r="F123" s="466"/>
      <c r="G123" s="466"/>
      <c r="H123" s="466"/>
      <c r="I123" s="467"/>
      <c r="J123" s="467"/>
      <c r="K123" s="1670">
        <f>SUM(C123:J123)</f>
        <v>46515</v>
      </c>
      <c r="L123" s="466">
        <v>170900</v>
      </c>
    </row>
    <row r="124" spans="1:14" ht="14.25" thickTop="1" thickBot="1" x14ac:dyDescent="0.25">
      <c r="A124" s="1504" t="s">
        <v>197</v>
      </c>
      <c r="B124" s="614">
        <v>2540</v>
      </c>
      <c r="C124" s="466">
        <v>1308656</v>
      </c>
      <c r="D124" s="466">
        <v>163987</v>
      </c>
      <c r="E124" s="466">
        <f>1855038-46515</f>
        <v>1808523</v>
      </c>
      <c r="F124" s="466">
        <v>298713</v>
      </c>
      <c r="G124" s="466">
        <v>114360</v>
      </c>
      <c r="H124" s="466">
        <v>33085</v>
      </c>
      <c r="I124" s="467"/>
      <c r="J124" s="467"/>
      <c r="K124" s="1670">
        <f>SUM(C124:J124)</f>
        <v>3727324</v>
      </c>
      <c r="L124" s="466">
        <v>3781434</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v>25000</v>
      </c>
    </row>
    <row r="127" spans="1:14" ht="12.75" customHeight="1" thickTop="1" thickBot="1" x14ac:dyDescent="0.25">
      <c r="A127" s="1668" t="s">
        <v>718</v>
      </c>
      <c r="B127" s="1669" t="s">
        <v>35</v>
      </c>
      <c r="C127" s="1670">
        <f>SUM(C122:C126)</f>
        <v>1308656</v>
      </c>
      <c r="D127" s="1670">
        <f t="shared" ref="D127:L127" si="14">SUM(D122:D126)</f>
        <v>163987</v>
      </c>
      <c r="E127" s="1670">
        <f t="shared" si="14"/>
        <v>1855038</v>
      </c>
      <c r="F127" s="1670">
        <f t="shared" si="14"/>
        <v>298713</v>
      </c>
      <c r="G127" s="1670">
        <f t="shared" si="14"/>
        <v>114360</v>
      </c>
      <c r="H127" s="1670">
        <f t="shared" si="14"/>
        <v>33085</v>
      </c>
      <c r="I127" s="1670">
        <f t="shared" si="14"/>
        <v>0</v>
      </c>
      <c r="J127" s="1670">
        <f t="shared" si="14"/>
        <v>0</v>
      </c>
      <c r="K127" s="1670">
        <f t="shared" si="14"/>
        <v>3773839</v>
      </c>
      <c r="L127" s="1670">
        <f t="shared" si="14"/>
        <v>3977334</v>
      </c>
    </row>
    <row r="128" spans="1:14" ht="12.75" customHeight="1" thickTop="1" x14ac:dyDescent="0.2">
      <c r="A128" s="1511" t="s">
        <v>979</v>
      </c>
      <c r="B128" s="655" t="s">
        <v>573</v>
      </c>
      <c r="C128" s="656"/>
      <c r="D128" s="656"/>
      <c r="E128" s="656"/>
      <c r="F128" s="656"/>
      <c r="G128" s="656"/>
      <c r="H128" s="656"/>
      <c r="I128" s="535"/>
      <c r="J128" s="535"/>
      <c r="K128" s="1685">
        <f>SUM(C128:J128)</f>
        <v>0</v>
      </c>
      <c r="L128" s="656">
        <v>2500</v>
      </c>
    </row>
    <row r="129" spans="1:14" ht="12.75" customHeight="1" thickBot="1" x14ac:dyDescent="0.25">
      <c r="A129" s="1686" t="s">
        <v>810</v>
      </c>
      <c r="B129" s="1687" t="s">
        <v>568</v>
      </c>
      <c r="C129" s="1677">
        <f>SUM(C120,C127,C128)</f>
        <v>1308656</v>
      </c>
      <c r="D129" s="1677">
        <f t="shared" ref="D129:L129" si="15">SUM(D120,D127,D128)</f>
        <v>163987</v>
      </c>
      <c r="E129" s="1677">
        <f t="shared" si="15"/>
        <v>1855038</v>
      </c>
      <c r="F129" s="1677">
        <f t="shared" si="15"/>
        <v>298713</v>
      </c>
      <c r="G129" s="1677">
        <f t="shared" si="15"/>
        <v>114360</v>
      </c>
      <c r="H129" s="1677">
        <f t="shared" si="15"/>
        <v>33085</v>
      </c>
      <c r="I129" s="1677">
        <f t="shared" si="15"/>
        <v>0</v>
      </c>
      <c r="J129" s="1677">
        <f t="shared" si="15"/>
        <v>0</v>
      </c>
      <c r="K129" s="1677">
        <f t="shared" si="15"/>
        <v>3773839</v>
      </c>
      <c r="L129" s="1677">
        <f t="shared" si="15"/>
        <v>3979834</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1840</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6" t="s">
        <v>619</v>
      </c>
      <c r="B151" s="2156"/>
      <c r="C151" s="1670">
        <f>SUM(C129,C130,C139,C149,C150)</f>
        <v>1308656</v>
      </c>
      <c r="D151" s="1670">
        <f t="shared" ref="D151:K151" si="16">SUM(D129,D130,D139,D149,D150)</f>
        <v>163987</v>
      </c>
      <c r="E151" s="1670">
        <f t="shared" si="16"/>
        <v>1855038</v>
      </c>
      <c r="F151" s="1670">
        <f t="shared" si="16"/>
        <v>298713</v>
      </c>
      <c r="G151" s="1670">
        <f t="shared" si="16"/>
        <v>114360</v>
      </c>
      <c r="H151" s="1670">
        <f t="shared" si="16"/>
        <v>33085</v>
      </c>
      <c r="I151" s="1670">
        <f t="shared" si="16"/>
        <v>0</v>
      </c>
      <c r="J151" s="1670">
        <f t="shared" si="16"/>
        <v>0</v>
      </c>
      <c r="K151" s="1670">
        <f t="shared" si="16"/>
        <v>3773839</v>
      </c>
      <c r="L151" s="1670">
        <f>SUM(L129,L130,L139,L149,L150)</f>
        <v>3979834</v>
      </c>
    </row>
    <row r="152" spans="1:14" ht="12.75" customHeight="1" thickTop="1" x14ac:dyDescent="0.2">
      <c r="A152" s="2179" t="s">
        <v>1177</v>
      </c>
      <c r="B152" s="2180"/>
      <c r="C152" s="618"/>
      <c r="D152" s="618"/>
      <c r="E152" s="618"/>
      <c r="F152" s="618"/>
      <c r="G152" s="618"/>
      <c r="H152" s="618"/>
      <c r="I152" s="618"/>
      <c r="J152" s="616"/>
      <c r="K152" s="1684">
        <f>'Revenues 9-14'!D268-'Expenditures 15-22'!K151</f>
        <v>-291948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620</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1841</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1840</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1842</v>
      </c>
      <c r="C158" s="616"/>
      <c r="D158" s="616"/>
      <c r="E158" s="616"/>
      <c r="F158" s="616"/>
      <c r="G158" s="616"/>
      <c r="H158" s="467"/>
      <c r="I158" s="616"/>
      <c r="J158" s="616"/>
      <c r="K158" s="1671">
        <f>H158</f>
        <v>0</v>
      </c>
      <c r="L158" s="467"/>
      <c r="M158" s="619"/>
      <c r="N158" s="619"/>
    </row>
    <row r="159" spans="1:14" s="620" customFormat="1" ht="12" x14ac:dyDescent="0.2">
      <c r="A159" s="1826" t="s">
        <v>1843</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1844</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1603059-2173-573468</f>
        <v>1027418</v>
      </c>
      <c r="I169" s="616"/>
      <c r="J169" s="616"/>
      <c r="K169" s="1671">
        <f>SUM(C169:H169)</f>
        <v>1027418</v>
      </c>
      <c r="L169" s="656">
        <v>1184312</v>
      </c>
    </row>
    <row r="170" spans="1:14" ht="33.75" customHeight="1" x14ac:dyDescent="0.2">
      <c r="A170" s="669" t="s">
        <v>1669</v>
      </c>
      <c r="B170" s="671" t="s">
        <v>31</v>
      </c>
      <c r="C170" s="616"/>
      <c r="D170" s="616"/>
      <c r="E170" s="616"/>
      <c r="F170" s="616"/>
      <c r="G170" s="616"/>
      <c r="H170" s="569">
        <v>6425000</v>
      </c>
      <c r="I170" s="616"/>
      <c r="J170" s="616"/>
      <c r="K170" s="1671">
        <f>SUM(C170:J170)</f>
        <v>6425000</v>
      </c>
      <c r="L170" s="569">
        <v>6425000</v>
      </c>
    </row>
    <row r="171" spans="1:14" ht="15.75" customHeight="1" x14ac:dyDescent="0.2">
      <c r="A171" s="621" t="s">
        <v>765</v>
      </c>
      <c r="B171" s="672" t="s">
        <v>84</v>
      </c>
      <c r="C171" s="616"/>
      <c r="D171" s="616"/>
      <c r="E171" s="466"/>
      <c r="F171" s="616"/>
      <c r="G171" s="616"/>
      <c r="H171" s="569">
        <v>2173</v>
      </c>
      <c r="I171" s="477"/>
      <c r="J171" s="616"/>
      <c r="K171" s="1671">
        <f>SUM(C171:J171)</f>
        <v>2173</v>
      </c>
      <c r="L171" s="569">
        <v>2000</v>
      </c>
    </row>
    <row r="172" spans="1:14" ht="12.75" customHeight="1" thickBot="1" x14ac:dyDescent="0.25">
      <c r="A172" s="1668" t="s">
        <v>637</v>
      </c>
      <c r="B172" s="1669" t="s">
        <v>491</v>
      </c>
      <c r="C172" s="616"/>
      <c r="D172" s="616"/>
      <c r="E172" s="1677">
        <f>SUM(E168,E169,E170,E171)</f>
        <v>0</v>
      </c>
      <c r="F172" s="616"/>
      <c r="G172" s="616"/>
      <c r="H172" s="1677">
        <f>SUM(H168,H169,H170,H171)</f>
        <v>7454591</v>
      </c>
      <c r="I172" s="638"/>
      <c r="J172" s="616"/>
      <c r="K172" s="1677">
        <f>SUM(K168,K169,K170,K171)</f>
        <v>7454591</v>
      </c>
      <c r="L172" s="1677">
        <f>SUM(L168,L169,L170,L171)</f>
        <v>7611312</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7454591</v>
      </c>
      <c r="I174" s="638"/>
      <c r="J174" s="616"/>
      <c r="K174" s="1677">
        <f>SUM(K160,K172,K173)</f>
        <v>7454591</v>
      </c>
      <c r="L174" s="1677">
        <f>SUM(L160,L172,L173)</f>
        <v>7611312</v>
      </c>
    </row>
    <row r="175" spans="1:14" ht="13.5" thickTop="1" x14ac:dyDescent="0.2">
      <c r="A175" s="2159" t="s">
        <v>995</v>
      </c>
      <c r="B175" s="2160"/>
      <c r="C175" s="616"/>
      <c r="D175" s="616"/>
      <c r="E175" s="616"/>
      <c r="F175" s="616"/>
      <c r="G175" s="616"/>
      <c r="H175" s="618"/>
      <c r="I175" s="616"/>
      <c r="J175" s="616"/>
      <c r="K175" s="1684">
        <f>'Revenues 9-14'!E268-'Expenditures 15-22'!K174</f>
        <v>-4566061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2055</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6000</v>
      </c>
      <c r="D182" s="466">
        <v>1677</v>
      </c>
      <c r="E182" s="466">
        <v>2513391</v>
      </c>
      <c r="F182" s="466"/>
      <c r="G182" s="466"/>
      <c r="H182" s="466"/>
      <c r="I182" s="467"/>
      <c r="J182" s="467"/>
      <c r="K182" s="1671">
        <f>SUM(C182:J182)</f>
        <v>2521068</v>
      </c>
      <c r="L182" s="466">
        <v>2329061</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6000</v>
      </c>
      <c r="D184" s="1677">
        <f t="shared" ref="D184:J184" si="17">SUM(D180,D182,D183)</f>
        <v>1677</v>
      </c>
      <c r="E184" s="1677">
        <f t="shared" si="17"/>
        <v>2513391</v>
      </c>
      <c r="F184" s="1677">
        <f t="shared" si="17"/>
        <v>0</v>
      </c>
      <c r="G184" s="1677">
        <f t="shared" si="17"/>
        <v>0</v>
      </c>
      <c r="H184" s="1677">
        <f t="shared" si="17"/>
        <v>0</v>
      </c>
      <c r="I184" s="1677">
        <f t="shared" si="17"/>
        <v>0</v>
      </c>
      <c r="J184" s="1677">
        <f t="shared" si="17"/>
        <v>0</v>
      </c>
      <c r="K184" s="1677">
        <f>SUM(K180,K182,K183)</f>
        <v>2521068</v>
      </c>
      <c r="L184" s="1677">
        <f>SUM(L180, L182:L183)</f>
        <v>2329061</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6000</v>
      </c>
      <c r="D210" s="1670">
        <f>SUM(D184,D185)</f>
        <v>1677</v>
      </c>
      <c r="E210" s="1670">
        <f>SUM(E184,E185,E196)</f>
        <v>2513391</v>
      </c>
      <c r="F210" s="1670">
        <f>SUM(F184,F185)</f>
        <v>0</v>
      </c>
      <c r="G210" s="1670">
        <f>SUM(G184,G185)</f>
        <v>0</v>
      </c>
      <c r="H210" s="1670">
        <f>SUM(H184,H185,H196,H208,H209)</f>
        <v>0</v>
      </c>
      <c r="I210" s="1670">
        <f>SUM(I184,I185)</f>
        <v>0</v>
      </c>
      <c r="J210" s="1670">
        <f>SUM(J184,J185)</f>
        <v>0</v>
      </c>
      <c r="K210" s="1671">
        <f>SUM(K184,K185,K196,K208,K209)</f>
        <v>2521068</v>
      </c>
      <c r="L210" s="1670">
        <f>SUM(L184,L185,L196,L208,L209)</f>
        <v>2329061</v>
      </c>
    </row>
    <row r="211" spans="1:14" ht="13.5" thickTop="1" x14ac:dyDescent="0.2">
      <c r="A211" s="2159" t="s">
        <v>995</v>
      </c>
      <c r="B211" s="2160"/>
      <c r="C211" s="618"/>
      <c r="D211" s="618"/>
      <c r="E211" s="618"/>
      <c r="F211" s="618"/>
      <c r="G211" s="618"/>
      <c r="H211" s="618"/>
      <c r="I211" s="616"/>
      <c r="J211" s="616"/>
      <c r="K211" s="1684">
        <f>'Revenues 9-14'!F268-'Expenditures 15-22'!K210</f>
        <v>-206400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964</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221374</v>
      </c>
      <c r="E215" s="616"/>
      <c r="F215" s="616"/>
      <c r="G215" s="616"/>
      <c r="H215" s="616"/>
      <c r="I215" s="616"/>
      <c r="J215" s="616"/>
      <c r="K215" s="1671">
        <f>D215</f>
        <v>221374</v>
      </c>
      <c r="L215" s="466">
        <v>221406</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240417</v>
      </c>
      <c r="E217" s="616"/>
      <c r="F217" s="616"/>
      <c r="G217" s="616"/>
      <c r="H217" s="616"/>
      <c r="I217" s="616"/>
      <c r="J217" s="616"/>
      <c r="K217" s="1671">
        <f t="shared" si="19"/>
        <v>240417</v>
      </c>
      <c r="L217" s="466">
        <v>228074</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20125</v>
      </c>
      <c r="E219" s="616"/>
      <c r="F219" s="616"/>
      <c r="G219" s="616"/>
      <c r="H219" s="616"/>
      <c r="I219" s="616"/>
      <c r="J219" s="616"/>
      <c r="K219" s="1671">
        <f t="shared" si="19"/>
        <v>20125</v>
      </c>
      <c r="L219" s="466">
        <v>19000</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v>300</v>
      </c>
    </row>
    <row r="223" spans="1:14" x14ac:dyDescent="0.2">
      <c r="A223" s="1504" t="s">
        <v>962</v>
      </c>
      <c r="B223" s="614">
        <v>1500</v>
      </c>
      <c r="C223" s="616"/>
      <c r="D223" s="466">
        <v>40270</v>
      </c>
      <c r="E223" s="616"/>
      <c r="F223" s="616"/>
      <c r="G223" s="616"/>
      <c r="H223" s="616"/>
      <c r="I223" s="616"/>
      <c r="J223" s="616"/>
      <c r="K223" s="1671">
        <f t="shared" si="19"/>
        <v>40270</v>
      </c>
      <c r="L223" s="466">
        <v>30140</v>
      </c>
    </row>
    <row r="224" spans="1:14" x14ac:dyDescent="0.2">
      <c r="A224" s="1504" t="s">
        <v>963</v>
      </c>
      <c r="B224" s="614">
        <v>1600</v>
      </c>
      <c r="C224" s="616"/>
      <c r="D224" s="466">
        <v>1521</v>
      </c>
      <c r="E224" s="616"/>
      <c r="F224" s="616"/>
      <c r="G224" s="616"/>
      <c r="H224" s="616"/>
      <c r="I224" s="616"/>
      <c r="J224" s="616"/>
      <c r="K224" s="1671">
        <f t="shared" si="19"/>
        <v>1521</v>
      </c>
      <c r="L224" s="466">
        <v>430</v>
      </c>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3742</v>
      </c>
      <c r="E226" s="616"/>
      <c r="F226" s="616"/>
      <c r="G226" s="616"/>
      <c r="H226" s="616"/>
      <c r="I226" s="616"/>
      <c r="J226" s="616"/>
      <c r="K226" s="1671">
        <f t="shared" si="19"/>
        <v>3742</v>
      </c>
      <c r="L226" s="466">
        <v>2800</v>
      </c>
    </row>
    <row r="227" spans="1:12" x14ac:dyDescent="0.2">
      <c r="A227" s="1504" t="s">
        <v>1086</v>
      </c>
      <c r="B227" s="614">
        <v>1800</v>
      </c>
      <c r="C227" s="616"/>
      <c r="D227" s="466">
        <v>33690</v>
      </c>
      <c r="E227" s="616"/>
      <c r="F227" s="616"/>
      <c r="G227" s="616"/>
      <c r="H227" s="616"/>
      <c r="I227" s="616"/>
      <c r="J227" s="616"/>
      <c r="K227" s="1671">
        <f t="shared" si="19"/>
        <v>33690</v>
      </c>
      <c r="L227" s="466">
        <v>28700</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561139</v>
      </c>
      <c r="E229" s="616"/>
      <c r="F229" s="616"/>
      <c r="G229" s="616"/>
      <c r="H229" s="616"/>
      <c r="I229" s="616"/>
      <c r="J229" s="616"/>
      <c r="K229" s="1670">
        <f>SUM(K215:K228)</f>
        <v>561139</v>
      </c>
      <c r="L229" s="1670">
        <f>SUM(L215:L228)</f>
        <v>530850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78075</v>
      </c>
      <c r="E232" s="616"/>
      <c r="F232" s="616"/>
      <c r="G232" s="616"/>
      <c r="H232" s="616"/>
      <c r="I232" s="616"/>
      <c r="J232" s="616"/>
      <c r="K232" s="1671">
        <f t="shared" ref="K232:K237" si="20">D232</f>
        <v>78075</v>
      </c>
      <c r="L232" s="466">
        <v>71841</v>
      </c>
    </row>
    <row r="233" spans="1:12" x14ac:dyDescent="0.2">
      <c r="A233" s="1504" t="s">
        <v>1089</v>
      </c>
      <c r="B233" s="614">
        <v>2120</v>
      </c>
      <c r="C233" s="616"/>
      <c r="D233" s="466">
        <v>6830</v>
      </c>
      <c r="E233" s="616"/>
      <c r="F233" s="616"/>
      <c r="G233" s="616"/>
      <c r="H233" s="616"/>
      <c r="I233" s="616"/>
      <c r="J233" s="616"/>
      <c r="K233" s="1671">
        <f t="shared" si="20"/>
        <v>6830</v>
      </c>
      <c r="L233" s="466">
        <v>7000</v>
      </c>
    </row>
    <row r="234" spans="1:12" x14ac:dyDescent="0.2">
      <c r="A234" s="1504" t="s">
        <v>198</v>
      </c>
      <c r="B234" s="614">
        <v>2130</v>
      </c>
      <c r="C234" s="616"/>
      <c r="D234" s="466">
        <v>53750</v>
      </c>
      <c r="E234" s="616"/>
      <c r="F234" s="616"/>
      <c r="G234" s="616"/>
      <c r="H234" s="616"/>
      <c r="I234" s="616"/>
      <c r="J234" s="616"/>
      <c r="K234" s="1671">
        <f t="shared" si="20"/>
        <v>53750</v>
      </c>
      <c r="L234" s="466">
        <v>70968</v>
      </c>
    </row>
    <row r="235" spans="1:12" x14ac:dyDescent="0.2">
      <c r="A235" s="1504" t="s">
        <v>199</v>
      </c>
      <c r="B235" s="614">
        <v>2140</v>
      </c>
      <c r="C235" s="616"/>
      <c r="D235" s="466">
        <v>9826</v>
      </c>
      <c r="E235" s="616"/>
      <c r="F235" s="616"/>
      <c r="G235" s="616"/>
      <c r="H235" s="616"/>
      <c r="I235" s="616"/>
      <c r="J235" s="616"/>
      <c r="K235" s="1671">
        <f t="shared" si="20"/>
        <v>9826</v>
      </c>
      <c r="L235" s="466">
        <v>4800</v>
      </c>
    </row>
    <row r="236" spans="1:12" x14ac:dyDescent="0.2">
      <c r="A236" s="1504" t="s">
        <v>200</v>
      </c>
      <c r="B236" s="614">
        <v>2150</v>
      </c>
      <c r="C236" s="616"/>
      <c r="D236" s="466">
        <v>10343</v>
      </c>
      <c r="E236" s="616"/>
      <c r="F236" s="616"/>
      <c r="G236" s="616"/>
      <c r="H236" s="616"/>
      <c r="I236" s="616"/>
      <c r="J236" s="616"/>
      <c r="K236" s="1671">
        <f t="shared" si="20"/>
        <v>10343</v>
      </c>
      <c r="L236" s="466">
        <v>10875</v>
      </c>
    </row>
    <row r="237" spans="1:12" x14ac:dyDescent="0.2">
      <c r="A237" s="1504" t="s">
        <v>165</v>
      </c>
      <c r="B237" s="614">
        <v>2190</v>
      </c>
      <c r="C237" s="616"/>
      <c r="D237" s="466">
        <v>108</v>
      </c>
      <c r="E237" s="616"/>
      <c r="F237" s="616"/>
      <c r="G237" s="616"/>
      <c r="H237" s="616"/>
      <c r="I237" s="616"/>
      <c r="J237" s="616"/>
      <c r="K237" s="1671">
        <f t="shared" si="20"/>
        <v>108</v>
      </c>
      <c r="L237" s="466">
        <v>600</v>
      </c>
    </row>
    <row r="238" spans="1:12" ht="12.75" customHeight="1" thickBot="1" x14ac:dyDescent="0.25">
      <c r="A238" s="1668" t="s">
        <v>559</v>
      </c>
      <c r="B238" s="1675" t="s">
        <v>715</v>
      </c>
      <c r="C238" s="616"/>
      <c r="D238" s="1670">
        <f>SUM(D232:D237)</f>
        <v>158932</v>
      </c>
      <c r="E238" s="616"/>
      <c r="F238" s="616"/>
      <c r="G238" s="616"/>
      <c r="H238" s="616"/>
      <c r="I238" s="616"/>
      <c r="J238" s="616"/>
      <c r="K238" s="1670">
        <f>SUM(K232:K237)</f>
        <v>158932</v>
      </c>
      <c r="L238" s="1670">
        <f>SUM(L232:L237)</f>
        <v>166084</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46051</v>
      </c>
      <c r="E240" s="616"/>
      <c r="F240" s="616"/>
      <c r="G240" s="616"/>
      <c r="H240" s="616"/>
      <c r="I240" s="616"/>
      <c r="J240" s="616"/>
      <c r="K240" s="1672">
        <f>D240</f>
        <v>46051</v>
      </c>
      <c r="L240" s="481">
        <v>23808</v>
      </c>
    </row>
    <row r="241" spans="1:12" x14ac:dyDescent="0.2">
      <c r="A241" s="1504" t="s">
        <v>814</v>
      </c>
      <c r="B241" s="614">
        <v>2220</v>
      </c>
      <c r="C241" s="616"/>
      <c r="D241" s="466">
        <v>19302</v>
      </c>
      <c r="E241" s="616"/>
      <c r="F241" s="616"/>
      <c r="G241" s="616"/>
      <c r="H241" s="616"/>
      <c r="I241" s="616"/>
      <c r="J241" s="616"/>
      <c r="K241" s="1672">
        <f>D241</f>
        <v>19302</v>
      </c>
      <c r="L241" s="466">
        <v>33467</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65353</v>
      </c>
      <c r="E243" s="616"/>
      <c r="F243" s="616"/>
      <c r="G243" s="616"/>
      <c r="H243" s="616"/>
      <c r="I243" s="616"/>
      <c r="J243" s="616"/>
      <c r="K243" s="1670">
        <f>SUM(K240:K242)</f>
        <v>65353</v>
      </c>
      <c r="L243" s="1670">
        <f>SUM(L240:L242)</f>
        <v>57275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907</v>
      </c>
      <c r="E245" s="616"/>
      <c r="F245" s="616"/>
      <c r="G245" s="616"/>
      <c r="H245" s="616"/>
      <c r="I245" s="616"/>
      <c r="J245" s="616"/>
      <c r="K245" s="1672">
        <f>D245</f>
        <v>907</v>
      </c>
      <c r="L245" s="481">
        <v>398</v>
      </c>
    </row>
    <row r="246" spans="1:12" x14ac:dyDescent="0.2">
      <c r="A246" s="1504" t="s">
        <v>817</v>
      </c>
      <c r="B246" s="614">
        <v>2320</v>
      </c>
      <c r="C246" s="616"/>
      <c r="D246" s="466">
        <v>18007</v>
      </c>
      <c r="E246" s="616"/>
      <c r="F246" s="616"/>
      <c r="G246" s="616"/>
      <c r="H246" s="616"/>
      <c r="I246" s="616"/>
      <c r="J246" s="616"/>
      <c r="K246" s="1672">
        <f t="shared" ref="K246:K256" si="21">D246</f>
        <v>18007</v>
      </c>
      <c r="L246" s="466">
        <v>16000</v>
      </c>
    </row>
    <row r="247" spans="1:12" x14ac:dyDescent="0.2">
      <c r="A247" s="1504" t="s">
        <v>818</v>
      </c>
      <c r="B247" s="614">
        <v>2330</v>
      </c>
      <c r="C247" s="616"/>
      <c r="D247" s="466">
        <v>6763</v>
      </c>
      <c r="E247" s="616"/>
      <c r="F247" s="616"/>
      <c r="G247" s="616"/>
      <c r="H247" s="616"/>
      <c r="I247" s="616"/>
      <c r="J247" s="616"/>
      <c r="K247" s="1672">
        <f t="shared" si="21"/>
        <v>6763</v>
      </c>
      <c r="L247" s="466">
        <v>6365</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25677</v>
      </c>
      <c r="E257" s="616"/>
      <c r="F257" s="616"/>
      <c r="G257" s="616"/>
      <c r="H257" s="616"/>
      <c r="I257" s="616"/>
      <c r="J257" s="616"/>
      <c r="K257" s="1670">
        <f>SUM(K245:K256)</f>
        <v>25677</v>
      </c>
      <c r="L257" s="1670">
        <f>SUM(L245:L256)</f>
        <v>22763</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146130</v>
      </c>
      <c r="E259" s="616"/>
      <c r="F259" s="616"/>
      <c r="G259" s="616"/>
      <c r="H259" s="616"/>
      <c r="I259" s="616"/>
      <c r="J259" s="616"/>
      <c r="K259" s="1672">
        <f>D259</f>
        <v>146130</v>
      </c>
      <c r="L259" s="481">
        <v>156447</v>
      </c>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146130</v>
      </c>
      <c r="E261" s="616"/>
      <c r="F261" s="616"/>
      <c r="G261" s="616"/>
      <c r="H261" s="616"/>
      <c r="I261" s="616"/>
      <c r="J261" s="616"/>
      <c r="K261" s="1670">
        <f>SUM(K259:K260)</f>
        <v>146130</v>
      </c>
      <c r="L261" s="1670">
        <f>SUM(L259:L260)</f>
        <v>156447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30898</v>
      </c>
      <c r="E263" s="616"/>
      <c r="F263" s="616"/>
      <c r="G263" s="616"/>
      <c r="H263" s="616"/>
      <c r="I263" s="616"/>
      <c r="J263" s="616"/>
      <c r="K263" s="1672">
        <f>D263</f>
        <v>30898</v>
      </c>
      <c r="L263" s="481">
        <v>29438</v>
      </c>
    </row>
    <row r="264" spans="1:14" x14ac:dyDescent="0.2">
      <c r="A264" s="1504" t="s">
        <v>462</v>
      </c>
      <c r="B264" s="685">
        <v>2520</v>
      </c>
      <c r="C264" s="616"/>
      <c r="D264" s="466">
        <v>52078</v>
      </c>
      <c r="E264" s="616"/>
      <c r="F264" s="616"/>
      <c r="G264" s="616"/>
      <c r="H264" s="616"/>
      <c r="I264" s="616"/>
      <c r="J264" s="616"/>
      <c r="K264" s="1672">
        <f t="shared" ref="K264:K269" si="22">D264</f>
        <v>52078</v>
      </c>
      <c r="L264" s="466">
        <v>47600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253602</v>
      </c>
      <c r="E266" s="616"/>
      <c r="F266" s="616"/>
      <c r="G266" s="616"/>
      <c r="H266" s="616"/>
      <c r="I266" s="616"/>
      <c r="J266" s="616"/>
      <c r="K266" s="1672">
        <f t="shared" si="22"/>
        <v>253602</v>
      </c>
      <c r="L266" s="466">
        <v>240118</v>
      </c>
    </row>
    <row r="267" spans="1:14" x14ac:dyDescent="0.2">
      <c r="A267" s="1504" t="s">
        <v>952</v>
      </c>
      <c r="B267" s="614">
        <v>2550</v>
      </c>
      <c r="C267" s="616"/>
      <c r="D267" s="466"/>
      <c r="E267" s="616"/>
      <c r="F267" s="616"/>
      <c r="G267" s="616"/>
      <c r="H267" s="616"/>
      <c r="I267" s="616"/>
      <c r="J267" s="616"/>
      <c r="K267" s="1672">
        <f t="shared" si="22"/>
        <v>0</v>
      </c>
      <c r="L267" s="466">
        <v>600</v>
      </c>
    </row>
    <row r="268" spans="1:14" x14ac:dyDescent="0.2">
      <c r="A268" s="1504" t="s">
        <v>100</v>
      </c>
      <c r="B268" s="614">
        <v>2560</v>
      </c>
      <c r="C268" s="616"/>
      <c r="D268" s="466">
        <v>198</v>
      </c>
      <c r="E268" s="616"/>
      <c r="F268" s="616"/>
      <c r="G268" s="616"/>
      <c r="H268" s="616"/>
      <c r="I268" s="616"/>
      <c r="J268" s="616"/>
      <c r="K268" s="1672">
        <f t="shared" si="22"/>
        <v>198</v>
      </c>
      <c r="L268" s="466"/>
    </row>
    <row r="269" spans="1:14" x14ac:dyDescent="0.2">
      <c r="A269" s="1504" t="s">
        <v>101</v>
      </c>
      <c r="B269" s="614">
        <v>2570</v>
      </c>
      <c r="C269" s="616"/>
      <c r="D269" s="466">
        <v>27354</v>
      </c>
      <c r="E269" s="616"/>
      <c r="F269" s="616"/>
      <c r="G269" s="616"/>
      <c r="H269" s="616"/>
      <c r="I269" s="616"/>
      <c r="J269" s="616"/>
      <c r="K269" s="1672">
        <f t="shared" si="22"/>
        <v>27354</v>
      </c>
      <c r="L269" s="466">
        <v>41300</v>
      </c>
    </row>
    <row r="270" spans="1:14" ht="12.75" customHeight="1" thickBot="1" x14ac:dyDescent="0.25">
      <c r="A270" s="1668" t="s">
        <v>718</v>
      </c>
      <c r="B270" s="1675" t="s">
        <v>35</v>
      </c>
      <c r="C270" s="616"/>
      <c r="D270" s="1670">
        <f>SUM(D263:D269)</f>
        <v>364130</v>
      </c>
      <c r="E270" s="616"/>
      <c r="F270" s="616"/>
      <c r="G270" s="616"/>
      <c r="H270" s="616"/>
      <c r="I270" s="616"/>
      <c r="J270" s="616"/>
      <c r="K270" s="1670">
        <f>SUM(K263:K269)</f>
        <v>364130</v>
      </c>
      <c r="L270" s="1670">
        <f>SUM(L263:L269)</f>
        <v>359056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v>45003</v>
      </c>
      <c r="E273" s="616"/>
      <c r="F273" s="616"/>
      <c r="G273" s="616"/>
      <c r="H273" s="616"/>
      <c r="I273" s="616"/>
      <c r="J273" s="616"/>
      <c r="K273" s="1672">
        <f>D273</f>
        <v>45003</v>
      </c>
      <c r="L273" s="466">
        <v>41078</v>
      </c>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v>28886</v>
      </c>
      <c r="E275" s="616"/>
      <c r="F275" s="616"/>
      <c r="G275" s="616"/>
      <c r="H275" s="616"/>
      <c r="I275" s="616"/>
      <c r="J275" s="616"/>
      <c r="K275" s="1672">
        <f>D275</f>
        <v>28886</v>
      </c>
      <c r="L275" s="466">
        <v>34102</v>
      </c>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73889</v>
      </c>
      <c r="E277" s="616"/>
      <c r="F277" s="616"/>
      <c r="G277" s="616"/>
      <c r="H277" s="616"/>
      <c r="I277" s="616"/>
      <c r="J277" s="616"/>
      <c r="K277" s="1670">
        <f>SUM(K272:K276)</f>
        <v>73889</v>
      </c>
      <c r="L277" s="1670">
        <f>SUM(L272:L276)</f>
        <v>75180</v>
      </c>
    </row>
    <row r="278" spans="1:12" ht="13.5" customHeight="1" thickTop="1" x14ac:dyDescent="0.2">
      <c r="A278" s="1510" t="s">
        <v>979</v>
      </c>
      <c r="B278" s="655" t="s">
        <v>573</v>
      </c>
      <c r="C278" s="616"/>
      <c r="D278" s="656">
        <v>4868</v>
      </c>
      <c r="E278" s="616"/>
      <c r="F278" s="616"/>
      <c r="G278" s="616"/>
      <c r="H278" s="616"/>
      <c r="I278" s="616"/>
      <c r="J278" s="616"/>
      <c r="K278" s="1685">
        <f>D278</f>
        <v>4868</v>
      </c>
      <c r="L278" s="656">
        <v>6369</v>
      </c>
    </row>
    <row r="279" spans="1:12" ht="12.75" customHeight="1" thickBot="1" x14ac:dyDescent="0.25">
      <c r="A279" s="1698" t="s">
        <v>810</v>
      </c>
      <c r="B279" s="1681">
        <v>2000</v>
      </c>
      <c r="C279" s="616"/>
      <c r="D279" s="1677">
        <f>SUM(D238,D243,D257,D261,D270,D277,D278)</f>
        <v>838979</v>
      </c>
      <c r="E279" s="616"/>
      <c r="F279" s="616"/>
      <c r="G279" s="616"/>
      <c r="H279" s="616"/>
      <c r="I279" s="616"/>
      <c r="J279" s="616"/>
      <c r="K279" s="1677">
        <f>SUM(K238,K243,K257,K261,K270,K277,K278)</f>
        <v>838979</v>
      </c>
      <c r="L279" s="1677">
        <f>SUM(L238,L243,L257,L261,L270,L277,L278)</f>
        <v>843174</v>
      </c>
    </row>
    <row r="280" spans="1:12" ht="15.75" customHeight="1" thickTop="1" thickBot="1" x14ac:dyDescent="0.25">
      <c r="A280" s="1624" t="s">
        <v>874</v>
      </c>
      <c r="B280" s="1613">
        <v>3000</v>
      </c>
      <c r="C280" s="616"/>
      <c r="D280" s="576">
        <v>36893</v>
      </c>
      <c r="E280" s="616"/>
      <c r="F280" s="616"/>
      <c r="G280" s="616"/>
      <c r="H280" s="616"/>
      <c r="I280" s="616"/>
      <c r="J280" s="616"/>
      <c r="K280" s="1679">
        <f>D280</f>
        <v>36893</v>
      </c>
      <c r="L280" s="576">
        <v>29661</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1840</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7" t="s">
        <v>504</v>
      </c>
      <c r="B295" s="2178"/>
      <c r="C295" s="616"/>
      <c r="D295" s="1670">
        <f>SUM(D229,D279,D280,D285)</f>
        <v>1437011</v>
      </c>
      <c r="E295" s="616"/>
      <c r="F295" s="616"/>
      <c r="G295" s="616"/>
      <c r="H295" s="1670">
        <f>H293</f>
        <v>0</v>
      </c>
      <c r="I295" s="616"/>
      <c r="J295" s="616"/>
      <c r="K295" s="1670">
        <f>SUM(K229,K279,K280,K285,K293,K294)</f>
        <v>1437011</v>
      </c>
      <c r="L295" s="1670">
        <f>SUM(L229,L279,L280,L285,L293,L294)</f>
        <v>1403685</v>
      </c>
    </row>
    <row r="296" spans="1:14" ht="13.5" thickTop="1" x14ac:dyDescent="0.2">
      <c r="A296" s="2159" t="s">
        <v>995</v>
      </c>
      <c r="B296" s="2160"/>
      <c r="C296" s="616"/>
      <c r="D296" s="618"/>
      <c r="E296" s="616"/>
      <c r="F296" s="616"/>
      <c r="G296" s="616"/>
      <c r="H296" s="687"/>
      <c r="I296" s="616"/>
      <c r="J296" s="616"/>
      <c r="K296" s="1684">
        <f>'Revenues 9-14'!G268-'Expenditures 15-22'!K295</f>
        <v>-76630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v>151436</v>
      </c>
      <c r="F301" s="466">
        <v>16624</v>
      </c>
      <c r="G301" s="466">
        <v>3072693</v>
      </c>
      <c r="H301" s="466"/>
      <c r="I301" s="467"/>
      <c r="J301" s="467"/>
      <c r="K301" s="1671">
        <f>SUM(C301:J301)</f>
        <v>3240753</v>
      </c>
      <c r="L301" s="467">
        <v>5474185</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151436</v>
      </c>
      <c r="F303" s="1677">
        <f t="shared" si="23"/>
        <v>16624</v>
      </c>
      <c r="G303" s="1677">
        <f t="shared" si="23"/>
        <v>3072693</v>
      </c>
      <c r="H303" s="1677">
        <f t="shared" si="23"/>
        <v>0</v>
      </c>
      <c r="I303" s="1677">
        <f t="shared" si="23"/>
        <v>0</v>
      </c>
      <c r="J303" s="1677">
        <f t="shared" si="23"/>
        <v>0</v>
      </c>
      <c r="K303" s="1677">
        <f t="shared" si="23"/>
        <v>3240753</v>
      </c>
      <c r="L303" s="1677">
        <f t="shared" si="23"/>
        <v>5474185</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4" t="s">
        <v>276</v>
      </c>
      <c r="B312" s="2175"/>
      <c r="C312" s="1670">
        <f>SUM(C303)</f>
        <v>0</v>
      </c>
      <c r="D312" s="1670">
        <f>SUM(D303)</f>
        <v>0</v>
      </c>
      <c r="E312" s="1670">
        <f>SUM(E303,E310)</f>
        <v>151436</v>
      </c>
      <c r="F312" s="1670">
        <f>SUM(F303)</f>
        <v>16624</v>
      </c>
      <c r="G312" s="1670">
        <f>SUM(G303)</f>
        <v>3072693</v>
      </c>
      <c r="H312" s="1670">
        <f>SUM(H303,H310)</f>
        <v>0</v>
      </c>
      <c r="I312" s="1670">
        <f>SUM(I303)</f>
        <v>0</v>
      </c>
      <c r="J312" s="1670">
        <f>SUM(J303)</f>
        <v>0</v>
      </c>
      <c r="K312" s="1670">
        <f>SUM(K303,K310,K311)</f>
        <v>3240753</v>
      </c>
      <c r="L312" s="1670">
        <f>SUM(L303,L310,L311)</f>
        <v>5474185</v>
      </c>
      <c r="M312" s="665"/>
      <c r="N312" s="665"/>
    </row>
    <row r="313" spans="1:14" ht="13.5" thickTop="1" x14ac:dyDescent="0.2">
      <c r="A313" s="2170" t="s">
        <v>995</v>
      </c>
      <c r="B313" s="2171"/>
      <c r="C313" s="626"/>
      <c r="D313" s="626"/>
      <c r="E313" s="626"/>
      <c r="F313" s="626"/>
      <c r="G313" s="626"/>
      <c r="H313" s="626"/>
      <c r="I313" s="626"/>
      <c r="J313" s="626"/>
      <c r="K313" s="1685">
        <f>'Revenues 9-14'!H268-'Expenditures 15-22'!K312</f>
        <v>332347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897</v>
      </c>
      <c r="B317" s="2184"/>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299</v>
      </c>
      <c r="B321" s="697" t="s">
        <v>282</v>
      </c>
      <c r="C321" s="467"/>
      <c r="D321" s="467"/>
      <c r="E321" s="467">
        <v>14817</v>
      </c>
      <c r="F321" s="467"/>
      <c r="G321" s="467"/>
      <c r="H321" s="467"/>
      <c r="I321" s="467"/>
      <c r="J321" s="467"/>
      <c r="K321" s="1671">
        <f t="shared" si="24"/>
        <v>14817</v>
      </c>
      <c r="L321" s="467">
        <v>25000</v>
      </c>
      <c r="M321" s="665"/>
      <c r="N321" s="665"/>
    </row>
    <row r="322" spans="1:14" s="674" customFormat="1" x14ac:dyDescent="0.2">
      <c r="A322" s="1519" t="s">
        <v>238</v>
      </c>
      <c r="B322" s="697" t="s">
        <v>283</v>
      </c>
      <c r="C322" s="467"/>
      <c r="D322" s="467"/>
      <c r="E322" s="467">
        <v>417355</v>
      </c>
      <c r="F322" s="467"/>
      <c r="G322" s="467">
        <v>35886</v>
      </c>
      <c r="H322" s="467"/>
      <c r="I322" s="467"/>
      <c r="J322" s="467"/>
      <c r="K322" s="1671">
        <f t="shared" si="24"/>
        <v>453241</v>
      </c>
      <c r="L322" s="467">
        <v>455746</v>
      </c>
      <c r="M322" s="665"/>
      <c r="N322" s="665"/>
    </row>
    <row r="323" spans="1:14" s="674" customFormat="1" x14ac:dyDescent="0.2">
      <c r="A323" s="1519" t="s">
        <v>701</v>
      </c>
      <c r="B323" s="697" t="s">
        <v>284</v>
      </c>
      <c r="C323" s="467"/>
      <c r="D323" s="467"/>
      <c r="E323" s="467">
        <v>23877</v>
      </c>
      <c r="F323" s="467"/>
      <c r="G323" s="467"/>
      <c r="H323" s="467"/>
      <c r="I323" s="467"/>
      <c r="J323" s="467"/>
      <c r="K323" s="1671">
        <f t="shared" si="24"/>
        <v>23877</v>
      </c>
      <c r="L323" s="467">
        <v>25000</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v>25477</v>
      </c>
      <c r="F325" s="467"/>
      <c r="G325" s="467">
        <v>173</v>
      </c>
      <c r="H325" s="467"/>
      <c r="I325" s="467"/>
      <c r="J325" s="467"/>
      <c r="K325" s="1671">
        <f t="shared" si="24"/>
        <v>25650</v>
      </c>
      <c r="L325" s="467">
        <v>31000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244153</v>
      </c>
      <c r="F327" s="467"/>
      <c r="G327" s="467"/>
      <c r="H327" s="467"/>
      <c r="I327" s="467"/>
      <c r="J327" s="467"/>
      <c r="K327" s="1671">
        <f t="shared" si="24"/>
        <v>244153</v>
      </c>
      <c r="L327" s="467">
        <v>100000</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725679</v>
      </c>
      <c r="F330" s="1670">
        <f t="shared" si="25"/>
        <v>0</v>
      </c>
      <c r="G330" s="1670">
        <f t="shared" si="25"/>
        <v>36059</v>
      </c>
      <c r="H330" s="1670">
        <f t="shared" si="25"/>
        <v>0</v>
      </c>
      <c r="I330" s="1670">
        <f t="shared" si="25"/>
        <v>0</v>
      </c>
      <c r="J330" s="1670">
        <f t="shared" si="25"/>
        <v>0</v>
      </c>
      <c r="K330" s="1670">
        <f>SUM(K319:K329)</f>
        <v>761738</v>
      </c>
      <c r="L330" s="1670">
        <f>SUM(L319:L329)</f>
        <v>636746</v>
      </c>
      <c r="M330" s="665"/>
      <c r="N330" s="665"/>
    </row>
    <row r="331" spans="1:14" s="674" customFormat="1" ht="12.75" customHeight="1" thickTop="1" x14ac:dyDescent="0.2">
      <c r="A331" s="1831" t="s">
        <v>1846</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1840</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1842</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1847</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725679</v>
      </c>
      <c r="F342" s="1670">
        <f>SUM(F330)</f>
        <v>0</v>
      </c>
      <c r="G342" s="1670">
        <f>SUM(G330)</f>
        <v>36059</v>
      </c>
      <c r="H342" s="1670">
        <f>SUM(H330,H334,H340)</f>
        <v>0</v>
      </c>
      <c r="I342" s="1670">
        <f>SUM(I330)</f>
        <v>0</v>
      </c>
      <c r="J342" s="1670">
        <f>SUM(J330)</f>
        <v>0</v>
      </c>
      <c r="K342" s="1670">
        <f>SUM(K330,K334,K340)</f>
        <v>761738</v>
      </c>
      <c r="L342" s="1677">
        <f>SUM(L330,L340,L341)</f>
        <v>636746</v>
      </c>
    </row>
    <row r="343" spans="1:14" ht="12.75" customHeight="1" thickTop="1" x14ac:dyDescent="0.2">
      <c r="A343" s="2172" t="s">
        <v>995</v>
      </c>
      <c r="B343" s="2173"/>
      <c r="C343" s="616"/>
      <c r="D343" s="616"/>
      <c r="E343" s="616"/>
      <c r="F343" s="616"/>
      <c r="G343" s="616"/>
      <c r="H343" s="616"/>
      <c r="I343" s="616"/>
      <c r="J343" s="616"/>
      <c r="K343" s="1684">
        <f>'Revenues 9-14'!J268-'Expenditures 15-22'!K342</f>
        <v>-99174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965</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72747</v>
      </c>
      <c r="H348" s="466"/>
      <c r="I348" s="467"/>
      <c r="J348" s="467"/>
      <c r="K348" s="1671">
        <f>SUM(C348:J348)</f>
        <v>72747</v>
      </c>
      <c r="L348" s="466">
        <v>110511</v>
      </c>
    </row>
    <row r="349" spans="1:14" x14ac:dyDescent="0.2">
      <c r="A349" s="1504" t="s">
        <v>197</v>
      </c>
      <c r="B349" s="614">
        <v>2540</v>
      </c>
      <c r="C349" s="466"/>
      <c r="D349" s="466"/>
      <c r="E349" s="466"/>
      <c r="F349" s="466"/>
      <c r="G349" s="466">
        <f>182441+384943</f>
        <v>567384</v>
      </c>
      <c r="H349" s="466"/>
      <c r="I349" s="467"/>
      <c r="J349" s="467"/>
      <c r="K349" s="1671">
        <f>SUM(C349:J349)</f>
        <v>567384</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640131</v>
      </c>
      <c r="H350" s="1670">
        <f t="shared" si="26"/>
        <v>0</v>
      </c>
      <c r="I350" s="1670">
        <f t="shared" si="26"/>
        <v>0</v>
      </c>
      <c r="J350" s="1670">
        <f t="shared" si="26"/>
        <v>0</v>
      </c>
      <c r="K350" s="1670">
        <f t="shared" si="26"/>
        <v>640131</v>
      </c>
      <c r="L350" s="1670">
        <f t="shared" si="26"/>
        <v>110511</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640131</v>
      </c>
      <c r="H352" s="1670">
        <f t="shared" si="27"/>
        <v>0</v>
      </c>
      <c r="I352" s="1670">
        <f t="shared" si="27"/>
        <v>0</v>
      </c>
      <c r="J352" s="1670">
        <f t="shared" si="27"/>
        <v>0</v>
      </c>
      <c r="K352" s="1670">
        <f t="shared" si="27"/>
        <v>640131</v>
      </c>
      <c r="L352" s="1670">
        <f t="shared" si="27"/>
        <v>110511</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1848</v>
      </c>
      <c r="B354" s="683" t="s">
        <v>1840</v>
      </c>
      <c r="C354" s="616"/>
      <c r="D354" s="616"/>
      <c r="E354" s="616"/>
      <c r="F354" s="616"/>
      <c r="G354" s="616"/>
      <c r="H354" s="474"/>
      <c r="I354" s="701"/>
      <c r="J354" s="616"/>
      <c r="K354" s="1699">
        <f>H354</f>
        <v>0</v>
      </c>
      <c r="L354" s="471"/>
    </row>
    <row r="355" spans="1:14" ht="12.75" customHeight="1" x14ac:dyDescent="0.2">
      <c r="A355" s="1513" t="s">
        <v>1849</v>
      </c>
      <c r="B355" s="690" t="s">
        <v>1842</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640131</v>
      </c>
      <c r="H367" s="1670">
        <f t="shared" si="28"/>
        <v>0</v>
      </c>
      <c r="I367" s="1670">
        <f t="shared" si="28"/>
        <v>0</v>
      </c>
      <c r="J367" s="1670">
        <f t="shared" si="28"/>
        <v>0</v>
      </c>
      <c r="K367" s="1670">
        <f t="shared" si="28"/>
        <v>640131</v>
      </c>
      <c r="L367" s="1670">
        <f t="shared" si="28"/>
        <v>110511</v>
      </c>
    </row>
    <row r="368" spans="1:14" ht="13.5" thickTop="1" x14ac:dyDescent="0.2">
      <c r="A368" s="2159" t="s">
        <v>995</v>
      </c>
      <c r="B368" s="2160"/>
      <c r="C368" s="654"/>
      <c r="D368" s="654"/>
      <c r="E368" s="626"/>
      <c r="F368" s="626"/>
      <c r="G368" s="626"/>
      <c r="H368" s="626"/>
      <c r="I368" s="626"/>
      <c r="J368" s="623"/>
      <c r="K368" s="1671">
        <f>'Revenues 9-14'!K268-'Expenditures 15-22'!K367</f>
        <v>-312560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1798</v>
      </c>
      <c r="B2" s="1528" t="s">
        <v>1946</v>
      </c>
      <c r="C2" s="714" t="s">
        <v>1947</v>
      </c>
      <c r="D2" s="714" t="s">
        <v>1948</v>
      </c>
      <c r="E2" s="714" t="s">
        <v>1949</v>
      </c>
      <c r="F2" s="714" t="s">
        <v>1950</v>
      </c>
    </row>
    <row r="3" spans="1:6" ht="12" customHeight="1" x14ac:dyDescent="0.2">
      <c r="A3" s="2187"/>
      <c r="B3" s="1525"/>
      <c r="C3" s="1526"/>
      <c r="D3" s="1527" t="s">
        <v>256</v>
      </c>
      <c r="E3" s="1526"/>
      <c r="F3" s="1527" t="s">
        <v>257</v>
      </c>
    </row>
    <row r="4" spans="1:6" ht="13.7" customHeight="1" x14ac:dyDescent="0.2">
      <c r="A4" s="715" t="s">
        <v>1154</v>
      </c>
      <c r="B4" s="1749">
        <f>'Revenues 9-14'!C5</f>
        <v>22045518</v>
      </c>
      <c r="C4" s="1524">
        <v>26792972</v>
      </c>
      <c r="D4" s="1752">
        <f>B4-C4</f>
        <v>-4747454</v>
      </c>
      <c r="E4" s="1524">
        <v>6184774</v>
      </c>
      <c r="F4" s="1752">
        <f>E4-C4</f>
        <v>-20608198</v>
      </c>
    </row>
    <row r="5" spans="1:6" ht="13.7" customHeight="1" x14ac:dyDescent="0.2">
      <c r="A5" s="715" t="s">
        <v>869</v>
      </c>
      <c r="B5" s="1750">
        <f>'Revenues 9-14'!D5</f>
        <v>3341869</v>
      </c>
      <c r="C5" s="585">
        <v>4185971</v>
      </c>
      <c r="D5" s="1753">
        <f t="shared" ref="D5:D18" si="0">B5-C5</f>
        <v>-844102</v>
      </c>
      <c r="E5" s="585">
        <v>966269</v>
      </c>
      <c r="F5" s="1753">
        <f>E5-C5</f>
        <v>-3219702</v>
      </c>
    </row>
    <row r="6" spans="1:6" ht="13.7" customHeight="1" x14ac:dyDescent="0.2">
      <c r="A6" s="715" t="s">
        <v>410</v>
      </c>
      <c r="B6" s="1750">
        <f>'Revenues 9-14'!E5</f>
        <v>2846285</v>
      </c>
      <c r="C6" s="585">
        <v>2722089</v>
      </c>
      <c r="D6" s="1753">
        <f t="shared" si="0"/>
        <v>124196</v>
      </c>
      <c r="E6" s="585">
        <v>628353</v>
      </c>
      <c r="F6" s="1753">
        <f t="shared" ref="F6:F18" si="1">E6-C6</f>
        <v>-2093736</v>
      </c>
    </row>
    <row r="7" spans="1:6" ht="13.7" customHeight="1" x14ac:dyDescent="0.2">
      <c r="A7" s="715" t="s">
        <v>155</v>
      </c>
      <c r="B7" s="1750">
        <f>'Revenues 9-14'!F5</f>
        <v>1220117</v>
      </c>
      <c r="C7" s="585">
        <v>1649542</v>
      </c>
      <c r="D7" s="1753">
        <f t="shared" si="0"/>
        <v>-429425</v>
      </c>
      <c r="E7" s="585">
        <v>380769</v>
      </c>
      <c r="F7" s="1753">
        <f t="shared" si="1"/>
        <v>-1268773</v>
      </c>
    </row>
    <row r="8" spans="1:6" ht="13.7" customHeight="1" x14ac:dyDescent="0.2">
      <c r="A8" s="715" t="s">
        <v>1178</v>
      </c>
      <c r="B8" s="1750">
        <f>'Revenues 9-14'!G5</f>
        <v>638421</v>
      </c>
      <c r="C8" s="585">
        <v>825461</v>
      </c>
      <c r="D8" s="1753">
        <f t="shared" si="0"/>
        <v>-187040</v>
      </c>
      <c r="E8" s="585">
        <v>190543</v>
      </c>
      <c r="F8" s="1753">
        <f t="shared" si="1"/>
        <v>-634918</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711</v>
      </c>
      <c r="C10" s="585">
        <v>1380</v>
      </c>
      <c r="D10" s="1753">
        <f t="shared" si="0"/>
        <v>-669</v>
      </c>
      <c r="E10" s="585">
        <v>316</v>
      </c>
      <c r="F10" s="1753">
        <f t="shared" si="1"/>
        <v>-1064</v>
      </c>
    </row>
    <row r="11" spans="1:6" x14ac:dyDescent="0.2">
      <c r="A11" s="715" t="s">
        <v>408</v>
      </c>
      <c r="B11" s="1750">
        <f>'Revenues 9-14'!J5</f>
        <v>657904</v>
      </c>
      <c r="C11" s="585">
        <v>825461</v>
      </c>
      <c r="D11" s="1753">
        <f t="shared" si="0"/>
        <v>-167557</v>
      </c>
      <c r="E11" s="585">
        <v>190543</v>
      </c>
      <c r="F11" s="1753">
        <f t="shared" si="1"/>
        <v>-634918</v>
      </c>
    </row>
    <row r="12" spans="1:6" ht="13.7" customHeight="1" x14ac:dyDescent="0.2">
      <c r="A12" s="715" t="s">
        <v>157</v>
      </c>
      <c r="B12" s="1750">
        <f>'Revenues 9-14'!K5</f>
        <v>316896</v>
      </c>
      <c r="C12" s="585">
        <v>412730</v>
      </c>
      <c r="D12" s="1753">
        <f t="shared" si="0"/>
        <v>-95834</v>
      </c>
      <c r="E12" s="585">
        <v>95276</v>
      </c>
      <c r="F12" s="1753">
        <f t="shared" si="1"/>
        <v>-317454</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682257</v>
      </c>
      <c r="C14" s="585">
        <v>825461</v>
      </c>
      <c r="D14" s="1753">
        <f t="shared" si="0"/>
        <v>-143204</v>
      </c>
      <c r="E14" s="585">
        <v>190543</v>
      </c>
      <c r="F14" s="1753">
        <f t="shared" si="1"/>
        <v>-634918</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715079</v>
      </c>
      <c r="C16" s="585">
        <v>907593</v>
      </c>
      <c r="D16" s="1753">
        <f t="shared" si="0"/>
        <v>-192514</v>
      </c>
      <c r="E16" s="585">
        <v>209502</v>
      </c>
      <c r="F16" s="1753">
        <f t="shared" si="1"/>
        <v>-698091</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32465057</v>
      </c>
      <c r="C19" s="1751">
        <f>SUM(C4:C18)</f>
        <v>39148660</v>
      </c>
      <c r="D19" s="1751">
        <f>SUM(D4:D18)</f>
        <v>-6683603</v>
      </c>
      <c r="E19" s="1751">
        <f>SUM(E4:E18)</f>
        <v>9036888</v>
      </c>
      <c r="F19" s="1751">
        <f>SUM(F4:F18)</f>
        <v>-30111772</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7" colorId="8" zoomScale="110" zoomScaleNormal="110" workbookViewId="0">
      <selection activeCell="F52" sqref="F52:G5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628</v>
      </c>
      <c r="B1" s="2206"/>
      <c r="C1" s="721"/>
    </row>
    <row r="2" spans="1:7" ht="33.75" x14ac:dyDescent="0.2">
      <c r="A2" s="2213" t="s">
        <v>1798</v>
      </c>
      <c r="B2" s="2214"/>
      <c r="C2" s="1884" t="s">
        <v>1951</v>
      </c>
      <c r="D2" s="723" t="s">
        <v>1952</v>
      </c>
      <c r="E2" s="723" t="s">
        <v>1953</v>
      </c>
      <c r="F2" s="1884" t="s">
        <v>1954</v>
      </c>
    </row>
    <row r="3" spans="1:7" ht="15.75" customHeight="1" x14ac:dyDescent="0.2">
      <c r="A3" s="2215" t="s">
        <v>1113</v>
      </c>
      <c r="B3" s="2216"/>
      <c r="C3" s="2209"/>
      <c r="D3" s="2210"/>
      <c r="E3" s="2210"/>
      <c r="F3" s="2211"/>
    </row>
    <row r="4" spans="1:7" ht="12.75" customHeight="1" thickBot="1" x14ac:dyDescent="0.25">
      <c r="A4" s="2203" t="s">
        <v>629</v>
      </c>
      <c r="B4" s="2204"/>
      <c r="C4" s="581"/>
      <c r="D4" s="581"/>
      <c r="E4" s="581"/>
      <c r="F4" s="1755">
        <f>SUM(C4+D4)-E4</f>
        <v>0</v>
      </c>
    </row>
    <row r="5" spans="1:7" ht="15.75" customHeight="1" thickTop="1" x14ac:dyDescent="0.2">
      <c r="A5" s="2207" t="s">
        <v>1109</v>
      </c>
      <c r="B5" s="2202"/>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9" t="s">
        <v>630</v>
      </c>
      <c r="B15" s="2200"/>
      <c r="C15" s="1755">
        <f>SUM(C6:C14)</f>
        <v>0</v>
      </c>
      <c r="D15" s="1755">
        <f>SUM(D6:D14)</f>
        <v>0</v>
      </c>
      <c r="E15" s="1755">
        <f>SUM(E6:E14)</f>
        <v>0</v>
      </c>
      <c r="F15" s="1755">
        <f>SUM(F6:F14)</f>
        <v>0</v>
      </c>
      <c r="G15" s="552"/>
    </row>
    <row r="16" spans="1:7" s="202" customFormat="1" ht="15.75" customHeight="1" thickTop="1" x14ac:dyDescent="0.2">
      <c r="A16" s="2212" t="s">
        <v>1110</v>
      </c>
      <c r="B16" s="2202"/>
      <c r="C16" s="2196"/>
      <c r="D16" s="2197"/>
      <c r="E16" s="2197"/>
      <c r="F16" s="2198"/>
    </row>
    <row r="17" spans="1:11" ht="12.75" customHeight="1" thickBot="1" x14ac:dyDescent="0.25">
      <c r="A17" s="2194" t="s">
        <v>64</v>
      </c>
      <c r="B17" s="2195"/>
      <c r="C17" s="726"/>
      <c r="D17" s="585"/>
      <c r="E17" s="726"/>
      <c r="F17" s="1755">
        <f>SUM(C17+D17)-E17</f>
        <v>0</v>
      </c>
    </row>
    <row r="18" spans="1:11" ht="12.75" customHeight="1" thickTop="1" thickBot="1" x14ac:dyDescent="0.25">
      <c r="A18" s="2194" t="s">
        <v>6</v>
      </c>
      <c r="B18" s="2195"/>
      <c r="C18" s="726"/>
      <c r="D18" s="585"/>
      <c r="E18" s="726"/>
      <c r="F18" s="1755">
        <f>SUM(C18+D18)-E18</f>
        <v>0</v>
      </c>
    </row>
    <row r="19" spans="1:11" ht="12.75" customHeight="1" thickTop="1" thickBot="1" x14ac:dyDescent="0.25">
      <c r="A19" s="2194" t="s">
        <v>387</v>
      </c>
      <c r="B19" s="2195"/>
      <c r="C19" s="726"/>
      <c r="D19" s="585"/>
      <c r="E19" s="726"/>
      <c r="F19" s="1755">
        <f>SUM(C19+D19)-E19</f>
        <v>0</v>
      </c>
    </row>
    <row r="20" spans="1:11" ht="12.75" customHeight="1" thickTop="1" thickBot="1" x14ac:dyDescent="0.25">
      <c r="A20" s="2194" t="s">
        <v>447</v>
      </c>
      <c r="B20" s="2195"/>
      <c r="C20" s="726"/>
      <c r="D20" s="585"/>
      <c r="E20" s="726"/>
      <c r="F20" s="1755">
        <f>SUM(C20+D20)-E20</f>
        <v>0</v>
      </c>
    </row>
    <row r="21" spans="1:11" ht="14.25" thickTop="1" thickBot="1" x14ac:dyDescent="0.25">
      <c r="A21" s="2199" t="s">
        <v>631</v>
      </c>
      <c r="B21" s="2200"/>
      <c r="C21" s="1755">
        <f>SUM(C17:C20)</f>
        <v>0</v>
      </c>
      <c r="D21" s="1755">
        <f>SUM(D17:D20)</f>
        <v>0</v>
      </c>
      <c r="E21" s="1755">
        <f>SUM(E17:E20)</f>
        <v>0</v>
      </c>
      <c r="F21" s="1755">
        <f>SUM(F17:F20)</f>
        <v>0</v>
      </c>
      <c r="G21" s="552"/>
    </row>
    <row r="22" spans="1:11" ht="15.75" customHeight="1" thickTop="1" x14ac:dyDescent="0.2">
      <c r="A22" s="2201" t="s">
        <v>1111</v>
      </c>
      <c r="B22" s="2202"/>
      <c r="C22" s="2196"/>
      <c r="D22" s="2197"/>
      <c r="E22" s="2197"/>
      <c r="F22" s="2198"/>
    </row>
    <row r="23" spans="1:11" ht="13.5" thickBot="1" x14ac:dyDescent="0.25">
      <c r="A23" s="2203" t="s">
        <v>632</v>
      </c>
      <c r="B23" s="2204"/>
      <c r="C23" s="581"/>
      <c r="D23" s="581"/>
      <c r="E23" s="581"/>
      <c r="F23" s="1755">
        <f>SUM(C23+D23)-E23</f>
        <v>0</v>
      </c>
      <c r="G23" s="552"/>
    </row>
    <row r="24" spans="1:11" ht="15.75" customHeight="1" thickTop="1" x14ac:dyDescent="0.2">
      <c r="A24" s="2201" t="s">
        <v>1112</v>
      </c>
      <c r="B24" s="2202"/>
      <c r="C24" s="2196"/>
      <c r="D24" s="2197"/>
      <c r="E24" s="2197"/>
      <c r="F24" s="2198"/>
    </row>
    <row r="25" spans="1:11" ht="13.5" thickBot="1" x14ac:dyDescent="0.25">
      <c r="A25" s="2203" t="s">
        <v>633</v>
      </c>
      <c r="B25" s="2204"/>
      <c r="C25" s="581"/>
      <c r="D25" s="581"/>
      <c r="E25" s="581"/>
      <c r="F25" s="1755">
        <f>SUM(C25+D25)-E25</f>
        <v>0</v>
      </c>
      <c r="G25" s="552"/>
    </row>
    <row r="26" spans="1:11" ht="15.75" customHeight="1" thickTop="1" x14ac:dyDescent="0.2">
      <c r="A26" s="2207" t="s">
        <v>656</v>
      </c>
      <c r="B26" s="2202"/>
      <c r="C26" s="727"/>
      <c r="D26" s="727"/>
      <c r="E26" s="727"/>
      <c r="F26" s="728"/>
    </row>
    <row r="27" spans="1:11" ht="13.5" thickBot="1" x14ac:dyDescent="0.25">
      <c r="A27" s="2199" t="s">
        <v>1069</v>
      </c>
      <c r="B27" s="2200"/>
      <c r="C27" s="585"/>
      <c r="D27" s="585"/>
      <c r="E27" s="585"/>
      <c r="F27" s="1755">
        <f>SUM(C27+D27)-E27</f>
        <v>0</v>
      </c>
      <c r="G27" s="552"/>
    </row>
    <row r="28" spans="1:11" ht="7.5" customHeight="1" thickTop="1" x14ac:dyDescent="0.2">
      <c r="A28" s="593"/>
    </row>
    <row r="29" spans="1:11" ht="23.25" customHeight="1" x14ac:dyDescent="0.2">
      <c r="A29" s="2205" t="s">
        <v>581</v>
      </c>
      <c r="B29" s="2206"/>
      <c r="C29" s="729"/>
      <c r="D29" s="729"/>
      <c r="E29" s="729"/>
      <c r="F29" s="729"/>
      <c r="G29" s="729"/>
      <c r="H29" s="729"/>
      <c r="I29" s="729"/>
      <c r="J29" s="729"/>
    </row>
    <row r="30" spans="1:11" ht="33.75" x14ac:dyDescent="0.2">
      <c r="A30" s="1529" t="s">
        <v>1070</v>
      </c>
      <c r="B30" s="730" t="s">
        <v>1123</v>
      </c>
      <c r="C30" s="1885" t="s">
        <v>582</v>
      </c>
      <c r="D30" s="1885" t="s">
        <v>1672</v>
      </c>
      <c r="E30" s="1885" t="s">
        <v>1955</v>
      </c>
      <c r="F30" s="1885" t="s">
        <v>1956</v>
      </c>
      <c r="G30" s="1885" t="s">
        <v>1906</v>
      </c>
      <c r="H30" s="1885" t="s">
        <v>1957</v>
      </c>
      <c r="I30" s="1885" t="s">
        <v>1958</v>
      </c>
      <c r="J30" s="1886" t="s">
        <v>2</v>
      </c>
      <c r="K30" s="731"/>
    </row>
    <row r="31" spans="1:11" ht="12" customHeight="1" x14ac:dyDescent="0.2">
      <c r="A31" s="732" t="s">
        <v>2158</v>
      </c>
      <c r="B31" s="733">
        <v>37377</v>
      </c>
      <c r="C31" s="734">
        <v>8890000</v>
      </c>
      <c r="D31" s="735" t="s">
        <v>2166</v>
      </c>
      <c r="E31" s="734">
        <v>3110000</v>
      </c>
      <c r="F31" s="734"/>
      <c r="G31" s="734"/>
      <c r="H31" s="734">
        <v>3110000</v>
      </c>
      <c r="I31" s="1756">
        <f>((E31+F31)-H31)+G31</f>
        <v>0</v>
      </c>
      <c r="J31" s="734"/>
      <c r="K31" s="736"/>
    </row>
    <row r="32" spans="1:11" ht="12" customHeight="1" x14ac:dyDescent="0.2">
      <c r="A32" s="732" t="s">
        <v>2159</v>
      </c>
      <c r="B32" s="733">
        <v>40422</v>
      </c>
      <c r="C32" s="734">
        <v>829000</v>
      </c>
      <c r="D32" s="735" t="s">
        <v>2167</v>
      </c>
      <c r="E32" s="734">
        <v>491000</v>
      </c>
      <c r="F32" s="734"/>
      <c r="G32" s="734"/>
      <c r="H32" s="734">
        <v>187000</v>
      </c>
      <c r="I32" s="1756">
        <f>((E32+F32)-H32)+G32</f>
        <v>304000</v>
      </c>
      <c r="J32" s="734">
        <v>304000</v>
      </c>
      <c r="K32" s="736"/>
    </row>
    <row r="33" spans="1:11" ht="12" customHeight="1" x14ac:dyDescent="0.2">
      <c r="A33" s="732" t="s">
        <v>2160</v>
      </c>
      <c r="B33" s="733">
        <v>40526</v>
      </c>
      <c r="C33" s="734">
        <v>15390000</v>
      </c>
      <c r="D33" s="735" t="s">
        <v>2167</v>
      </c>
      <c r="E33" s="734">
        <v>14275000</v>
      </c>
      <c r="F33" s="734"/>
      <c r="G33" s="734"/>
      <c r="H33" s="734">
        <v>645000</v>
      </c>
      <c r="I33" s="1756">
        <f t="shared" ref="I33:I48" si="1">((E33+F33)-H33)+G33</f>
        <v>13630000</v>
      </c>
      <c r="J33" s="734">
        <v>13630000</v>
      </c>
      <c r="K33" s="736"/>
    </row>
    <row r="34" spans="1:11" ht="12" customHeight="1" x14ac:dyDescent="0.2">
      <c r="A34" s="732" t="s">
        <v>2161</v>
      </c>
      <c r="B34" s="733">
        <v>40834</v>
      </c>
      <c r="C34" s="734">
        <v>4450000</v>
      </c>
      <c r="D34" s="735" t="s">
        <v>2167</v>
      </c>
      <c r="E34" s="734">
        <v>3745000</v>
      </c>
      <c r="F34" s="734"/>
      <c r="G34" s="734"/>
      <c r="H34" s="734">
        <v>370000</v>
      </c>
      <c r="I34" s="1756">
        <f t="shared" si="1"/>
        <v>3375000</v>
      </c>
      <c r="J34" s="734">
        <v>3375000</v>
      </c>
      <c r="K34" s="737"/>
    </row>
    <row r="35" spans="1:11" ht="12" customHeight="1" x14ac:dyDescent="0.2">
      <c r="A35" s="732" t="s">
        <v>2162</v>
      </c>
      <c r="B35" s="733">
        <v>40912</v>
      </c>
      <c r="C35" s="738">
        <v>7490000</v>
      </c>
      <c r="D35" s="735" t="s">
        <v>2167</v>
      </c>
      <c r="E35" s="738">
        <v>5560000</v>
      </c>
      <c r="F35" s="738"/>
      <c r="G35" s="738"/>
      <c r="H35" s="738">
        <v>1000000</v>
      </c>
      <c r="I35" s="1756">
        <f t="shared" si="1"/>
        <v>4560000</v>
      </c>
      <c r="J35" s="738">
        <v>4560000</v>
      </c>
      <c r="K35" s="737"/>
    </row>
    <row r="36" spans="1:11" ht="12" customHeight="1" x14ac:dyDescent="0.2">
      <c r="A36" s="732" t="s">
        <v>2163</v>
      </c>
      <c r="B36" s="733">
        <v>42423</v>
      </c>
      <c r="C36" s="734">
        <v>3166000</v>
      </c>
      <c r="D36" s="735" t="s">
        <v>2167</v>
      </c>
      <c r="E36" s="734">
        <v>1113000</v>
      </c>
      <c r="F36" s="734"/>
      <c r="G36" s="734"/>
      <c r="H36" s="734">
        <v>1113000</v>
      </c>
      <c r="I36" s="1756">
        <f t="shared" si="1"/>
        <v>0</v>
      </c>
      <c r="J36" s="734"/>
      <c r="K36" s="739"/>
    </row>
    <row r="37" spans="1:11" ht="12" customHeight="1" x14ac:dyDescent="0.2">
      <c r="A37" s="732" t="s">
        <v>2164</v>
      </c>
      <c r="B37" s="733">
        <v>42998</v>
      </c>
      <c r="C37" s="467">
        <v>10885000</v>
      </c>
      <c r="D37" s="740" t="s">
        <v>2167</v>
      </c>
      <c r="E37" s="467">
        <v>10885000</v>
      </c>
      <c r="F37" s="467"/>
      <c r="G37" s="467"/>
      <c r="H37" s="467"/>
      <c r="I37" s="1756">
        <f t="shared" si="1"/>
        <v>10885000</v>
      </c>
      <c r="J37" s="467">
        <v>10885000</v>
      </c>
      <c r="K37" s="737"/>
    </row>
    <row r="38" spans="1:11" ht="12" customHeight="1" x14ac:dyDescent="0.2">
      <c r="A38" s="732" t="s">
        <v>2165</v>
      </c>
      <c r="B38" s="733">
        <v>43473</v>
      </c>
      <c r="C38" s="734">
        <v>3072000</v>
      </c>
      <c r="D38" s="741" t="s">
        <v>2167</v>
      </c>
      <c r="E38" s="742"/>
      <c r="F38" s="742">
        <v>3072000</v>
      </c>
      <c r="G38" s="742"/>
      <c r="H38" s="742"/>
      <c r="I38" s="1756">
        <f t="shared" si="1"/>
        <v>3072000</v>
      </c>
      <c r="J38" s="743">
        <v>2451592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54172000</v>
      </c>
      <c r="D49" s="745"/>
      <c r="E49" s="1756">
        <f t="shared" ref="E49:J49" si="2">SUM(E31:E48)</f>
        <v>39179000</v>
      </c>
      <c r="F49" s="1756">
        <f t="shared" si="2"/>
        <v>3072000</v>
      </c>
      <c r="G49" s="1756">
        <f t="shared" si="2"/>
        <v>0</v>
      </c>
      <c r="H49" s="1756">
        <f t="shared" si="2"/>
        <v>6425000</v>
      </c>
      <c r="I49" s="1756">
        <f t="shared" si="2"/>
        <v>35826000</v>
      </c>
      <c r="J49" s="1756">
        <f t="shared" si="2"/>
        <v>35205592</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88" t="s">
        <v>583</v>
      </c>
      <c r="C52" s="2189"/>
      <c r="D52" s="2189"/>
      <c r="E52" s="749" t="s">
        <v>844</v>
      </c>
      <c r="F52" s="2190"/>
      <c r="G52" s="2191"/>
      <c r="H52" s="736"/>
      <c r="I52" s="736"/>
      <c r="J52" s="746"/>
    </row>
    <row r="53" spans="1:11" ht="11.25" customHeight="1" x14ac:dyDescent="0.2">
      <c r="A53" s="750" t="s">
        <v>912</v>
      </c>
      <c r="B53" s="751" t="s">
        <v>950</v>
      </c>
      <c r="C53" s="746"/>
      <c r="D53" s="737"/>
      <c r="E53" s="749" t="s">
        <v>496</v>
      </c>
      <c r="F53" s="2192"/>
      <c r="G53" s="2193"/>
      <c r="H53" s="736"/>
      <c r="I53" s="736"/>
      <c r="J53" s="746"/>
    </row>
    <row r="54" spans="1:11" ht="11.25" customHeight="1" x14ac:dyDescent="0.2">
      <c r="A54" s="752" t="s">
        <v>913</v>
      </c>
      <c r="B54" s="747" t="s">
        <v>951</v>
      </c>
      <c r="C54" s="746"/>
      <c r="D54" s="737"/>
      <c r="E54" s="749" t="s">
        <v>497</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I36" sqref="I3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855</v>
      </c>
      <c r="B1" s="2218"/>
      <c r="C1" s="2218"/>
      <c r="D1" s="2218"/>
      <c r="E1" s="2218"/>
      <c r="F1" s="2218"/>
      <c r="G1" s="2219"/>
      <c r="H1" s="1530"/>
      <c r="I1" s="760"/>
      <c r="J1" s="433"/>
    </row>
    <row r="2" spans="1:11" ht="26.25" x14ac:dyDescent="0.2">
      <c r="A2" s="2236" t="s">
        <v>1676</v>
      </c>
      <c r="B2" s="2237"/>
      <c r="C2" s="2237"/>
      <c r="D2" s="2237"/>
      <c r="E2" s="2238"/>
      <c r="F2" s="761" t="s">
        <v>903</v>
      </c>
      <c r="G2" s="762" t="s">
        <v>1673</v>
      </c>
      <c r="H2" s="762" t="s">
        <v>409</v>
      </c>
      <c r="I2" s="762" t="s">
        <v>1157</v>
      </c>
      <c r="J2" s="762" t="s">
        <v>1808</v>
      </c>
      <c r="K2" s="762" t="s">
        <v>138</v>
      </c>
    </row>
    <row r="3" spans="1:11" x14ac:dyDescent="0.2">
      <c r="A3" s="2239" t="s">
        <v>1959</v>
      </c>
      <c r="B3" s="2240"/>
      <c r="C3" s="2240"/>
      <c r="D3" s="2240"/>
      <c r="E3" s="2241"/>
      <c r="F3" s="763"/>
      <c r="G3" s="764"/>
      <c r="H3" s="764">
        <v>827220</v>
      </c>
      <c r="I3" s="764"/>
      <c r="J3" s="765">
        <v>-1089981</v>
      </c>
      <c r="K3" s="765"/>
    </row>
    <row r="4" spans="1:11" x14ac:dyDescent="0.2">
      <c r="A4" s="2242" t="s">
        <v>368</v>
      </c>
      <c r="B4" s="2243"/>
      <c r="C4" s="2243"/>
      <c r="D4" s="2243"/>
      <c r="E4" s="2189"/>
      <c r="F4" s="766"/>
      <c r="G4" s="767"/>
      <c r="H4" s="768"/>
      <c r="I4" s="767"/>
      <c r="J4" s="769"/>
      <c r="K4" s="769"/>
    </row>
    <row r="5" spans="1:11" x14ac:dyDescent="0.2">
      <c r="A5" s="2220" t="s">
        <v>1068</v>
      </c>
      <c r="B5" s="2221"/>
      <c r="C5" s="2221"/>
      <c r="D5" s="2221"/>
      <c r="E5" s="2222"/>
      <c r="F5" s="770" t="s">
        <v>847</v>
      </c>
      <c r="G5" s="771"/>
      <c r="H5" s="764">
        <v>558655</v>
      </c>
      <c r="I5" s="772"/>
      <c r="J5" s="773"/>
      <c r="K5" s="773"/>
    </row>
    <row r="6" spans="1:11" x14ac:dyDescent="0.2">
      <c r="A6" s="774" t="s">
        <v>719</v>
      </c>
      <c r="B6" s="775"/>
      <c r="C6" s="775"/>
      <c r="D6" s="775"/>
      <c r="E6" s="776"/>
      <c r="F6" s="777" t="s">
        <v>848</v>
      </c>
      <c r="G6" s="764"/>
      <c r="H6" s="764"/>
      <c r="I6" s="764"/>
      <c r="J6" s="765">
        <v>30283</v>
      </c>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3516501</v>
      </c>
      <c r="K8" s="769"/>
    </row>
    <row r="9" spans="1:11" x14ac:dyDescent="0.2">
      <c r="A9" s="778" t="s">
        <v>138</v>
      </c>
      <c r="B9" s="779"/>
      <c r="C9" s="779"/>
      <c r="D9" s="779"/>
      <c r="E9" s="780"/>
      <c r="F9" s="777" t="s">
        <v>852</v>
      </c>
      <c r="G9" s="782"/>
      <c r="H9" s="771"/>
      <c r="I9" s="771"/>
      <c r="J9" s="781"/>
      <c r="K9" s="765"/>
    </row>
    <row r="10" spans="1:11" x14ac:dyDescent="0.2">
      <c r="A10" s="2220" t="s">
        <v>1809</v>
      </c>
      <c r="B10" s="2221"/>
      <c r="C10" s="2221"/>
      <c r="D10" s="2221"/>
      <c r="E10" s="2223"/>
      <c r="F10" s="783" t="s">
        <v>861</v>
      </c>
      <c r="G10" s="782"/>
      <c r="H10" s="784">
        <v>287306</v>
      </c>
      <c r="I10" s="764"/>
      <c r="J10" s="765"/>
      <c r="K10" s="765"/>
    </row>
    <row r="11" spans="1:11" x14ac:dyDescent="0.2">
      <c r="A11" s="2220" t="s">
        <v>160</v>
      </c>
      <c r="B11" s="2221"/>
      <c r="C11" s="2221"/>
      <c r="D11" s="2221"/>
      <c r="E11" s="2222"/>
      <c r="F11" s="770" t="s">
        <v>851</v>
      </c>
      <c r="G11" s="771"/>
      <c r="H11" s="764"/>
      <c r="I11" s="764"/>
      <c r="J11" s="765"/>
      <c r="K11" s="773"/>
    </row>
    <row r="12" spans="1:11" ht="13.5" thickBot="1" x14ac:dyDescent="0.25">
      <c r="A12" s="2247" t="s">
        <v>904</v>
      </c>
      <c r="B12" s="2248"/>
      <c r="C12" s="2248"/>
      <c r="D12" s="2248"/>
      <c r="E12" s="2249"/>
      <c r="F12" s="1757"/>
      <c r="G12" s="1758">
        <f>SUM(G5:G11)</f>
        <v>0</v>
      </c>
      <c r="H12" s="1758">
        <f>SUM(H5:H11)</f>
        <v>845961</v>
      </c>
      <c r="I12" s="1758">
        <f>SUM(I5:I11)</f>
        <v>0</v>
      </c>
      <c r="J12" s="1758">
        <f>SUM(J5:J11)</f>
        <v>3546784</v>
      </c>
      <c r="K12" s="1758">
        <f>SUM(K5:K11)</f>
        <v>0</v>
      </c>
    </row>
    <row r="13" spans="1:11" ht="13.5" thickTop="1" x14ac:dyDescent="0.2">
      <c r="A13" s="2244" t="s">
        <v>369</v>
      </c>
      <c r="B13" s="2245"/>
      <c r="C13" s="2245"/>
      <c r="D13" s="2245"/>
      <c r="E13" s="2246"/>
      <c r="F13" s="785"/>
      <c r="G13" s="786"/>
      <c r="H13" s="787"/>
      <c r="I13" s="788"/>
      <c r="J13" s="788"/>
      <c r="K13" s="788"/>
    </row>
    <row r="14" spans="1:11" x14ac:dyDescent="0.2">
      <c r="A14" s="2227" t="s">
        <v>455</v>
      </c>
      <c r="B14" s="2227"/>
      <c r="C14" s="2227"/>
      <c r="D14" s="2227"/>
      <c r="E14" s="2228"/>
      <c r="F14" s="789" t="s">
        <v>853</v>
      </c>
      <c r="G14" s="782"/>
      <c r="H14" s="764"/>
      <c r="I14" s="771"/>
      <c r="J14" s="773"/>
      <c r="K14" s="765"/>
    </row>
    <row r="15" spans="1:11" x14ac:dyDescent="0.2">
      <c r="A15" s="2221" t="s">
        <v>4</v>
      </c>
      <c r="B15" s="2221"/>
      <c r="C15" s="2221"/>
      <c r="D15" s="2221"/>
      <c r="E15" s="2222"/>
      <c r="F15" s="789" t="s">
        <v>854</v>
      </c>
      <c r="G15" s="771"/>
      <c r="H15" s="764"/>
      <c r="I15" s="764"/>
      <c r="J15" s="765"/>
      <c r="K15" s="765"/>
    </row>
    <row r="16" spans="1:11" x14ac:dyDescent="0.2">
      <c r="A16" s="2221" t="s">
        <v>297</v>
      </c>
      <c r="B16" s="2221"/>
      <c r="C16" s="2221"/>
      <c r="D16" s="2221"/>
      <c r="E16" s="2222"/>
      <c r="F16" s="789" t="s">
        <v>922</v>
      </c>
      <c r="G16" s="772"/>
      <c r="H16" s="767"/>
      <c r="I16" s="767"/>
      <c r="J16" s="769"/>
      <c r="K16" s="769"/>
    </row>
    <row r="17" spans="1:11" x14ac:dyDescent="0.2">
      <c r="A17" s="2252" t="s">
        <v>934</v>
      </c>
      <c r="B17" s="2252"/>
      <c r="C17" s="2252"/>
      <c r="D17" s="2252"/>
      <c r="E17" s="2253"/>
      <c r="F17" s="790"/>
      <c r="G17" s="791"/>
      <c r="H17" s="792"/>
      <c r="I17" s="792"/>
      <c r="J17" s="793"/>
      <c r="K17" s="794"/>
    </row>
    <row r="18" spans="1:11" x14ac:dyDescent="0.2">
      <c r="A18" s="2231" t="s">
        <v>367</v>
      </c>
      <c r="B18" s="2232"/>
      <c r="C18" s="2232"/>
      <c r="D18" s="2232"/>
      <c r="E18" s="2233"/>
      <c r="F18" s="789" t="s">
        <v>931</v>
      </c>
      <c r="G18" s="782"/>
      <c r="H18" s="782"/>
      <c r="I18" s="782"/>
      <c r="J18" s="765">
        <f>120763+240223</f>
        <v>360986</v>
      </c>
      <c r="K18" s="795"/>
    </row>
    <row r="19" spans="1:11" ht="21.75" customHeight="1" x14ac:dyDescent="0.2">
      <c r="A19" s="2229" t="s">
        <v>1805</v>
      </c>
      <c r="B19" s="2229"/>
      <c r="C19" s="2229"/>
      <c r="D19" s="2229"/>
      <c r="E19" s="2230"/>
      <c r="F19" s="789" t="s">
        <v>932</v>
      </c>
      <c r="G19" s="782"/>
      <c r="H19" s="782"/>
      <c r="I19" s="782"/>
      <c r="J19" s="765">
        <f>645000+370000</f>
        <v>1015000</v>
      </c>
      <c r="K19" s="795"/>
    </row>
    <row r="20" spans="1:11" x14ac:dyDescent="0.2">
      <c r="A20" s="2231" t="s">
        <v>1810</v>
      </c>
      <c r="B20" s="2232"/>
      <c r="C20" s="2232"/>
      <c r="D20" s="2232"/>
      <c r="E20" s="2233"/>
      <c r="F20" s="789" t="s">
        <v>933</v>
      </c>
      <c r="G20" s="782"/>
      <c r="H20" s="782"/>
      <c r="I20" s="782"/>
      <c r="J20" s="765"/>
      <c r="K20" s="795"/>
    </row>
    <row r="21" spans="1:11" ht="13.5" thickBot="1" x14ac:dyDescent="0.25">
      <c r="A21" s="2250" t="s">
        <v>637</v>
      </c>
      <c r="B21" s="2250"/>
      <c r="C21" s="2250"/>
      <c r="D21" s="2250"/>
      <c r="E21" s="2250"/>
      <c r="F21" s="1759"/>
      <c r="G21" s="792"/>
      <c r="H21" s="796"/>
      <c r="I21" s="796"/>
      <c r="J21" s="1760">
        <f>SUM(J18:J20)</f>
        <v>1375986</v>
      </c>
      <c r="K21" s="793"/>
    </row>
    <row r="22" spans="1:11" ht="13.5" thickTop="1" x14ac:dyDescent="0.2">
      <c r="A22" s="2221" t="s">
        <v>1811</v>
      </c>
      <c r="B22" s="2221"/>
      <c r="C22" s="2221"/>
      <c r="D22" s="2221"/>
      <c r="E22" s="2222"/>
      <c r="F22" s="789" t="s">
        <v>861</v>
      </c>
      <c r="G22" s="782"/>
      <c r="H22" s="764">
        <v>348865</v>
      </c>
      <c r="I22" s="764"/>
      <c r="J22" s="797"/>
      <c r="K22" s="765"/>
    </row>
    <row r="23" spans="1:11" ht="13.5" thickBot="1" x14ac:dyDescent="0.25">
      <c r="A23" s="2251" t="s">
        <v>905</v>
      </c>
      <c r="B23" s="2250"/>
      <c r="C23" s="2250"/>
      <c r="D23" s="2250"/>
      <c r="E23" s="2250"/>
      <c r="F23" s="1761"/>
      <c r="G23" s="1758">
        <f>SUM(G14:G16,G21,G22)</f>
        <v>0</v>
      </c>
      <c r="H23" s="1758">
        <f>SUM(H14:H16,H21,H22)</f>
        <v>348865</v>
      </c>
      <c r="I23" s="1758">
        <f>SUM(I14:I16,I21,I22)</f>
        <v>0</v>
      </c>
      <c r="J23" s="1758">
        <f>SUM(J14:J16,J21,J22)</f>
        <v>1375986</v>
      </c>
      <c r="K23" s="1758">
        <f>SUM(K14:K16,K21,K22)</f>
        <v>0</v>
      </c>
    </row>
    <row r="24" spans="1:11" ht="14.25" thickTop="1" thickBot="1" x14ac:dyDescent="0.25">
      <c r="A24" s="2251" t="s">
        <v>1960</v>
      </c>
      <c r="B24" s="2250"/>
      <c r="C24" s="2250"/>
      <c r="D24" s="2250"/>
      <c r="E24" s="2250"/>
      <c r="F24" s="1762"/>
      <c r="G24" s="1763">
        <f>SUM(G3,G12)-G23</f>
        <v>0</v>
      </c>
      <c r="H24" s="1763">
        <f>SUM(H3,H12)-H23</f>
        <v>1324316</v>
      </c>
      <c r="I24" s="1763">
        <f>SUM(I3,I12)-I23</f>
        <v>0</v>
      </c>
      <c r="J24" s="1763">
        <f>SUM(J3,J12)-J23</f>
        <v>1080817</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1324316</v>
      </c>
      <c r="I26" s="1758">
        <f>I24-I25</f>
        <v>0</v>
      </c>
      <c r="J26" s="1758">
        <f>J24-J25</f>
        <v>1080817</v>
      </c>
      <c r="K26" s="1758">
        <f>K24-K25</f>
        <v>0</v>
      </c>
    </row>
    <row r="27" spans="1:11" ht="5.25" customHeight="1" thickTop="1" x14ac:dyDescent="0.2">
      <c r="I27" s="202"/>
      <c r="J27" s="202"/>
    </row>
    <row r="28" spans="1:11" ht="29.25" customHeight="1" x14ac:dyDescent="0.2">
      <c r="A28" s="1880" t="s">
        <v>1905</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24"/>
      <c r="I31" s="2225"/>
      <c r="J31" s="2225"/>
      <c r="K31" s="2225"/>
    </row>
    <row r="32" spans="1:11" x14ac:dyDescent="0.2">
      <c r="A32" s="809"/>
      <c r="B32" s="237"/>
      <c r="C32" s="237"/>
      <c r="D32" s="237"/>
      <c r="E32" s="805"/>
      <c r="F32" s="811" t="s">
        <v>539</v>
      </c>
      <c r="G32" s="764"/>
      <c r="H32" s="2226"/>
      <c r="I32" s="2225"/>
      <c r="J32" s="2225"/>
      <c r="K32" s="2225"/>
    </row>
    <row r="33" spans="1:11" ht="1.5" customHeight="1" x14ac:dyDescent="0.2">
      <c r="A33" s="812" t="s">
        <v>1168</v>
      </c>
      <c r="B33" s="364"/>
      <c r="C33" s="364"/>
      <c r="D33" s="364"/>
      <c r="E33" s="364"/>
      <c r="F33" s="364"/>
      <c r="G33" s="813"/>
      <c r="H33" s="2226"/>
      <c r="I33" s="2225"/>
      <c r="J33" s="2225"/>
      <c r="K33" s="2225"/>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1" t="s">
        <v>540</v>
      </c>
      <c r="B41" s="2234"/>
      <c r="C41" s="2234"/>
      <c r="D41" s="2234"/>
      <c r="E41" s="2234"/>
      <c r="F41" s="2235"/>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1904</v>
      </c>
      <c r="B1" s="2257"/>
      <c r="C1" s="2258"/>
      <c r="D1" s="826"/>
      <c r="E1" s="827"/>
      <c r="F1" s="827"/>
      <c r="G1" s="828"/>
      <c r="H1" s="829"/>
      <c r="I1" s="830"/>
      <c r="J1" s="2254"/>
      <c r="K1" s="2255"/>
      <c r="L1" s="2255"/>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1085115</v>
      </c>
      <c r="D5" s="841">
        <v>425</v>
      </c>
      <c r="E5" s="841"/>
      <c r="F5" s="1760">
        <f>(C5+D5)-E5</f>
        <v>1085540</v>
      </c>
      <c r="G5" s="837"/>
      <c r="H5" s="842"/>
      <c r="I5" s="842"/>
      <c r="J5" s="842"/>
      <c r="K5" s="793"/>
      <c r="L5" s="1769">
        <f>F5-K5</f>
        <v>1085540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125970047</v>
      </c>
      <c r="D8" s="844">
        <v>4132320</v>
      </c>
      <c r="E8" s="844"/>
      <c r="F8" s="1760">
        <f>(C8+D8)-E8</f>
        <v>130102367</v>
      </c>
      <c r="G8" s="843">
        <v>50</v>
      </c>
      <c r="H8" s="765">
        <v>41623584</v>
      </c>
      <c r="I8" s="765">
        <v>2602047</v>
      </c>
      <c r="J8" s="765"/>
      <c r="K8" s="1769">
        <f>(H8+I8)-J8</f>
        <v>44225631</v>
      </c>
      <c r="L8" s="1769">
        <f>F8-K8</f>
        <v>85876736</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1096679</v>
      </c>
      <c r="D10" s="846"/>
      <c r="E10" s="846"/>
      <c r="F10" s="1764">
        <f>(C10+D10)-E10</f>
        <v>1096679</v>
      </c>
      <c r="G10" s="843">
        <v>20</v>
      </c>
      <c r="H10" s="847">
        <v>1096679</v>
      </c>
      <c r="I10" s="847"/>
      <c r="J10" s="847"/>
      <c r="K10" s="1769">
        <f>(H10+I10)-J10</f>
        <v>1096679</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21456496</v>
      </c>
      <c r="D12" s="844">
        <v>585806</v>
      </c>
      <c r="E12" s="844"/>
      <c r="F12" s="1760">
        <f>(C12+D12)-E12</f>
        <v>22042302</v>
      </c>
      <c r="G12" s="843">
        <v>10</v>
      </c>
      <c r="H12" s="765">
        <v>17199951</v>
      </c>
      <c r="I12" s="765">
        <v>484235</v>
      </c>
      <c r="J12" s="765"/>
      <c r="K12" s="1769">
        <f>(H12+I12)-J12</f>
        <v>17684186</v>
      </c>
      <c r="L12" s="1769">
        <f>F12-K12</f>
        <v>4358116</v>
      </c>
    </row>
    <row r="13" spans="1:14" ht="14.25" thickTop="1" thickBot="1" x14ac:dyDescent="0.25">
      <c r="A13" s="848" t="s">
        <v>1121</v>
      </c>
      <c r="B13" s="840">
        <v>252</v>
      </c>
      <c r="C13" s="844">
        <v>96446</v>
      </c>
      <c r="D13" s="844"/>
      <c r="E13" s="844"/>
      <c r="F13" s="1760">
        <f>(C13+D13)-E13</f>
        <v>96446</v>
      </c>
      <c r="G13" s="843">
        <v>5</v>
      </c>
      <c r="H13" s="765">
        <v>96446</v>
      </c>
      <c r="I13" s="765"/>
      <c r="J13" s="765"/>
      <c r="K13" s="1769">
        <f>(H13+I13)-J13</f>
        <v>96446</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149704783</v>
      </c>
      <c r="D16" s="1760">
        <f>SUM(D3,D5:D6,D8:D10,D12:D15)</f>
        <v>4718551</v>
      </c>
      <c r="E16" s="1760">
        <f>SUM(E3,E5:E6,E8:E10,E12:E15)</f>
        <v>0</v>
      </c>
      <c r="F16" s="1760">
        <f>SUM(F3,F5:F6,F8:F10,F12:F15)</f>
        <v>154423334</v>
      </c>
      <c r="G16" s="843"/>
      <c r="H16" s="1760">
        <f>SUM(H3,H6,H8:H10,H12:H14,)</f>
        <v>60016660</v>
      </c>
      <c r="I16" s="1760">
        <f>SUM(I3,I6,I8:I10,I12:I14,)</f>
        <v>3086282</v>
      </c>
      <c r="J16" s="1760">
        <f>SUM(J3,J6,J8:J10,J12:J14,)</f>
        <v>0</v>
      </c>
      <c r="K16" s="1760">
        <f>(H16+I16)-J16</f>
        <v>63102942</v>
      </c>
      <c r="L16" s="1760">
        <f>F16-K16</f>
        <v>91320392</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3086282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1970</v>
      </c>
      <c r="B1" s="2263"/>
      <c r="C1" s="2263"/>
      <c r="D1" s="2263"/>
      <c r="E1" s="2263"/>
      <c r="F1" s="2264"/>
      <c r="G1" s="855"/>
    </row>
    <row r="2" spans="1:7" ht="15" customHeight="1" thickBot="1" x14ac:dyDescent="0.25">
      <c r="A2" s="2265" t="s">
        <v>476</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8"/>
      <c r="B5" s="2269"/>
      <c r="C5" s="2269"/>
      <c r="D5" s="2269"/>
      <c r="E5" s="2269"/>
      <c r="F5" s="2269"/>
    </row>
    <row r="6" spans="1:7" ht="13.5" customHeight="1" thickBot="1" x14ac:dyDescent="0.25">
      <c r="A6" s="2259" t="s">
        <v>1103</v>
      </c>
      <c r="B6" s="2260"/>
      <c r="C6" s="2260"/>
      <c r="D6" s="2260"/>
      <c r="E6" s="2260"/>
      <c r="F6" s="2261"/>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55777414</v>
      </c>
      <c r="G8" s="865"/>
    </row>
    <row r="9" spans="1:7" x14ac:dyDescent="0.2">
      <c r="A9" s="869" t="s">
        <v>459</v>
      </c>
      <c r="B9" s="870" t="s">
        <v>1872</v>
      </c>
      <c r="C9" s="871"/>
      <c r="D9" s="869" t="s">
        <v>500</v>
      </c>
      <c r="E9" s="868"/>
      <c r="F9" s="1909">
        <f>'Expenditures 15-22'!K151</f>
        <v>3773839</v>
      </c>
      <c r="G9" s="872"/>
    </row>
    <row r="10" spans="1:7" x14ac:dyDescent="0.2">
      <c r="A10" s="869" t="s">
        <v>498</v>
      </c>
      <c r="B10" s="870" t="s">
        <v>1873</v>
      </c>
      <c r="C10" s="871"/>
      <c r="D10" s="869" t="s">
        <v>500</v>
      </c>
      <c r="E10" s="868"/>
      <c r="F10" s="1909">
        <f>'Expenditures 15-22'!K174</f>
        <v>7454591</v>
      </c>
      <c r="G10" s="872"/>
    </row>
    <row r="11" spans="1:7" x14ac:dyDescent="0.2">
      <c r="A11" s="869" t="s">
        <v>460</v>
      </c>
      <c r="B11" s="870" t="s">
        <v>1874</v>
      </c>
      <c r="C11" s="871"/>
      <c r="D11" s="869" t="s">
        <v>500</v>
      </c>
      <c r="E11" s="868"/>
      <c r="F11" s="1909">
        <f>'Expenditures 15-22'!K210</f>
        <v>2521068</v>
      </c>
      <c r="G11" s="872"/>
    </row>
    <row r="12" spans="1:7" x14ac:dyDescent="0.2">
      <c r="A12" s="869" t="s">
        <v>461</v>
      </c>
      <c r="B12" s="870" t="s">
        <v>1875</v>
      </c>
      <c r="C12" s="871"/>
      <c r="D12" s="869" t="s">
        <v>500</v>
      </c>
      <c r="E12" s="868"/>
      <c r="F12" s="1909">
        <f>'Expenditures 15-22'!K295</f>
        <v>1437011</v>
      </c>
      <c r="G12" s="872"/>
    </row>
    <row r="13" spans="1:7" x14ac:dyDescent="0.2">
      <c r="A13" s="869" t="s">
        <v>106</v>
      </c>
      <c r="B13" s="870" t="s">
        <v>1876</v>
      </c>
      <c r="C13" s="871"/>
      <c r="D13" s="869" t="s">
        <v>500</v>
      </c>
      <c r="E13" s="868"/>
      <c r="F13" s="1909">
        <f>'Expenditures 15-22'!K342</f>
        <v>761738</v>
      </c>
      <c r="G13" s="873"/>
    </row>
    <row r="14" spans="1:7" ht="12" customHeight="1" thickBot="1" x14ac:dyDescent="0.25">
      <c r="A14" s="1770"/>
      <c r="B14" s="1771"/>
      <c r="C14" s="1772"/>
      <c r="D14" s="1773" t="s">
        <v>500</v>
      </c>
      <c r="E14" s="1774" t="s">
        <v>957</v>
      </c>
      <c r="F14" s="1775">
        <f>SUM(F8:F13)</f>
        <v>71725661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14">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1997</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1165552</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342158</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48468</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1574538</v>
      </c>
      <c r="G52" s="865"/>
    </row>
    <row r="53" spans="1:7" x14ac:dyDescent="0.2">
      <c r="A53" s="869" t="s">
        <v>458</v>
      </c>
      <c r="B53" s="869" t="s">
        <v>1474</v>
      </c>
      <c r="C53" s="889">
        <f>'Expenditures 15-22'!B102</f>
        <v>4000</v>
      </c>
      <c r="D53" s="888" t="str">
        <f>'Expenditures 15-22'!A102</f>
        <v>Total Payments to Other Govt Units</v>
      </c>
      <c r="E53" s="868"/>
      <c r="F53" s="1913">
        <f>'Expenditures 15-22'!K102</f>
        <v>1207256</v>
      </c>
      <c r="G53" s="865"/>
    </row>
    <row r="54" spans="1:7" x14ac:dyDescent="0.2">
      <c r="A54" s="869" t="s">
        <v>458</v>
      </c>
      <c r="B54" s="869" t="s">
        <v>1475</v>
      </c>
      <c r="C54" s="889" t="s">
        <v>981</v>
      </c>
      <c r="D54" s="885" t="s">
        <v>1094</v>
      </c>
      <c r="E54" s="868"/>
      <c r="F54" s="1913">
        <f>'Expenditures 15-22'!G114</f>
        <v>216200</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13">
        <f>'Expenditures 15-22'!K139</f>
        <v>0</v>
      </c>
      <c r="G57" s="865"/>
    </row>
    <row r="58" spans="1:7" x14ac:dyDescent="0.2">
      <c r="A58" s="869" t="s">
        <v>459</v>
      </c>
      <c r="B58" s="869" t="s">
        <v>1878</v>
      </c>
      <c r="C58" s="886" t="s">
        <v>981</v>
      </c>
      <c r="D58" s="885" t="s">
        <v>1094</v>
      </c>
      <c r="E58" s="868"/>
      <c r="F58" s="1915">
        <f>'Expenditures 15-22'!G151</f>
        <v>114360</v>
      </c>
      <c r="G58" s="865"/>
    </row>
    <row r="59" spans="1:7" x14ac:dyDescent="0.2">
      <c r="A59" s="893" t="s">
        <v>459</v>
      </c>
      <c r="B59" s="856" t="s">
        <v>1879</v>
      </c>
      <c r="C59" s="894" t="s">
        <v>981</v>
      </c>
      <c r="D59" s="856" t="s">
        <v>290</v>
      </c>
      <c r="F59" s="1916">
        <f>'Expenditures 15-22'!I151</f>
        <v>0</v>
      </c>
      <c r="G59" s="865"/>
    </row>
    <row r="60" spans="1:7" x14ac:dyDescent="0.2">
      <c r="A60" s="893" t="s">
        <v>498</v>
      </c>
      <c r="B60" s="856" t="s">
        <v>1880</v>
      </c>
      <c r="C60" s="894">
        <v>4000</v>
      </c>
      <c r="D60" s="856" t="s">
        <v>311</v>
      </c>
      <c r="F60" s="1914">
        <f>'Expenditures 15-22'!K160</f>
        <v>0</v>
      </c>
      <c r="G60" s="865"/>
    </row>
    <row r="61" spans="1:7" x14ac:dyDescent="0.2">
      <c r="A61" s="895" t="s">
        <v>498</v>
      </c>
      <c r="B61" s="895" t="s">
        <v>1881</v>
      </c>
      <c r="C61" s="896" t="str">
        <f>'Expenditures 15-22'!B170</f>
        <v>5300</v>
      </c>
      <c r="D61" s="897" t="s">
        <v>310</v>
      </c>
      <c r="E61" s="879"/>
      <c r="F61" s="1913">
        <f>'Expenditures 15-22'!K170</f>
        <v>6425000</v>
      </c>
      <c r="G61" s="865"/>
    </row>
    <row r="62" spans="1:7" x14ac:dyDescent="0.2">
      <c r="A62" s="869" t="s">
        <v>460</v>
      </c>
      <c r="B62" s="869" t="s">
        <v>1882</v>
      </c>
      <c r="C62" s="886">
        <f>'Expenditures 15-22'!B185</f>
        <v>3000</v>
      </c>
      <c r="D62" s="876" t="s">
        <v>448</v>
      </c>
      <c r="E62" s="868"/>
      <c r="F62" s="1913">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1884</v>
      </c>
      <c r="C64" s="896" t="str">
        <f>'Expenditures 15-22'!B206</f>
        <v>5300</v>
      </c>
      <c r="D64" s="892" t="s">
        <v>310</v>
      </c>
      <c r="E64" s="868"/>
      <c r="F64" s="1913">
        <f>'Expenditures 15-22'!K206</f>
        <v>0</v>
      </c>
      <c r="G64" s="865"/>
    </row>
    <row r="65" spans="1:8" x14ac:dyDescent="0.2">
      <c r="A65" s="869" t="s">
        <v>460</v>
      </c>
      <c r="B65" s="869" t="s">
        <v>1885</v>
      </c>
      <c r="C65" s="886" t="s">
        <v>981</v>
      </c>
      <c r="D65" s="885" t="s">
        <v>1094</v>
      </c>
      <c r="E65" s="868"/>
      <c r="F65" s="1913">
        <f>'Expenditures 15-22'!G210</f>
        <v>0</v>
      </c>
      <c r="G65" s="865"/>
    </row>
    <row r="66" spans="1:8" x14ac:dyDescent="0.2">
      <c r="A66" s="869" t="s">
        <v>460</v>
      </c>
      <c r="B66" s="869" t="s">
        <v>1886</v>
      </c>
      <c r="C66" s="886" t="s">
        <v>981</v>
      </c>
      <c r="D66" s="885" t="s">
        <v>290</v>
      </c>
      <c r="E66" s="868"/>
      <c r="F66" s="1913">
        <f>'Expenditures 15-22'!I210</f>
        <v>0</v>
      </c>
      <c r="G66" s="865"/>
    </row>
    <row r="67" spans="1:8" x14ac:dyDescent="0.2">
      <c r="A67" s="869" t="s">
        <v>461</v>
      </c>
      <c r="B67" s="869" t="s">
        <v>1887</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1888</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1889</v>
      </c>
      <c r="C70" s="886">
        <f>'Expenditures 15-22'!B221</f>
        <v>1300</v>
      </c>
      <c r="D70" s="887" t="str">
        <f>'Expenditures 15-22'!A221</f>
        <v>Adult/Continuing Education Programs</v>
      </c>
      <c r="E70" s="868"/>
      <c r="F70" s="1913">
        <f>'Expenditures 15-22'!K221</f>
        <v>0</v>
      </c>
      <c r="G70" s="865"/>
    </row>
    <row r="71" spans="1:8" x14ac:dyDescent="0.2">
      <c r="A71" s="869" t="s">
        <v>461</v>
      </c>
      <c r="B71" s="869" t="s">
        <v>1890</v>
      </c>
      <c r="C71" s="886">
        <f>'Expenditures 15-22'!B224</f>
        <v>1600</v>
      </c>
      <c r="D71" s="887" t="str">
        <f>'Expenditures 15-22'!A224</f>
        <v>Summer School Programs</v>
      </c>
      <c r="E71" s="868"/>
      <c r="F71" s="1913">
        <f>'Expenditures 15-22'!K224</f>
        <v>1521</v>
      </c>
      <c r="G71" s="865"/>
    </row>
    <row r="72" spans="1:8" x14ac:dyDescent="0.2">
      <c r="A72" s="869" t="s">
        <v>461</v>
      </c>
      <c r="B72" s="869" t="s">
        <v>1891</v>
      </c>
      <c r="C72" s="886">
        <f>'Expenditures 15-22'!B280</f>
        <v>3000</v>
      </c>
      <c r="D72" s="876" t="s">
        <v>448</v>
      </c>
      <c r="E72" s="868"/>
      <c r="F72" s="1913">
        <f>'Expenditures 15-22'!K280</f>
        <v>36893</v>
      </c>
      <c r="G72" s="865"/>
    </row>
    <row r="73" spans="1:8" x14ac:dyDescent="0.2">
      <c r="A73" s="869" t="s">
        <v>461</v>
      </c>
      <c r="B73" s="869" t="s">
        <v>1892</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1893</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1894</v>
      </c>
      <c r="E76" s="1774" t="s">
        <v>957</v>
      </c>
      <c r="F76" s="1778">
        <f>SUM(F18:F74)</f>
        <v>11131946</v>
      </c>
      <c r="G76" s="865"/>
    </row>
    <row r="77" spans="1:8" s="893" customFormat="1" ht="12" customHeight="1" thickTop="1" thickBot="1" x14ac:dyDescent="0.25">
      <c r="A77" s="1779"/>
      <c r="B77" s="1776"/>
      <c r="C77" s="1772"/>
      <c r="D77" s="1777" t="s">
        <v>1895</v>
      </c>
      <c r="E77" s="1774"/>
      <c r="F77" s="1780">
        <f>(F14-F76)</f>
        <v>60593715</v>
      </c>
      <c r="G77" s="869"/>
    </row>
    <row r="78" spans="1:8" s="893" customFormat="1" ht="12" customHeight="1" thickTop="1" x14ac:dyDescent="0.2">
      <c r="A78" s="1781"/>
      <c r="B78" s="1776"/>
      <c r="C78" s="1772"/>
      <c r="D78" s="1777" t="s">
        <v>2057</v>
      </c>
      <c r="E78" s="1774"/>
      <c r="F78" s="898">
        <v>3693.7</v>
      </c>
      <c r="G78" s="899"/>
      <c r="H78" s="869"/>
    </row>
    <row r="79" spans="1:8" s="893" customFormat="1" ht="12" customHeight="1" thickBot="1" x14ac:dyDescent="0.25">
      <c r="A79" s="1782"/>
      <c r="B79" s="1776"/>
      <c r="C79" s="1772"/>
      <c r="D79" s="1777" t="s">
        <v>1896</v>
      </c>
      <c r="E79" s="1774" t="s">
        <v>957</v>
      </c>
      <c r="F79" s="1783">
        <f>IF(F78&gt;0,F77/F78," Complete Line 78")</f>
        <v>16404.611906760161</v>
      </c>
      <c r="G79" s="869"/>
    </row>
    <row r="80" spans="1:8" s="893" customFormat="1" ht="8.25" customHeight="1" thickTop="1" x14ac:dyDescent="0.2">
      <c r="A80" s="900"/>
      <c r="B80" s="869"/>
      <c r="C80" s="871"/>
      <c r="D80" s="901"/>
      <c r="E80" s="868"/>
      <c r="F80" s="902"/>
      <c r="G80" s="869"/>
    </row>
    <row r="81" spans="1:7" s="893" customFormat="1" ht="12" thickBot="1" x14ac:dyDescent="0.25">
      <c r="A81" s="2259" t="s">
        <v>1104</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12467</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49005</v>
      </c>
      <c r="G94" s="912"/>
    </row>
    <row r="95" spans="1:7" x14ac:dyDescent="0.2">
      <c r="A95" s="908" t="s">
        <v>140</v>
      </c>
      <c r="B95" s="908" t="s">
        <v>175</v>
      </c>
      <c r="C95" s="910">
        <v>1700</v>
      </c>
      <c r="D95" s="918" t="str">
        <f>'Revenues 9-14'!A82</f>
        <v>Total District/School Activity Income</v>
      </c>
      <c r="E95" s="906"/>
      <c r="F95" s="1789">
        <f>SUM('Revenues 9-14'!C82,'Revenues 9-14'!D82)</f>
        <v>498674</v>
      </c>
      <c r="G95" s="912"/>
    </row>
    <row r="96" spans="1:7" x14ac:dyDescent="0.2">
      <c r="A96" s="908" t="s">
        <v>458</v>
      </c>
      <c r="B96" s="908" t="s">
        <v>176</v>
      </c>
      <c r="C96" s="910">
        <f>'Revenues 9-14'!B84</f>
        <v>1811</v>
      </c>
      <c r="D96" s="911" t="str">
        <f>'Revenues 9-14'!A84</f>
        <v>Rentals - Regular Textbooks</v>
      </c>
      <c r="E96" s="906"/>
      <c r="F96" s="1789">
        <f>'Revenues 9-14'!C84</f>
        <v>130203</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43155</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332236</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1998</v>
      </c>
      <c r="C105" s="913">
        <v>3100</v>
      </c>
      <c r="D105" s="919" t="str">
        <f>'Revenues 9-14'!A132</f>
        <v>Total Special Education</v>
      </c>
      <c r="E105" s="906"/>
      <c r="F105" s="1789">
        <f>SUM('Revenues 9-14'!C132:D132,'Revenues 9-14'!F132)</f>
        <v>2843672</v>
      </c>
      <c r="G105" s="912"/>
    </row>
    <row r="106" spans="1:7" x14ac:dyDescent="0.2">
      <c r="A106" s="908" t="s">
        <v>672</v>
      </c>
      <c r="B106" s="908" t="s">
        <v>1999</v>
      </c>
      <c r="C106" s="920">
        <v>3200</v>
      </c>
      <c r="D106" s="911" t="str">
        <f>'Revenues 9-14'!A141</f>
        <v>Total Career and Technical Education</v>
      </c>
      <c r="E106" s="906"/>
      <c r="F106" s="1789">
        <f>SUM('Revenues 9-14'!C141,'Revenues 9-14'!D141,'Revenues 9-14'!G141)</f>
        <v>38812</v>
      </c>
      <c r="G106" s="912"/>
    </row>
    <row r="107" spans="1:7" x14ac:dyDescent="0.2">
      <c r="A107" s="921" t="s">
        <v>663</v>
      </c>
      <c r="B107" s="908" t="s">
        <v>2000</v>
      </c>
      <c r="C107" s="920">
        <v>3300</v>
      </c>
      <c r="D107" s="911" t="str">
        <f>'Revenues 9-14'!A145</f>
        <v>Total Bilingual Ed</v>
      </c>
      <c r="E107" s="906"/>
      <c r="F107" s="1789">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89">
        <f>'Revenues 9-14'!C146</f>
        <v>31997</v>
      </c>
      <c r="G108" s="912"/>
    </row>
    <row r="109" spans="1:7" x14ac:dyDescent="0.2">
      <c r="A109" s="908" t="s">
        <v>672</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49123</v>
      </c>
      <c r="G110" s="912"/>
    </row>
    <row r="111" spans="1:7" x14ac:dyDescent="0.2">
      <c r="A111" s="908" t="s">
        <v>667</v>
      </c>
      <c r="B111" s="908" t="s">
        <v>2004</v>
      </c>
      <c r="C111" s="922">
        <v>3500</v>
      </c>
      <c r="D111" s="911" t="str">
        <f>'Revenues 9-14'!A155</f>
        <v>Total Transportation</v>
      </c>
      <c r="E111" s="906"/>
      <c r="F111" s="1789">
        <f>SUM('Revenues 9-14'!C155,'Revenues 9-14'!D155,'Revenues 9-14'!F155,'Revenues 9-14'!G155)</f>
        <v>847339</v>
      </c>
      <c r="G111" s="912"/>
    </row>
    <row r="112" spans="1:7" x14ac:dyDescent="0.2">
      <c r="A112" s="908" t="s">
        <v>458</v>
      </c>
      <c r="B112" s="908" t="s">
        <v>2005</v>
      </c>
      <c r="C112" s="920">
        <f>'Revenues 9-14'!B156</f>
        <v>3610</v>
      </c>
      <c r="D112" s="911" t="str">
        <f>'Revenues 9-14'!A156</f>
        <v>Learning Improvement - Change Grants</v>
      </c>
      <c r="E112" s="906"/>
      <c r="F112" s="1789">
        <f>'Revenues 9-14'!C156</f>
        <v>0</v>
      </c>
      <c r="G112" s="912"/>
    </row>
    <row r="113" spans="1:7" x14ac:dyDescent="0.2">
      <c r="A113" s="908" t="s">
        <v>667</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159488</v>
      </c>
      <c r="G114" s="912"/>
    </row>
    <row r="115" spans="1:7" x14ac:dyDescent="0.2">
      <c r="A115" s="908" t="s">
        <v>667</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907">
        <f>SUM('Revenues 9-14'!C163:G163)</f>
        <v>0</v>
      </c>
      <c r="G118" s="912"/>
    </row>
    <row r="119" spans="1:7" x14ac:dyDescent="0.2">
      <c r="A119" s="923" t="s">
        <v>503</v>
      </c>
      <c r="B119" s="923" t="s">
        <v>2012</v>
      </c>
      <c r="C119" s="924">
        <f>'Revenues 9-14'!B164</f>
        <v>3815</v>
      </c>
      <c r="D119" s="925" t="str">
        <f>'Revenues 9-14'!A164</f>
        <v>State Charter Schools</v>
      </c>
      <c r="E119" s="906"/>
      <c r="F119" s="1907">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89">
        <f>'Revenues 9-14'!D167</f>
        <v>0</v>
      </c>
      <c r="G120" s="930"/>
    </row>
    <row r="121" spans="1:7" x14ac:dyDescent="0.2">
      <c r="A121" s="927" t="s">
        <v>499</v>
      </c>
      <c r="B121" s="927" t="s">
        <v>2014</v>
      </c>
      <c r="C121" s="928">
        <f>'Revenues 9-14'!B168</f>
        <v>3999</v>
      </c>
      <c r="D121" s="929" t="s">
        <v>542</v>
      </c>
      <c r="E121" s="931"/>
      <c r="F121" s="1789">
        <f>SUM('Revenues 9-14'!C168:G168,'Revenues 9-14'!J168)</f>
        <v>319262</v>
      </c>
      <c r="G121" s="930"/>
    </row>
    <row r="122" spans="1:7" x14ac:dyDescent="0.2">
      <c r="A122" s="927" t="s">
        <v>458</v>
      </c>
      <c r="B122" s="927" t="s">
        <v>2015</v>
      </c>
      <c r="C122" s="932">
        <f>'Revenues 9-14'!B177</f>
        <v>4045</v>
      </c>
      <c r="D122" s="929" t="str">
        <f>'Revenues 9-14'!A177 &amp; " (Subtract)"</f>
        <v>Head Start (Subtract)</v>
      </c>
      <c r="E122" s="906"/>
      <c r="F122" s="1789">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2017</v>
      </c>
      <c r="C124" s="932">
        <v>4100</v>
      </c>
      <c r="D124" s="933" t="str">
        <f>'Revenues 9-14'!A188</f>
        <v>Total Title V</v>
      </c>
      <c r="E124" s="906"/>
      <c r="F124" s="1789">
        <f>SUM('Revenues 9-14'!C188,'Revenues 9-14'!D188,'Revenues 9-14'!F188,'Revenues 9-14'!G188)</f>
        <v>0</v>
      </c>
      <c r="G124" s="930"/>
    </row>
    <row r="125" spans="1:7" x14ac:dyDescent="0.2">
      <c r="A125" s="927" t="s">
        <v>663</v>
      </c>
      <c r="B125" s="927" t="s">
        <v>2018</v>
      </c>
      <c r="C125" s="932">
        <v>4200</v>
      </c>
      <c r="D125" s="929" t="str">
        <f>'Revenues 9-14'!A198</f>
        <v>Total Food Service</v>
      </c>
      <c r="E125" s="906"/>
      <c r="F125" s="1789">
        <f>SUM('Revenues 9-14'!C198,'Revenues 9-14'!G198)</f>
        <v>2496040</v>
      </c>
      <c r="G125" s="930"/>
    </row>
    <row r="126" spans="1:7" x14ac:dyDescent="0.2">
      <c r="A126" s="927" t="s">
        <v>667</v>
      </c>
      <c r="B126" s="927" t="s">
        <v>2019</v>
      </c>
      <c r="C126" s="932">
        <v>4300</v>
      </c>
      <c r="D126" s="933" t="str">
        <f>'Revenues 9-14'!A204</f>
        <v>Total Title I</v>
      </c>
      <c r="E126" s="906"/>
      <c r="F126" s="1789">
        <f>SUM('Revenues 9-14'!C204,'Revenues 9-14'!D204,'Revenues 9-14'!F204,'Revenues 9-14'!G204)</f>
        <v>2240242</v>
      </c>
      <c r="G126" s="930"/>
    </row>
    <row r="127" spans="1:7" x14ac:dyDescent="0.2">
      <c r="A127" s="927" t="s">
        <v>667</v>
      </c>
      <c r="B127" s="927" t="s">
        <v>2020</v>
      </c>
      <c r="C127" s="932">
        <v>4400</v>
      </c>
      <c r="D127" s="933" t="str">
        <f>'Revenues 9-14'!A209</f>
        <v>Total Title IV</v>
      </c>
      <c r="E127" s="906"/>
      <c r="F127" s="1789">
        <f>SUM('Revenues 9-14'!C209,'Revenues 9-14'!D209,'Revenues 9-14'!F209,'Revenues 9-14'!G209)</f>
        <v>522716</v>
      </c>
      <c r="G127" s="930"/>
    </row>
    <row r="128" spans="1:7" x14ac:dyDescent="0.2">
      <c r="A128" s="927" t="s">
        <v>667</v>
      </c>
      <c r="B128" s="927" t="s">
        <v>2021</v>
      </c>
      <c r="C128" s="932">
        <f>'Revenues 9-14'!B213</f>
        <v>4620</v>
      </c>
      <c r="D128" s="933" t="str">
        <f>'Revenues 9-14'!A213</f>
        <v>Fed - Spec Education - IDEA - Flow Through</v>
      </c>
      <c r="E128" s="906"/>
      <c r="F128" s="1789">
        <f>SUM('Revenues 9-14'!C213:D213,'Revenues 9-14'!F213:G213)</f>
        <v>1221694</v>
      </c>
      <c r="G128" s="930"/>
    </row>
    <row r="129" spans="1:7" x14ac:dyDescent="0.2">
      <c r="A129" s="927" t="s">
        <v>667</v>
      </c>
      <c r="B129" s="927" t="s">
        <v>2022</v>
      </c>
      <c r="C129" s="932">
        <f>'Revenues 9-14'!B214</f>
        <v>4625</v>
      </c>
      <c r="D129" s="933" t="str">
        <f>'Revenues 9-14'!A214</f>
        <v>Fed - Spec Education - IDEA - Room &amp; Board</v>
      </c>
      <c r="E129" s="906"/>
      <c r="F129" s="1789">
        <f>SUM('Revenues 9-14'!C214,'Revenues 9-14'!D214,'Revenues 9-14'!F214,'Revenues 9-14'!G214)</f>
        <v>271991</v>
      </c>
      <c r="G129" s="930"/>
    </row>
    <row r="130" spans="1:7" x14ac:dyDescent="0.2">
      <c r="A130" s="927" t="s">
        <v>667</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2039</v>
      </c>
      <c r="C157" s="940" t="s">
        <v>840</v>
      </c>
      <c r="D157" s="941" t="s">
        <v>776</v>
      </c>
      <c r="E157" s="942"/>
      <c r="F157" s="1789">
        <f>SUM(F133:F156)</f>
        <v>0</v>
      </c>
      <c r="G157" s="905"/>
    </row>
    <row r="158" spans="1:7" s="867" customFormat="1" x14ac:dyDescent="0.2">
      <c r="A158" s="938" t="s">
        <v>458</v>
      </c>
      <c r="B158" s="939" t="s">
        <v>2040</v>
      </c>
      <c r="C158" s="940" t="s">
        <v>1426</v>
      </c>
      <c r="D158" s="941" t="s">
        <v>1427</v>
      </c>
      <c r="E158" s="942"/>
      <c r="F158" s="1789">
        <f>SUM('Revenues 9-14'!C253)</f>
        <v>0</v>
      </c>
      <c r="G158" s="905"/>
    </row>
    <row r="159" spans="1:7" s="867" customFormat="1" x14ac:dyDescent="0.2">
      <c r="A159" s="938" t="s">
        <v>499</v>
      </c>
      <c r="B159" s="939" t="s">
        <v>2041</v>
      </c>
      <c r="C159" s="940" t="s">
        <v>1465</v>
      </c>
      <c r="D159" s="941" t="s">
        <v>1466</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36396</v>
      </c>
      <c r="G161" s="943"/>
    </row>
    <row r="162" spans="1:7" x14ac:dyDescent="0.2">
      <c r="A162" s="927" t="s">
        <v>667</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907">
        <f>SUM('Revenues 9-14'!C259,'Revenues 9-14'!D259,'Revenues 9-14'!F259,'Revenues 9-14'!G259)</f>
        <v>127854</v>
      </c>
      <c r="G164" s="930"/>
    </row>
    <row r="165" spans="1:7" x14ac:dyDescent="0.2">
      <c r="A165" s="927" t="s">
        <v>667</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89">
        <f>SUM('Revenues 9-14'!C263:D263,'Revenues 9-14'!F263:G263)</f>
        <v>100881</v>
      </c>
      <c r="G168" s="947">
        <v>6320</v>
      </c>
    </row>
    <row r="169" spans="1:7" x14ac:dyDescent="0.2">
      <c r="A169" s="927" t="s">
        <v>667</v>
      </c>
      <c r="B169" s="927" t="s">
        <v>2049</v>
      </c>
      <c r="C169" s="932">
        <f>'Revenues 9-14'!B264</f>
        <v>4992</v>
      </c>
      <c r="D169" s="933" t="str">
        <f>'Revenues 9-14'!A264</f>
        <v>Medicaid Matching Funds - Fee-for-Service Program</v>
      </c>
      <c r="E169" s="906"/>
      <c r="F169" s="1789">
        <f>SUM('Revenues 9-14'!C264:D264,'Revenues 9-14'!F264:G264)</f>
        <v>242569</v>
      </c>
      <c r="G169" s="947"/>
    </row>
    <row r="170" spans="1:7" x14ac:dyDescent="0.2">
      <c r="A170" s="948" t="s">
        <v>667</v>
      </c>
      <c r="B170" s="944" t="s">
        <v>2050</v>
      </c>
      <c r="C170" s="945">
        <f>'Revenues 9-14'!B265</f>
        <v>4999</v>
      </c>
      <c r="D170" s="946" t="str">
        <f>'Revenues 9-14'!A265</f>
        <v>Other Restricted Revenue from Federal Sources (Describe &amp; Itemize)</v>
      </c>
      <c r="E170" s="906"/>
      <c r="F170" s="1789">
        <f>SUM('Revenues 9-14'!C265:D265,'Revenues 9-14'!F265:G265)</f>
        <v>217669</v>
      </c>
      <c r="G170" s="927"/>
    </row>
    <row r="171" spans="1:7" x14ac:dyDescent="0.2">
      <c r="A171" s="1918" t="s">
        <v>5</v>
      </c>
      <c r="B171" s="1919" t="s">
        <v>1915</v>
      </c>
      <c r="C171" s="1920">
        <v>3100</v>
      </c>
      <c r="D171" s="1921" t="s">
        <v>1917</v>
      </c>
      <c r="E171" s="906"/>
      <c r="F171" s="1906"/>
      <c r="G171" s="927"/>
    </row>
    <row r="172" spans="1:7" x14ac:dyDescent="0.2">
      <c r="A172" s="1918" t="s">
        <v>663</v>
      </c>
      <c r="B172" s="1919" t="s">
        <v>1915</v>
      </c>
      <c r="C172" s="1920">
        <v>3300</v>
      </c>
      <c r="D172" s="1921" t="s">
        <v>1918</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957</v>
      </c>
      <c r="F174" s="1788">
        <f>SUM(F84:F132,F157:F172)</f>
        <v>12833485</v>
      </c>
    </row>
    <row r="175" spans="1:7" ht="12" customHeight="1" x14ac:dyDescent="0.2">
      <c r="A175" s="1770"/>
      <c r="B175" s="1784"/>
      <c r="C175" s="1785"/>
      <c r="D175" s="1786" t="s">
        <v>2052</v>
      </c>
      <c r="E175" s="1787"/>
      <c r="F175" s="1789">
        <f>'PCTC-OEPP 27-28'!F77-F174</f>
        <v>47760230</v>
      </c>
    </row>
    <row r="176" spans="1:7" ht="12" customHeight="1" x14ac:dyDescent="0.2">
      <c r="A176" s="1770"/>
      <c r="B176" s="1784"/>
      <c r="C176" s="1785"/>
      <c r="D176" s="1786" t="s">
        <v>1813</v>
      </c>
      <c r="E176" s="1787"/>
      <c r="F176" s="1789">
        <f>'Cap Outlay Deprec 26'!I18</f>
        <v>3086282</v>
      </c>
    </row>
    <row r="177" spans="1:7" ht="12" customHeight="1" x14ac:dyDescent="0.2">
      <c r="A177" s="1770"/>
      <c r="B177" s="1784"/>
      <c r="C177" s="1785"/>
      <c r="D177" s="1786" t="s">
        <v>2053</v>
      </c>
      <c r="E177" s="1787"/>
      <c r="F177" s="1789">
        <f>F175+F176</f>
        <v>50846512</v>
      </c>
    </row>
    <row r="178" spans="1:7" ht="12" customHeight="1" x14ac:dyDescent="0.2">
      <c r="A178" s="1770"/>
      <c r="B178" s="1790"/>
      <c r="C178" s="1785"/>
      <c r="D178" s="1786" t="str">
        <f>D78</f>
        <v>9 Month ADA from District Average Daily Attendance/Prior General State Aid Inquiry 2018-2019</v>
      </c>
      <c r="E178" s="1787"/>
      <c r="F178" s="1791">
        <f>'PCTC-OEPP 27-28'!F78</f>
        <v>3693.7</v>
      </c>
      <c r="G178" s="930"/>
    </row>
    <row r="179" spans="1:7" ht="12" customHeight="1" thickBot="1" x14ac:dyDescent="0.25">
      <c r="A179" s="1770"/>
      <c r="B179" s="1790"/>
      <c r="C179" s="1785"/>
      <c r="D179" s="1786" t="s">
        <v>2054</v>
      </c>
      <c r="E179" s="1787" t="s">
        <v>1544</v>
      </c>
      <c r="F179" s="1792">
        <f>F177/F178</f>
        <v>13765.739502395973</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1920</v>
      </c>
      <c r="B185" s="1927"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33" sqref="D3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3" t="s">
        <v>1814</v>
      </c>
      <c r="B4" s="2274"/>
      <c r="C4" s="2274"/>
      <c r="D4" s="2274"/>
      <c r="E4" s="2274"/>
      <c r="F4" s="2274"/>
      <c r="G4" s="2275"/>
    </row>
    <row r="5" spans="1:7" x14ac:dyDescent="0.25">
      <c r="A5" s="2276"/>
      <c r="B5" s="2277"/>
      <c r="C5" s="2277"/>
      <c r="D5" s="2277"/>
      <c r="E5" s="2277"/>
      <c r="F5" s="2277"/>
      <c r="G5" s="2278"/>
    </row>
    <row r="6" spans="1:7" ht="18.75" x14ac:dyDescent="0.25">
      <c r="A6" s="1534" t="s">
        <v>1815</v>
      </c>
      <c r="B6" s="1535"/>
      <c r="C6" s="1535"/>
      <c r="D6" s="1535"/>
      <c r="E6" s="1535"/>
      <c r="F6" s="1535"/>
      <c r="G6" s="1536"/>
    </row>
    <row r="7" spans="1:7" ht="30.75" customHeight="1" x14ac:dyDescent="0.25">
      <c r="A7" s="2279" t="s">
        <v>1927</v>
      </c>
      <c r="B7" s="2280"/>
      <c r="C7" s="2280"/>
      <c r="D7" s="2280"/>
      <c r="E7" s="2280"/>
      <c r="F7" s="2280"/>
      <c r="G7" s="2281"/>
    </row>
    <row r="8" spans="1:7" ht="15.75" customHeight="1" x14ac:dyDescent="0.25">
      <c r="A8" s="2282" t="s">
        <v>1902</v>
      </c>
      <c r="B8" s="2283"/>
      <c r="C8" s="2283"/>
      <c r="D8" s="2283"/>
      <c r="E8" s="2283"/>
      <c r="F8" s="2283"/>
      <c r="G8" s="2284"/>
    </row>
    <row r="9" spans="1:7" ht="35.25" customHeight="1" x14ac:dyDescent="0.25">
      <c r="A9" s="2279" t="s">
        <v>1930</v>
      </c>
      <c r="B9" s="2280"/>
      <c r="C9" s="2280"/>
      <c r="D9" s="2280"/>
      <c r="E9" s="2280"/>
      <c r="F9" s="2280"/>
      <c r="G9" s="2281"/>
    </row>
    <row r="10" spans="1:7" ht="15" customHeight="1" x14ac:dyDescent="0.25">
      <c r="A10" s="1537" t="s">
        <v>1816</v>
      </c>
      <c r="B10" s="1538"/>
      <c r="C10" s="1538"/>
      <c r="D10" s="1538"/>
      <c r="E10" s="1538"/>
      <c r="F10" s="1538"/>
      <c r="G10" s="1539"/>
    </row>
    <row r="11" spans="1:7" ht="17.25" customHeight="1" x14ac:dyDescent="0.25">
      <c r="A11" s="2279" t="s">
        <v>1929</v>
      </c>
      <c r="B11" s="2280"/>
      <c r="C11" s="2280"/>
      <c r="D11" s="2280"/>
      <c r="E11" s="2280"/>
      <c r="F11" s="2280"/>
      <c r="G11" s="2281"/>
    </row>
    <row r="12" spans="1:7" ht="15" customHeight="1" x14ac:dyDescent="0.25">
      <c r="A12" s="1537" t="s">
        <v>1821</v>
      </c>
      <c r="B12" s="1538"/>
      <c r="C12" s="1538"/>
      <c r="D12" s="1538"/>
      <c r="E12" s="1538"/>
      <c r="F12" s="1538"/>
      <c r="G12" s="1539"/>
    </row>
    <row r="13" spans="1:7" ht="32.25" customHeight="1" x14ac:dyDescent="0.25">
      <c r="A13" s="2270" t="s">
        <v>1971</v>
      </c>
      <c r="B13" s="2271"/>
      <c r="C13" s="2271"/>
      <c r="D13" s="2271"/>
      <c r="E13" s="2271"/>
      <c r="F13" s="2271"/>
      <c r="G13" s="2272"/>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9" t="s">
        <v>2194</v>
      </c>
      <c r="B18" s="1940" t="s">
        <v>2195</v>
      </c>
      <c r="C18" s="1941" t="s">
        <v>2196</v>
      </c>
      <c r="D18" s="1844">
        <v>104742</v>
      </c>
      <c r="E18" s="1540">
        <f t="shared" ref="E18:E140" si="2">IF(D18&lt;=25000,D18,IF(D18&gt;25000,25000,0))</f>
        <v>25000</v>
      </c>
      <c r="F18" s="1933">
        <f t="shared" si="1"/>
        <v>25000</v>
      </c>
      <c r="G18" s="1793">
        <f t="shared" ref="G18:G140" si="3">IF(F18=0,0,D18-F18)</f>
        <v>79742</v>
      </c>
    </row>
    <row r="19" spans="1:8" x14ac:dyDescent="0.25">
      <c r="A19" s="1939"/>
      <c r="B19" s="1940"/>
      <c r="C19" s="1941"/>
      <c r="D19" s="1844"/>
      <c r="E19" s="1540">
        <f t="shared" si="2"/>
        <v>0</v>
      </c>
      <c r="F19" s="1933">
        <f t="shared" si="1"/>
        <v>0</v>
      </c>
      <c r="G19" s="1793">
        <f t="shared" si="3"/>
        <v>0</v>
      </c>
    </row>
    <row r="20" spans="1:8" x14ac:dyDescent="0.25">
      <c r="A20" s="1939" t="s">
        <v>2197</v>
      </c>
      <c r="B20" s="1940" t="s">
        <v>2198</v>
      </c>
      <c r="C20" s="1941" t="s">
        <v>2199</v>
      </c>
      <c r="D20" s="1844">
        <v>1207417</v>
      </c>
      <c r="E20" s="1540">
        <f t="shared" si="2"/>
        <v>25000</v>
      </c>
      <c r="F20" s="1933">
        <f t="shared" si="1"/>
        <v>25000</v>
      </c>
      <c r="G20" s="1793">
        <f t="shared" si="3"/>
        <v>1182417</v>
      </c>
    </row>
    <row r="21" spans="1:8" x14ac:dyDescent="0.25">
      <c r="A21" s="1939" t="s">
        <v>2200</v>
      </c>
      <c r="B21" s="1940" t="s">
        <v>2201</v>
      </c>
      <c r="C21" s="1941" t="s">
        <v>2199</v>
      </c>
      <c r="D21" s="1844">
        <v>405</v>
      </c>
      <c r="E21" s="1540">
        <f t="shared" si="2"/>
        <v>405</v>
      </c>
      <c r="F21" s="1933">
        <f t="shared" si="1"/>
        <v>0</v>
      </c>
      <c r="G21" s="1793">
        <f t="shared" si="3"/>
        <v>0</v>
      </c>
    </row>
    <row r="22" spans="1:8" x14ac:dyDescent="0.25">
      <c r="A22" s="1939" t="s">
        <v>2200</v>
      </c>
      <c r="B22" s="1940" t="s">
        <v>2202</v>
      </c>
      <c r="C22" s="1941" t="s">
        <v>2199</v>
      </c>
      <c r="D22" s="1844">
        <v>207</v>
      </c>
      <c r="E22" s="1540">
        <f t="shared" si="2"/>
        <v>207</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939" t="s">
        <v>2203</v>
      </c>
      <c r="B24" s="1940" t="s">
        <v>2204</v>
      </c>
      <c r="C24" s="1941" t="s">
        <v>2205</v>
      </c>
      <c r="D24" s="1942">
        <v>2160958</v>
      </c>
      <c r="E24" s="1540">
        <f t="shared" si="2"/>
        <v>25000</v>
      </c>
      <c r="F24" s="1933">
        <f t="shared" si="1"/>
        <v>0</v>
      </c>
      <c r="G24" s="1793">
        <f t="shared" si="3"/>
        <v>0</v>
      </c>
    </row>
    <row r="25" spans="1:8" x14ac:dyDescent="0.25">
      <c r="A25" s="1943"/>
      <c r="B25" s="1935"/>
      <c r="C25" s="1656"/>
      <c r="D25" s="1844"/>
      <c r="E25" s="1540">
        <f t="shared" si="2"/>
        <v>0</v>
      </c>
      <c r="F25" s="1933">
        <f t="shared" si="1"/>
        <v>0</v>
      </c>
      <c r="G25" s="1793">
        <f t="shared" si="3"/>
        <v>0</v>
      </c>
    </row>
    <row r="26" spans="1:8" x14ac:dyDescent="0.25">
      <c r="A26" s="1939" t="s">
        <v>2200</v>
      </c>
      <c r="B26" s="1940" t="s">
        <v>2206</v>
      </c>
      <c r="C26" s="1941" t="s">
        <v>2207</v>
      </c>
      <c r="D26" s="1844">
        <v>65571</v>
      </c>
      <c r="E26" s="1540">
        <f t="shared" si="2"/>
        <v>25000</v>
      </c>
      <c r="F26" s="1933">
        <f t="shared" si="1"/>
        <v>0</v>
      </c>
      <c r="G26" s="1793">
        <f t="shared" si="3"/>
        <v>0</v>
      </c>
    </row>
    <row r="27" spans="1:8" x14ac:dyDescent="0.25">
      <c r="A27" s="1939" t="s">
        <v>2197</v>
      </c>
      <c r="B27" s="1940" t="s">
        <v>2211</v>
      </c>
      <c r="C27" s="1941" t="s">
        <v>2207</v>
      </c>
      <c r="D27" s="1844">
        <v>12437</v>
      </c>
      <c r="E27" s="1540">
        <f t="shared" si="2"/>
        <v>12437</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939" t="s">
        <v>2208</v>
      </c>
      <c r="B29" s="1940" t="s">
        <v>2209</v>
      </c>
      <c r="C29" s="1941" t="s">
        <v>2210</v>
      </c>
      <c r="D29" s="1844">
        <v>2279835</v>
      </c>
      <c r="E29" s="1540">
        <f t="shared" si="2"/>
        <v>25000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5831572</v>
      </c>
      <c r="E141" s="1541">
        <f t="shared" si="0"/>
        <v>25000</v>
      </c>
      <c r="F141" s="1934">
        <f>SUM(F17:F140)</f>
        <v>50000</v>
      </c>
      <c r="G141" s="1795">
        <f>SUM(G17:G140)</f>
        <v>1262159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5" t="s">
        <v>1678</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c r="F10" s="974"/>
      <c r="G10" s="975"/>
      <c r="H10" s="162"/>
      <c r="I10" s="162"/>
    </row>
    <row r="11" spans="1:9" s="668" customFormat="1" ht="22.5" customHeight="1" x14ac:dyDescent="0.2">
      <c r="A11" s="2290" t="s">
        <v>1972</v>
      </c>
      <c r="B11" s="2291"/>
      <c r="C11" s="2291"/>
      <c r="D11" s="2292"/>
      <c r="E11" s="977">
        <v>173766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34938543</v>
      </c>
      <c r="F19" s="1799"/>
      <c r="G19" s="1801">
        <f>'Expenditures 15-22'!K33-SUM('Expenditures 15-22'!G33,'Expenditures 15-22'!I33)+'Expenditures 15-22'!D229</f>
        <v>34938543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5321525</v>
      </c>
      <c r="F21" s="1802"/>
      <c r="G21" s="1805">
        <f>'Expenditures 15-22'!K42-SUM('Expenditures 15-22'!G42,'Expenditures 15-22'!I42)+'Expenditures 15-22'!K120-SUM('Expenditures 15-22'!G120,'Expenditures 15-22'!I120)+'Expenditures 15-22'!K180-SUM('Expenditures 15-22'!G180,'Expenditures 15-22'!I180)+'Expenditures 15-22'!D238</f>
        <v>5321525</v>
      </c>
      <c r="H21" s="987"/>
      <c r="I21" s="162"/>
    </row>
    <row r="22" spans="1:9" s="668" customFormat="1" ht="12" customHeight="1" x14ac:dyDescent="0.2">
      <c r="A22" s="994" t="s">
        <v>563</v>
      </c>
      <c r="B22" s="995"/>
      <c r="C22" s="993">
        <v>2200</v>
      </c>
      <c r="D22" s="1802"/>
      <c r="E22" s="1804">
        <f>'Expenditures 15-22'!K47-SUM('Expenditures 15-22'!G47,'Expenditures 15-22'!I47)+'Expenditures 15-22'!D243</f>
        <v>2283830</v>
      </c>
      <c r="F22" s="1802"/>
      <c r="G22" s="1805">
        <f>'Expenditures 15-22'!K47-SUM('Expenditures 15-22'!G47,'Expenditures 15-22'!I47)+'Expenditures 15-22'!D243</f>
        <v>2283830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2503688</v>
      </c>
      <c r="F23" s="1802"/>
      <c r="G23" s="1804">
        <f>'Expenditures 15-22'!K53-SUM('Expenditures 15-22'!G53,'Expenditures 15-22'!I53)+'Expenditures 15-22'!D257+'Expenditures 15-22'!K330-SUM('Expenditures 15-22'!G330,'Expenditures 15-22'!I330)</f>
        <v>2503688</v>
      </c>
      <c r="H23" s="987"/>
      <c r="I23" s="162"/>
    </row>
    <row r="24" spans="1:9" s="668" customFormat="1" ht="12" customHeight="1" x14ac:dyDescent="0.2">
      <c r="A24" s="994" t="s">
        <v>565</v>
      </c>
      <c r="B24" s="995"/>
      <c r="C24" s="993">
        <v>2400</v>
      </c>
      <c r="D24" s="1802"/>
      <c r="E24" s="1804">
        <f>'Expenditures 15-22'!K57-SUM('Expenditures 15-22'!G57,'Expenditures 15-22'!I57)+'Expenditures 15-22'!D261</f>
        <v>2902206</v>
      </c>
      <c r="F24" s="1802"/>
      <c r="G24" s="1805">
        <f>'Expenditures 15-22'!K57-SUM('Expenditures 15-22'!G57,'Expenditures 15-22'!I57)+'Expenditures 15-22'!D261</f>
        <v>2902206</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221576</v>
      </c>
      <c r="E26" s="1804">
        <f>'Expenditures 15-22'!K122-SUM('Expenditures 15-22'!G122,'Expenditures 15-22'!I122)+E7</f>
        <v>0</v>
      </c>
      <c r="F26" s="1804">
        <f>'Expenditures 15-22'!K59-SUM('Expenditures 15-22'!G59,'Expenditures 15-22'!I59)+'Expenditures 15-22'!D263-E7</f>
        <v>221576</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413159</v>
      </c>
      <c r="E27" s="1804">
        <f>E8</f>
        <v>0</v>
      </c>
      <c r="F27" s="1804">
        <f>'Expenditures 15-22'!K60-SUM('Expenditures 15-22'!G60,'Expenditures 15-22'!I60)+'Expenditures 15-22'!D264-E8</f>
        <v>413159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5679692</v>
      </c>
      <c r="F28" s="1806">
        <f>'Expenditures 15-22'!K61-SUM('Expenditures 15-22'!G61,'Expenditures 15-22'!I61)+'Expenditures 15-22'!K124-SUM('Expenditures 15-22'!G124,'Expenditures 15-22'!I124)+'Expenditures 15-22'!D266-E9</f>
        <v>5679692</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2524111</v>
      </c>
      <c r="F29" s="1802"/>
      <c r="G29" s="1805">
        <f>'Expenditures 15-22'!K62-SUM('Expenditures 15-22'!G62,'Expenditures 15-22'!I62)+'Expenditures 15-22'!K125-SUM('Expenditures 15-22'!G125,'Expenditures 15-22'!I125)+'Expenditures 15-22'!K182-SUM('Expenditures 15-22'!G182,'Expenditures 15-22'!I182)+'Expenditures 15-22'!D267</f>
        <v>2524111</v>
      </c>
      <c r="H29" s="985"/>
    </row>
    <row r="30" spans="1:9" ht="12" customHeight="1" x14ac:dyDescent="0.2">
      <c r="A30" s="994" t="s">
        <v>100</v>
      </c>
      <c r="B30" s="997"/>
      <c r="C30" s="993">
        <v>2560</v>
      </c>
      <c r="D30" s="1802"/>
      <c r="E30" s="1804">
        <f>'Expenditures 15-22'!K63-SUM('Expenditures 15-22'!G63,'Expenditures 15-22'!I63)+'Expenditures 15-22'!D268-E10</f>
        <v>2110612</v>
      </c>
      <c r="F30" s="1802"/>
      <c r="G30" s="1804">
        <f>'Expenditures 15-22'!K63-SUM('Expenditures 15-22'!G63,'Expenditures 15-22'!I63)+'Expenditures 15-22'!D268-E10</f>
        <v>2110612</v>
      </c>
    </row>
    <row r="31" spans="1:9" ht="12" customHeight="1" x14ac:dyDescent="0.2">
      <c r="A31" s="994" t="s">
        <v>101</v>
      </c>
      <c r="B31" s="997"/>
      <c r="C31" s="993">
        <v>2570</v>
      </c>
      <c r="D31" s="1804">
        <f>'Expenditures 15-22'!K64-SUM('Expenditures 15-22'!G64,'Expenditures 15-22'!I64)+'Expenditures 15-22'!D269-E12</f>
        <v>233251</v>
      </c>
      <c r="E31" s="1804">
        <f>E12</f>
        <v>0</v>
      </c>
      <c r="F31" s="1804">
        <f>'Expenditures 15-22'!K64-SUM('Expenditures 15-22'!G64,'Expenditures 15-22'!I64)+'Expenditures 15-22'!D269-E12</f>
        <v>233251</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885433</v>
      </c>
      <c r="F34" s="1802"/>
      <c r="G34" s="1804">
        <f>'Expenditures 15-22'!K68-SUM('Expenditures 15-22'!G68,'Expenditures 15-22'!I68)+'Expenditures 15-22'!D273</f>
        <v>885433</v>
      </c>
    </row>
    <row r="35" spans="1:7" ht="12" customHeight="1" x14ac:dyDescent="0.2">
      <c r="A35" s="994" t="s">
        <v>1060</v>
      </c>
      <c r="B35" s="997"/>
      <c r="C35" s="993">
        <v>2630</v>
      </c>
      <c r="D35" s="1802"/>
      <c r="E35" s="1804">
        <f>'Expenditures 15-22'!K69-SUM('Expenditures 15-22'!G69,'Expenditures 15-22'!I69)+'Expenditures 15-22'!D274</f>
        <v>1100</v>
      </c>
      <c r="F35" s="1802"/>
      <c r="G35" s="1804">
        <f>'Expenditures 15-22'!K69-SUM('Expenditures 15-22'!G69,'Expenditures 15-22'!I69)+'Expenditures 15-22'!D274</f>
        <v>1100</v>
      </c>
    </row>
    <row r="36" spans="1:7" ht="12" customHeight="1" x14ac:dyDescent="0.2">
      <c r="A36" s="994" t="s">
        <v>402</v>
      </c>
      <c r="B36" s="997"/>
      <c r="C36" s="993">
        <v>2640</v>
      </c>
      <c r="D36" s="1804">
        <f>'Expenditures 15-22'!K70-SUM('Expenditures 15-22'!G70,'Expenditures 15-22'!I70)+'Expenditures 15-22'!D275-E13</f>
        <v>671364</v>
      </c>
      <c r="E36" s="1804">
        <f>E13</f>
        <v>0</v>
      </c>
      <c r="F36" s="1804">
        <f>'Expenditures 15-22'!K70-SUM('Expenditures 15-22'!G70,'Expenditures 15-22'!I70)+'Expenditures 15-22'!D275-E13</f>
        <v>671364</v>
      </c>
      <c r="G36" s="1804">
        <f>E13</f>
        <v>0</v>
      </c>
    </row>
    <row r="37" spans="1:7" ht="12" customHeight="1" x14ac:dyDescent="0.2">
      <c r="A37" s="994" t="s">
        <v>403</v>
      </c>
      <c r="B37" s="997"/>
      <c r="C37" s="993">
        <v>2660</v>
      </c>
      <c r="D37" s="1804">
        <f>'Expenditures 15-22'!K71-SUM('Expenditures 15-22'!G71,'Expenditures 15-22'!I71)+'Expenditures 15-22'!D276-E14</f>
        <v>26163</v>
      </c>
      <c r="E37" s="1804">
        <f>E14</f>
        <v>0</v>
      </c>
      <c r="F37" s="1804">
        <f>'Expenditures 15-22'!K71-SUM('Expenditures 15-22'!G71,'Expenditures 15-22'!I71)+'Expenditures 15-22'!D276-E14</f>
        <v>26163</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322996</v>
      </c>
      <c r="F38" s="1802"/>
      <c r="G38" s="1804">
        <f>'Expenditures 15-22'!K73-SUM('Expenditures 15-22'!G73,'Expenditures 15-22'!I73)+'Expenditures 15-22'!K128-SUM('Expenditures 15-22'!G128,'Expenditures 15-22'!I128)+'Expenditures 15-22'!K183-SUM('Expenditures 15-22'!G183,'Expenditures 15-22'!I183)+'Expenditures 15-22'!D278</f>
        <v>322996</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1611431</v>
      </c>
      <c r="F39" s="1802"/>
      <c r="G39" s="1804">
        <f>'Expenditures 15-22'!K75-SUM('Expenditures 15-22'!G75,'Expenditures 15-22'!I75)+'Expenditures 15-22'!K130-SUM('Expenditures 15-22'!G130,'Expenditures 15-22'!I130)+'Expenditures 15-22'!K185-SUM('Expenditures 15-22'!G185,'Expenditures 15-22'!I185)+'Expenditures 15-22'!D280</f>
        <v>1611431</v>
      </c>
    </row>
    <row r="40" spans="1:7" ht="12" customHeight="1" x14ac:dyDescent="0.2">
      <c r="A40" s="990" t="s">
        <v>1819</v>
      </c>
      <c r="B40" s="991"/>
      <c r="C40" s="993"/>
      <c r="D40" s="1802"/>
      <c r="E40" s="1806">
        <f>-'Contracts Paid in CY 29'!G141</f>
        <v>-1262159</v>
      </c>
      <c r="F40" s="1802"/>
      <c r="G40" s="1806">
        <f>-'Contracts Paid in CY 29'!G141</f>
        <v>-1262159</v>
      </c>
    </row>
    <row r="41" spans="1:7" ht="12" customHeight="1" x14ac:dyDescent="0.2">
      <c r="A41" s="998" t="s">
        <v>156</v>
      </c>
      <c r="B41" s="999"/>
      <c r="C41" s="1000"/>
      <c r="D41" s="1806">
        <f>SUM(D19:D39)</f>
        <v>1565513</v>
      </c>
      <c r="E41" s="1806">
        <f>SUM(E19:E40)</f>
        <v>59823008</v>
      </c>
      <c r="F41" s="1806">
        <f>SUM(F19:F39)</f>
        <v>7245205</v>
      </c>
      <c r="G41" s="1806">
        <f>SUM(G19:G40)</f>
        <v>54143316</v>
      </c>
    </row>
    <row r="42" spans="1:7" x14ac:dyDescent="0.2">
      <c r="A42" s="987"/>
      <c r="B42" s="162"/>
      <c r="C42" s="1001"/>
      <c r="D42" s="2288" t="s">
        <v>521</v>
      </c>
      <c r="E42" s="2289"/>
      <c r="F42" s="1002" t="s">
        <v>522</v>
      </c>
      <c r="G42" s="1003"/>
    </row>
    <row r="43" spans="1:7" ht="12" customHeight="1" x14ac:dyDescent="0.2">
      <c r="A43" s="987"/>
      <c r="B43" s="162"/>
      <c r="C43" s="1001"/>
      <c r="D43" s="1807" t="s">
        <v>472</v>
      </c>
      <c r="E43" s="1808">
        <f>D41</f>
        <v>1565513</v>
      </c>
      <c r="F43" s="1807" t="s">
        <v>472</v>
      </c>
      <c r="G43" s="1808">
        <f>F41</f>
        <v>7245205</v>
      </c>
    </row>
    <row r="44" spans="1:7" ht="12" customHeight="1" x14ac:dyDescent="0.2">
      <c r="A44" s="987"/>
      <c r="B44" s="162"/>
      <c r="C44" s="1001"/>
      <c r="D44" s="1807" t="s">
        <v>473</v>
      </c>
      <c r="E44" s="1808">
        <f>E41</f>
        <v>59823008</v>
      </c>
      <c r="F44" s="1807" t="s">
        <v>473</v>
      </c>
      <c r="G44" s="1808">
        <f>G41</f>
        <v>54143316</v>
      </c>
    </row>
    <row r="45" spans="1:7" ht="12" customHeight="1" x14ac:dyDescent="0.2">
      <c r="A45" s="987"/>
      <c r="B45" s="162"/>
      <c r="C45" s="162"/>
      <c r="D45" s="1809" t="s">
        <v>1005</v>
      </c>
      <c r="E45" s="1810">
        <f>(E43/E44)</f>
        <v>2.6169078626069757E-2</v>
      </c>
      <c r="F45" s="1809" t="s">
        <v>1005</v>
      </c>
      <c r="G45" s="1810">
        <f>(G43/G44)</f>
        <v>0.13381531711134945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D47" sqref="D4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7" t="s">
        <v>1378</v>
      </c>
      <c r="B1" s="2307"/>
      <c r="C1" s="2307"/>
      <c r="D1" s="2307"/>
      <c r="E1" s="2307"/>
      <c r="F1" s="2307"/>
    </row>
    <row r="2" spans="1:10" x14ac:dyDescent="0.2">
      <c r="A2" s="1887" t="s">
        <v>1907</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08" t="s">
        <v>1545</v>
      </c>
      <c r="B5" s="2309"/>
      <c r="C5" s="2310"/>
      <c r="D5" s="2310"/>
      <c r="E5" s="2310"/>
      <c r="F5" s="2310"/>
    </row>
    <row r="6" spans="1:10" ht="12" customHeight="1" x14ac:dyDescent="0.25">
      <c r="A6" s="1850"/>
      <c r="B6" s="1851"/>
      <c r="C6" s="2311" t="str">
        <f>COVER!A17</f>
        <v>Urbana SD 116</v>
      </c>
      <c r="D6" s="2311"/>
      <c r="E6" s="2311"/>
      <c r="F6" s="1852"/>
    </row>
    <row r="7" spans="1:10" ht="11.25" customHeight="1" thickBot="1" x14ac:dyDescent="0.3">
      <c r="A7" s="1850"/>
      <c r="B7" s="1851"/>
      <c r="C7" s="2312">
        <f>COVER!A13</f>
        <v>9010116022</v>
      </c>
      <c r="D7" s="2312"/>
      <c r="E7" s="2312"/>
      <c r="F7" s="1852"/>
    </row>
    <row r="8" spans="1:10" ht="25.5" customHeight="1" thickBot="1" x14ac:dyDescent="0.25">
      <c r="A8" s="1893" t="s">
        <v>1903</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2060</v>
      </c>
      <c r="D19" s="1865" t="s">
        <v>2060</v>
      </c>
      <c r="E19" s="1868"/>
      <c r="F19" s="1867" t="s">
        <v>2168</v>
      </c>
      <c r="H19" s="1878">
        <f t="shared" si="0"/>
        <v>5</v>
      </c>
      <c r="I19" s="1878">
        <f t="shared" si="1"/>
        <v>5</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1391</v>
      </c>
      <c r="B35" s="187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3"/>
      <c r="B39" s="1873"/>
      <c r="C39" s="1873"/>
      <c r="D39" s="1873"/>
      <c r="E39" s="1873"/>
      <c r="F39" s="1873"/>
    </row>
    <row r="40" spans="1:11" s="1870" customFormat="1" ht="12" customHeight="1" x14ac:dyDescent="0.25">
      <c r="A40" s="1874" t="s">
        <v>1390</v>
      </c>
      <c r="B40" s="1875"/>
      <c r="C40" s="2302"/>
      <c r="D40" s="2302"/>
      <c r="E40" s="2302"/>
      <c r="F40" s="2303"/>
      <c r="H40" s="1879"/>
      <c r="I40" s="1879"/>
      <c r="J40" s="1879"/>
      <c r="K40" s="1879"/>
    </row>
    <row r="41" spans="1:11" s="1870" customFormat="1" ht="12" customHeight="1" x14ac:dyDescent="0.25">
      <c r="A41" s="2304"/>
      <c r="B41" s="2305"/>
      <c r="C41" s="2305"/>
      <c r="D41" s="2305"/>
      <c r="E41" s="2305"/>
      <c r="F41" s="2306"/>
      <c r="H41" s="1879"/>
      <c r="I41" s="1879"/>
      <c r="J41" s="1879"/>
      <c r="K41" s="1879"/>
    </row>
    <row r="42" spans="1:11" s="1870" customFormat="1" ht="12" customHeight="1" x14ac:dyDescent="0.25">
      <c r="A42" s="2304"/>
      <c r="B42" s="2305"/>
      <c r="C42" s="2305"/>
      <c r="D42" s="2305"/>
      <c r="E42" s="2305"/>
      <c r="F42" s="2306"/>
      <c r="H42" s="1879"/>
      <c r="I42" s="1879"/>
      <c r="J42" s="1879"/>
      <c r="K42" s="1879"/>
    </row>
    <row r="43" spans="1:11" s="1870" customFormat="1" ht="15" x14ac:dyDescent="0.25">
      <c r="A43" s="2293"/>
      <c r="B43" s="2294"/>
      <c r="C43" s="2294"/>
      <c r="D43" s="2294"/>
      <c r="E43" s="2294"/>
      <c r="F43" s="2295"/>
      <c r="H43" s="1879"/>
      <c r="I43" s="1879"/>
      <c r="J43" s="1879"/>
      <c r="K43" s="1879"/>
    </row>
    <row r="44" spans="1:11" s="1870" customFormat="1" ht="12" hidden="1" customHeight="1" x14ac:dyDescent="0.25">
      <c r="A44" s="2293"/>
      <c r="B44" s="2294"/>
      <c r="C44" s="2294"/>
      <c r="D44" s="2294"/>
      <c r="E44" s="2294"/>
      <c r="F44" s="229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0" t="str">
        <f>COVER!A17</f>
        <v>Urbana SD 116</v>
      </c>
      <c r="J6" s="2321"/>
      <c r="Q6" s="1664"/>
    </row>
    <row r="7" spans="1:17" x14ac:dyDescent="0.2">
      <c r="A7" s="2322" t="s">
        <v>868</v>
      </c>
      <c r="B7" s="2323"/>
      <c r="C7" s="2323"/>
      <c r="D7" s="2323"/>
      <c r="E7" s="2324"/>
      <c r="F7" s="1017"/>
      <c r="G7" s="1009"/>
      <c r="H7" s="1016" t="s">
        <v>371</v>
      </c>
      <c r="I7" s="2325">
        <f>COVER!A13</f>
        <v>9010116022</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6" t="s">
        <v>480</v>
      </c>
      <c r="B11" s="2327"/>
      <c r="C11" s="2328"/>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628343</v>
      </c>
      <c r="F12" s="1039"/>
      <c r="G12" s="1811">
        <f t="shared" ref="G12:G18" si="0">SUM(E12:F12)</f>
        <v>628343</v>
      </c>
      <c r="H12" s="1040">
        <v>321703</v>
      </c>
      <c r="I12" s="1039"/>
      <c r="J12" s="1811">
        <f t="shared" ref="J12:J18" si="1">SUM(H12:I12)</f>
        <v>321703</v>
      </c>
    </row>
    <row r="13" spans="1:17" ht="15" customHeight="1" x14ac:dyDescent="0.2">
      <c r="A13" s="1035">
        <v>2</v>
      </c>
      <c r="B13" s="1036" t="s">
        <v>42</v>
      </c>
      <c r="C13" s="1037"/>
      <c r="D13" s="1038">
        <v>2330</v>
      </c>
      <c r="E13" s="1811">
        <f>'Expenditures 15-22'!K51</f>
        <v>824274</v>
      </c>
      <c r="F13" s="1039"/>
      <c r="G13" s="1811">
        <f t="shared" si="0"/>
        <v>824274</v>
      </c>
      <c r="H13" s="1040">
        <v>845959</v>
      </c>
      <c r="I13" s="1039"/>
      <c r="J13" s="1811">
        <f t="shared" si="1"/>
        <v>845959</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190678</v>
      </c>
      <c r="F15" s="1811">
        <f>'Expenditures 15-22'!K122</f>
        <v>0</v>
      </c>
      <c r="G15" s="1811">
        <f t="shared" si="0"/>
        <v>190678</v>
      </c>
      <c r="H15" s="1040">
        <v>196150</v>
      </c>
      <c r="I15" s="1040"/>
      <c r="J15" s="1811">
        <f t="shared" si="1"/>
        <v>196150</v>
      </c>
    </row>
    <row r="16" spans="1:17" ht="15" customHeight="1" x14ac:dyDescent="0.2">
      <c r="A16" s="1035">
        <v>5</v>
      </c>
      <c r="B16" s="1036" t="s">
        <v>101</v>
      </c>
      <c r="C16" s="1037"/>
      <c r="D16" s="1038">
        <v>2570</v>
      </c>
      <c r="E16" s="1811">
        <f>'Expenditures 15-22'!K64</f>
        <v>208814</v>
      </c>
      <c r="F16" s="1039"/>
      <c r="G16" s="1811">
        <f t="shared" si="0"/>
        <v>208814</v>
      </c>
      <c r="H16" s="1040">
        <v>300333</v>
      </c>
      <c r="I16" s="1039"/>
      <c r="J16" s="1811">
        <f t="shared" si="1"/>
        <v>300333</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1852109</v>
      </c>
      <c r="F19" s="1813">
        <f t="shared" si="2"/>
        <v>0</v>
      </c>
      <c r="G19" s="1813">
        <f t="shared" si="2"/>
        <v>1852109</v>
      </c>
      <c r="H19" s="1813">
        <f t="shared" si="2"/>
        <v>1664145</v>
      </c>
      <c r="I19" s="1813">
        <f t="shared" si="2"/>
        <v>0</v>
      </c>
      <c r="J19" s="1813">
        <f t="shared" si="2"/>
        <v>1664145</v>
      </c>
    </row>
    <row r="20" spans="1:10" ht="13.5" thickTop="1" x14ac:dyDescent="0.2">
      <c r="A20" s="1035">
        <v>9</v>
      </c>
      <c r="B20" s="2332" t="s">
        <v>1976</v>
      </c>
      <c r="C20" s="2332"/>
      <c r="D20" s="2333"/>
      <c r="E20" s="1046"/>
      <c r="F20" s="1046"/>
      <c r="G20" s="1046"/>
      <c r="H20" s="1046"/>
      <c r="I20" s="1046"/>
      <c r="J20" s="1814">
        <f>IF(AND(G19&gt;0,J19&gt;0),(((J19-G19)/G19)),"Enter Budget Data")</f>
        <v>-0.10148646758911058</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1032</v>
      </c>
      <c r="D27" s="1052"/>
      <c r="E27" s="1053"/>
      <c r="F27" s="2334" t="s">
        <v>1508</v>
      </c>
      <c r="G27" s="2334"/>
    </row>
    <row r="28" spans="1:10" ht="28.5" customHeight="1" x14ac:dyDescent="0.2">
      <c r="B28" s="1047"/>
      <c r="C28" s="2336"/>
      <c r="D28" s="2336"/>
      <c r="E28" s="1054"/>
      <c r="F28" s="2336"/>
      <c r="G28" s="2336"/>
    </row>
    <row r="29" spans="1:10" x14ac:dyDescent="0.2">
      <c r="B29" s="1047"/>
      <c r="C29" s="1055" t="s">
        <v>1560</v>
      </c>
      <c r="E29" s="1056"/>
      <c r="F29" s="2335" t="s">
        <v>1509</v>
      </c>
      <c r="G29" s="2335"/>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1978</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881</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34" sqref="B3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2175</v>
      </c>
    </row>
    <row r="6" spans="1:2" x14ac:dyDescent="0.2">
      <c r="A6" s="1068">
        <v>2</v>
      </c>
      <c r="B6" s="329" t="s">
        <v>2176</v>
      </c>
    </row>
    <row r="7" spans="1:2" x14ac:dyDescent="0.2">
      <c r="A7" s="1068"/>
      <c r="B7" s="329" t="s">
        <v>2177</v>
      </c>
    </row>
    <row r="8" spans="1:2" x14ac:dyDescent="0.2">
      <c r="A8" s="1068"/>
      <c r="B8" s="329" t="s">
        <v>2178</v>
      </c>
    </row>
    <row r="9" spans="1:2" x14ac:dyDescent="0.2">
      <c r="A9" s="1068">
        <v>3</v>
      </c>
      <c r="B9" s="329" t="s">
        <v>2180</v>
      </c>
    </row>
    <row r="10" spans="1:2" x14ac:dyDescent="0.2">
      <c r="A10" s="1068">
        <v>4</v>
      </c>
      <c r="B10" s="329" t="s">
        <v>2179</v>
      </c>
    </row>
    <row r="11" spans="1:2" x14ac:dyDescent="0.2">
      <c r="A11" s="1068">
        <v>5</v>
      </c>
      <c r="B11" s="329" t="s">
        <v>2181</v>
      </c>
    </row>
    <row r="12" spans="1:2" x14ac:dyDescent="0.2">
      <c r="A12" s="1068"/>
      <c r="B12" s="329" t="s">
        <v>2182</v>
      </c>
    </row>
    <row r="13" spans="1:2" x14ac:dyDescent="0.2">
      <c r="A13" s="1068">
        <v>6</v>
      </c>
      <c r="B13" s="329" t="s">
        <v>2183</v>
      </c>
    </row>
    <row r="14" spans="1:2" x14ac:dyDescent="0.2">
      <c r="A14" s="1068"/>
      <c r="B14" s="329" t="s">
        <v>2184</v>
      </c>
    </row>
    <row r="15" spans="1:2" x14ac:dyDescent="0.2">
      <c r="A15" s="1068">
        <v>7</v>
      </c>
      <c r="B15" s="329" t="s">
        <v>2185</v>
      </c>
    </row>
    <row r="16" spans="1:2" x14ac:dyDescent="0.2">
      <c r="A16" s="1068"/>
      <c r="B16" s="329" t="s">
        <v>2186</v>
      </c>
    </row>
    <row r="17" spans="1:2" x14ac:dyDescent="0.2">
      <c r="A17" s="1068">
        <v>8</v>
      </c>
      <c r="B17" s="329" t="s">
        <v>2187</v>
      </c>
    </row>
    <row r="18" spans="1:2" x14ac:dyDescent="0.2">
      <c r="A18" s="1068">
        <v>9</v>
      </c>
      <c r="B18" s="329" t="s">
        <v>2188</v>
      </c>
    </row>
    <row r="19" spans="1:2" x14ac:dyDescent="0.2">
      <c r="A19" s="1068"/>
      <c r="B19" s="329" t="s">
        <v>2189</v>
      </c>
    </row>
    <row r="20" spans="1:2" x14ac:dyDescent="0.2">
      <c r="A20" s="1068">
        <v>10</v>
      </c>
      <c r="B20" s="329" t="s">
        <v>2190</v>
      </c>
    </row>
    <row r="21" spans="1:2" x14ac:dyDescent="0.2">
      <c r="A21" s="1068">
        <v>11</v>
      </c>
      <c r="B21" s="329" t="s">
        <v>2191</v>
      </c>
    </row>
    <row r="22" spans="1:2" x14ac:dyDescent="0.2">
      <c r="A22" s="1068">
        <v>12</v>
      </c>
      <c r="B22" s="329" t="s">
        <v>2192</v>
      </c>
    </row>
    <row r="23" spans="1:2" x14ac:dyDescent="0.2">
      <c r="A23" s="1068">
        <v>13</v>
      </c>
      <c r="B23" s="329" t="s">
        <v>2193</v>
      </c>
    </row>
    <row r="24" spans="1:2" x14ac:dyDescent="0.2">
      <c r="A24" s="1068"/>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Urbana SD 116</v>
      </c>
    </row>
    <row r="66" spans="1:2" x14ac:dyDescent="0.2">
      <c r="B66" s="1070">
        <f>COVER!A13</f>
        <v>9010116022</v>
      </c>
    </row>
  </sheetData>
  <phoneticPr fontId="14" type="noConversion"/>
  <pageMargins left="0.2" right="0.2" top="1.17" bottom="0.75" header="0.19" footer="0.16"/>
  <pageSetup scale="7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9" t="s">
        <v>1684</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1689</v>
      </c>
      <c r="B1" s="2341"/>
      <c r="C1" s="2341"/>
      <c r="D1" s="2341"/>
      <c r="E1" s="2341"/>
      <c r="F1" s="2342"/>
    </row>
    <row r="2" spans="1:8" ht="45" customHeight="1" x14ac:dyDescent="0.2">
      <c r="A2" s="2350" t="s">
        <v>1982</v>
      </c>
      <c r="B2" s="2351"/>
      <c r="C2" s="2351"/>
      <c r="D2" s="2351"/>
      <c r="E2" s="2351"/>
      <c r="F2" s="2352"/>
      <c r="G2" s="1074"/>
      <c r="H2" s="1074"/>
    </row>
    <row r="3" spans="1:8" ht="57" customHeight="1" x14ac:dyDescent="0.2">
      <c r="A3" s="2353" t="s">
        <v>1685</v>
      </c>
      <c r="B3" s="2354"/>
      <c r="C3" s="2354"/>
      <c r="D3" s="2354"/>
      <c r="E3" s="2354"/>
      <c r="F3" s="2355"/>
      <c r="G3" s="1074"/>
      <c r="H3" s="1074"/>
    </row>
    <row r="4" spans="1:8" ht="14.25" customHeight="1" x14ac:dyDescent="0.2">
      <c r="A4" s="2359" t="s">
        <v>1983</v>
      </c>
      <c r="B4" s="2360"/>
      <c r="C4" s="2360"/>
      <c r="D4" s="2360"/>
      <c r="E4" s="2360"/>
      <c r="F4" s="2361"/>
      <c r="G4" s="1074"/>
      <c r="H4" s="1074"/>
    </row>
    <row r="5" spans="1:8" ht="14.25" customHeight="1" x14ac:dyDescent="0.2">
      <c r="A5" s="2362" t="s">
        <v>1979</v>
      </c>
      <c r="B5" s="2363"/>
      <c r="C5" s="2363"/>
      <c r="D5" s="2363"/>
      <c r="E5" s="2363"/>
      <c r="F5" s="2364"/>
      <c r="G5" s="1074"/>
      <c r="H5" s="1074"/>
    </row>
    <row r="6" spans="1:8" s="1075" customFormat="1" ht="41.25" customHeight="1" x14ac:dyDescent="0.2">
      <c r="A6" s="2356" t="s">
        <v>1690</v>
      </c>
      <c r="B6" s="2357"/>
      <c r="C6" s="2357"/>
      <c r="D6" s="2357"/>
      <c r="E6" s="2357"/>
      <c r="F6" s="2358"/>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50115750</v>
      </c>
      <c r="C8" s="1815">
        <f>'Acct Summary 7-8'!D8</f>
        <v>3481891</v>
      </c>
      <c r="D8" s="1815">
        <f>'Acct Summary 7-8'!F8</f>
        <v>2314668</v>
      </c>
      <c r="E8" s="1815">
        <f>'Acct Summary 7-8'!I8</f>
        <v>18184</v>
      </c>
      <c r="F8" s="1815">
        <f>SUM(B8:E8)</f>
        <v>55930493</v>
      </c>
    </row>
    <row r="9" spans="1:8" s="1079" customFormat="1" ht="14.25" customHeight="1" thickBot="1" x14ac:dyDescent="0.25">
      <c r="A9" s="1078" t="s">
        <v>1368</v>
      </c>
      <c r="B9" s="1816">
        <f>'Acct Summary 7-8'!C17</f>
        <v>55777414</v>
      </c>
      <c r="C9" s="1816">
        <f>'Acct Summary 7-8'!D17</f>
        <v>3773839</v>
      </c>
      <c r="D9" s="1816">
        <f>'Acct Summary 7-8'!F17</f>
        <v>2521068</v>
      </c>
      <c r="E9" s="1815"/>
      <c r="F9" s="1815">
        <f>SUM(B9:E9)</f>
        <v>62072321</v>
      </c>
    </row>
    <row r="10" spans="1:8" s="1079" customFormat="1" ht="14.25" thickTop="1" thickBot="1" x14ac:dyDescent="0.25">
      <c r="A10" s="1080" t="s">
        <v>1369</v>
      </c>
      <c r="B10" s="1817">
        <f>(B8-B9)</f>
        <v>-5661664</v>
      </c>
      <c r="C10" s="1817">
        <f>(C8-C9)</f>
        <v>-291948</v>
      </c>
      <c r="D10" s="1817">
        <f>(D8-D9)</f>
        <v>-206400</v>
      </c>
      <c r="E10" s="1816">
        <f>(E8-E9)</f>
        <v>18184</v>
      </c>
      <c r="F10" s="1818">
        <f>SUM(F8-F9)</f>
        <v>-6141828</v>
      </c>
    </row>
    <row r="11" spans="1:8" s="1079" customFormat="1" ht="14.25" thickTop="1" thickBot="1" x14ac:dyDescent="0.25">
      <c r="A11" s="1081" t="s">
        <v>1980</v>
      </c>
      <c r="B11" s="1819">
        <f>'Acct Summary 7-8'!C81</f>
        <v>10548445</v>
      </c>
      <c r="C11" s="1819">
        <f>'Acct Summary 7-8'!D81</f>
        <v>-2730647</v>
      </c>
      <c r="D11" s="1819">
        <f>'Acct Summary 7-8'!F81</f>
        <v>29393</v>
      </c>
      <c r="E11" s="1819">
        <f>'Acct Summary 7-8'!I81</f>
        <v>7046538</v>
      </c>
      <c r="F11" s="1820">
        <f>SUM(B11:E11)</f>
        <v>14893729</v>
      </c>
    </row>
    <row r="12" spans="1:8" ht="16.5" customHeight="1" thickTop="1" x14ac:dyDescent="0.2">
      <c r="A12" s="1082"/>
      <c r="B12" s="1083"/>
      <c r="C12" s="234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1686</v>
      </c>
      <c r="B16" s="2343"/>
      <c r="C16" s="2343"/>
      <c r="D16" s="2343"/>
      <c r="E16" s="2343"/>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664</v>
      </c>
      <c r="B3" s="2366"/>
      <c r="C3" s="2366"/>
      <c r="D3" s="2367"/>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6" t="s">
        <v>1503</v>
      </c>
      <c r="D7" s="2377"/>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8" t="s">
        <v>1007</v>
      </c>
      <c r="B15" s="2369"/>
      <c r="C15" s="2369"/>
      <c r="D15" s="2370"/>
    </row>
    <row r="16" spans="1:4" s="668" customFormat="1" ht="24" customHeight="1" x14ac:dyDescent="0.2">
      <c r="A16" s="2371" t="s">
        <v>662</v>
      </c>
      <c r="B16" s="2372"/>
      <c r="C16" s="2372"/>
      <c r="D16" s="2373"/>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0" t="s">
        <v>313</v>
      </c>
      <c r="D21" s="2381"/>
    </row>
    <row r="22" spans="1:10" ht="12.75" x14ac:dyDescent="0.2">
      <c r="A22" s="1139"/>
      <c r="B22" s="1140">
        <v>2</v>
      </c>
      <c r="C22" s="2378" t="s">
        <v>1523</v>
      </c>
      <c r="D22" s="2379"/>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2" t="s">
        <v>535</v>
      </c>
      <c r="D43" s="2383"/>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4" t="s">
        <v>783</v>
      </c>
      <c r="D56" s="2375"/>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4" t="s">
        <v>1695</v>
      </c>
      <c r="D70" s="2375"/>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9010116022</v>
      </c>
    </row>
    <row r="3" spans="1:2" x14ac:dyDescent="0.2">
      <c r="A3" t="s">
        <v>955</v>
      </c>
      <c r="B3" s="138" t="str">
        <f>COVER!A15</f>
        <v>Champaign</v>
      </c>
    </row>
    <row r="4" spans="1:2" x14ac:dyDescent="0.2">
      <c r="A4" t="s">
        <v>1006</v>
      </c>
      <c r="B4" s="138" t="str">
        <f>COVER!A17</f>
        <v>Urbana SD 116</v>
      </c>
    </row>
    <row r="5" spans="1:2" x14ac:dyDescent="0.2">
      <c r="A5" t="s">
        <v>703</v>
      </c>
      <c r="B5" s="138" t="str">
        <f>COVER!A38</f>
        <v>Jennifer Ivory-Tatum</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066-003844</v>
      </c>
    </row>
    <row r="16" spans="1:2" x14ac:dyDescent="0.2">
      <c r="A16" t="s">
        <v>421</v>
      </c>
      <c r="B16" s="138" t="str">
        <f>COVER!T13</f>
        <v>BKD, LLP</v>
      </c>
    </row>
    <row r="17" spans="1:2" x14ac:dyDescent="0.2">
      <c r="A17" t="s">
        <v>883</v>
      </c>
      <c r="B17" s="138" t="str">
        <f>COVER!T15</f>
        <v>Heather Powell</v>
      </c>
    </row>
    <row r="18" spans="1:2" x14ac:dyDescent="0.2">
      <c r="A18" t="s">
        <v>1149</v>
      </c>
      <c r="B18" s="138" t="str">
        <f>COVER!T17</f>
        <v>225 North Water Street, Suite 400</v>
      </c>
    </row>
    <row r="19" spans="1:2" x14ac:dyDescent="0.2">
      <c r="A19" t="s">
        <v>885</v>
      </c>
      <c r="B19" s="138">
        <f>COVER!T25</f>
        <v>0</v>
      </c>
    </row>
    <row r="20" spans="1:2" x14ac:dyDescent="0.2">
      <c r="A20" t="s">
        <v>886</v>
      </c>
      <c r="B20" s="138" t="str">
        <f>COVER!T19</f>
        <v>Decatur</v>
      </c>
    </row>
    <row r="21" spans="1:2" x14ac:dyDescent="0.2">
      <c r="A21" t="s">
        <v>478</v>
      </c>
      <c r="B21" s="138" t="str">
        <f>COVER!X19</f>
        <v>IL</v>
      </c>
    </row>
    <row r="22" spans="1:2" x14ac:dyDescent="0.2">
      <c r="A22" t="s">
        <v>887</v>
      </c>
      <c r="B22" s="138">
        <f>COVER!Z19</f>
        <v>62523</v>
      </c>
    </row>
    <row r="23" spans="1:2" x14ac:dyDescent="0.2">
      <c r="A23" t="s">
        <v>1151</v>
      </c>
      <c r="B23" s="138" t="str">
        <f>COVER!T21</f>
        <v>217-429-2411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35370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21243116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69085</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153471</v>
      </c>
      <c r="D76" s="2" t="str">
        <f t="shared" si="0"/>
        <v>Error?</v>
      </c>
    </row>
    <row r="77" spans="1:4" x14ac:dyDescent="0.2">
      <c r="A77" s="5">
        <v>16</v>
      </c>
      <c r="B77" s="138">
        <f>'Assets-Liab 5-6'!C13</f>
        <v>29910079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13306145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19361634</v>
      </c>
      <c r="C91" s="2" t="s">
        <v>572</v>
      </c>
      <c r="D91" s="2" t="str">
        <f t="shared" si="0"/>
        <v>Error?</v>
      </c>
    </row>
    <row r="92" spans="1:4" x14ac:dyDescent="0.2">
      <c r="A92" s="5">
        <v>31</v>
      </c>
      <c r="B92" s="138">
        <f>'Assets-Liab 5-6'!C39</f>
        <v>10479360</v>
      </c>
      <c r="D92" s="2" t="str">
        <f t="shared" si="0"/>
        <v>Error?</v>
      </c>
    </row>
    <row r="93" spans="1:4" x14ac:dyDescent="0.2">
      <c r="A93" s="5">
        <v>32</v>
      </c>
      <c r="B93" s="138">
        <f>'Assets-Liab 5-6'!C41</f>
        <v>29910079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3219701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4088168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2016741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6818815</v>
      </c>
      <c r="C122" s="2" t="s">
        <v>572</v>
      </c>
      <c r="D122" s="2" t="str">
        <f t="shared" si="0"/>
        <v>Error?</v>
      </c>
    </row>
    <row r="123" spans="1:4" x14ac:dyDescent="0.2">
      <c r="A123" s="5">
        <v>62</v>
      </c>
      <c r="B123" s="138">
        <f>'Assets-Liab 5-6'!D39</f>
        <v>-2730647</v>
      </c>
      <c r="D123" s="2" t="str">
        <f t="shared" si="0"/>
        <v>Error?</v>
      </c>
    </row>
    <row r="124" spans="1:4" x14ac:dyDescent="0.2">
      <c r="A124" s="5">
        <v>63</v>
      </c>
      <c r="B124" s="138">
        <f>'Assets-Liab 5-6'!D41</f>
        <v>4088168</v>
      </c>
      <c r="C124" s="2" t="s">
        <v>572</v>
      </c>
      <c r="D124" s="2" t="str">
        <f t="shared" si="0"/>
        <v>Error?</v>
      </c>
    </row>
    <row r="125" spans="1:4" x14ac:dyDescent="0.2">
      <c r="A125" s="10">
        <v>64</v>
      </c>
      <c r="D125" s="2" t="str">
        <f t="shared" si="0"/>
        <v>OK</v>
      </c>
    </row>
    <row r="126" spans="1:4" x14ac:dyDescent="0.2">
      <c r="A126" s="5">
        <v>65</v>
      </c>
      <c r="B126" s="138">
        <f>'Assets-Liab 5-6'!E6</f>
        <v>2093736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2093736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1311466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1473328</v>
      </c>
      <c r="C139" s="2" t="s">
        <v>572</v>
      </c>
      <c r="D139" s="2" t="str">
        <f t="shared" si="1"/>
        <v>Error?</v>
      </c>
    </row>
    <row r="140" spans="1:4" x14ac:dyDescent="0.2">
      <c r="A140" s="5">
        <v>79</v>
      </c>
      <c r="B140" s="138">
        <f>'Assets-Liab 5-6'!E39</f>
        <v>620408</v>
      </c>
      <c r="D140" s="2" t="str">
        <f t="shared" si="1"/>
        <v>Error?</v>
      </c>
    </row>
    <row r="141" spans="1:4" x14ac:dyDescent="0.2">
      <c r="A141" s="5">
        <v>80</v>
      </c>
      <c r="B141" s="138">
        <f>'Assets-Liab 5-6'!E41</f>
        <v>2093736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1268772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1697293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794732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1667900</v>
      </c>
      <c r="C169" s="2" t="s">
        <v>572</v>
      </c>
      <c r="D169" s="2" t="str">
        <f t="shared" si="1"/>
        <v>Error?</v>
      </c>
    </row>
    <row r="170" spans="1:4" x14ac:dyDescent="0.2">
      <c r="A170" s="5">
        <v>109</v>
      </c>
      <c r="B170" s="138">
        <f>'Assets-Liab 5-6'!F39</f>
        <v>29393</v>
      </c>
      <c r="D170" s="2" t="str">
        <f t="shared" si="1"/>
        <v>Error?</v>
      </c>
    </row>
    <row r="171" spans="1:4" x14ac:dyDescent="0.2">
      <c r="A171" s="5">
        <v>110</v>
      </c>
      <c r="B171" s="138">
        <f>'Assets-Liab 5-6'!F41</f>
        <v>1697293</v>
      </c>
      <c r="C171" s="2" t="s">
        <v>572</v>
      </c>
      <c r="D171" s="2" t="str">
        <f t="shared" si="1"/>
        <v>Error?</v>
      </c>
    </row>
    <row r="172" spans="1:4" x14ac:dyDescent="0.2">
      <c r="A172" s="10">
        <v>111</v>
      </c>
      <c r="D172" s="2" t="str">
        <f t="shared" si="1"/>
        <v>OK</v>
      </c>
    </row>
    <row r="173" spans="1:4" x14ac:dyDescent="0.2">
      <c r="A173" s="5">
        <v>112</v>
      </c>
      <c r="B173" s="138">
        <f>'Assets-Liab 5-6'!G6</f>
        <v>1333009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1781907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834972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2057201</v>
      </c>
      <c r="C188" s="2" t="s">
        <v>572</v>
      </c>
      <c r="D188" s="2" t="str">
        <f t="shared" si="1"/>
        <v>Error?</v>
      </c>
    </row>
    <row r="189" spans="1:4" x14ac:dyDescent="0.2">
      <c r="A189" s="5">
        <v>128</v>
      </c>
      <c r="B189" s="138">
        <f>'Assets-Liab 5-6'!G39</f>
        <v>-275294</v>
      </c>
      <c r="D189" s="2" t="str">
        <f t="shared" si="1"/>
        <v>Error?</v>
      </c>
    </row>
    <row r="190" spans="1:4" x14ac:dyDescent="0.2">
      <c r="A190" s="5">
        <v>129</v>
      </c>
      <c r="B190" s="138">
        <f>'Assets-Liab 5-6'!G41</f>
        <v>1781907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8026204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937012</v>
      </c>
      <c r="C211" s="2" t="s">
        <v>572</v>
      </c>
      <c r="D211" s="2" t="str">
        <f t="shared" si="2"/>
        <v>Error?</v>
      </c>
    </row>
    <row r="212" spans="1:4" x14ac:dyDescent="0.2">
      <c r="A212" s="5">
        <v>151</v>
      </c>
      <c r="B212" s="138">
        <f>'Assets-Liab 5-6'!H39</f>
        <v>7089192</v>
      </c>
      <c r="D212" s="2" t="str">
        <f t="shared" si="2"/>
        <v>Error?</v>
      </c>
    </row>
    <row r="213" spans="1:4" x14ac:dyDescent="0.2">
      <c r="A213" s="12">
        <v>152</v>
      </c>
      <c r="B213" s="138">
        <f>'Assets-Liab 5-6'!H41</f>
        <v>8026204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1085540</v>
      </c>
      <c r="D273" s="2" t="str">
        <f t="shared" si="3"/>
        <v>Error?</v>
      </c>
    </row>
    <row r="274" spans="1:4" x14ac:dyDescent="0.2">
      <c r="A274" s="5">
        <v>213</v>
      </c>
      <c r="B274" s="138">
        <f>'Assets-Liab 5-6'!M17</f>
        <v>131199046</v>
      </c>
      <c r="D274" s="2" t="str">
        <f t="shared" si="3"/>
        <v>Error?</v>
      </c>
    </row>
    <row r="275" spans="1:4" x14ac:dyDescent="0.2">
      <c r="A275" s="5">
        <v>214</v>
      </c>
      <c r="B275" s="138">
        <f>'Assets-Liab 5-6'!M18</f>
        <v>0</v>
      </c>
      <c r="D275" s="2" t="str">
        <f t="shared" si="3"/>
        <v>Error?</v>
      </c>
    </row>
    <row r="276" spans="1:4" x14ac:dyDescent="0.2">
      <c r="A276" s="5">
        <v>215</v>
      </c>
      <c r="B276" s="138">
        <f>'Assets-Liab 5-6'!M19</f>
        <v>22138748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154423334</v>
      </c>
      <c r="C279" s="2" t="s">
        <v>572</v>
      </c>
      <c r="D279" s="2" t="str">
        <f t="shared" si="3"/>
        <v>Error?</v>
      </c>
    </row>
    <row r="280" spans="1:4" x14ac:dyDescent="0.2">
      <c r="A280" s="5">
        <v>219</v>
      </c>
      <c r="B280" s="138">
        <f>'Assets-Liab 5-6'!M40</f>
        <v>154423334</v>
      </c>
      <c r="D280" s="2" t="str">
        <f t="shared" si="3"/>
        <v>Error?</v>
      </c>
    </row>
    <row r="281" spans="1:4" x14ac:dyDescent="0.2">
      <c r="A281" s="5">
        <v>220</v>
      </c>
      <c r="B281" s="138">
        <f>'Assets-Liab 5-6'!M41</f>
        <v>154423334</v>
      </c>
      <c r="C281" s="2" t="s">
        <v>572</v>
      </c>
      <c r="D281" s="2" t="str">
        <f t="shared" si="3"/>
        <v>Error?</v>
      </c>
    </row>
    <row r="282" spans="1:4" x14ac:dyDescent="0.2">
      <c r="A282" s="5">
        <v>221</v>
      </c>
      <c r="B282" s="138">
        <f>'Assets-Liab 5-6'!N21</f>
        <v>620408</v>
      </c>
      <c r="D282" s="2" t="str">
        <f t="shared" si="3"/>
        <v>Error?</v>
      </c>
    </row>
    <row r="283" spans="1:4" x14ac:dyDescent="0.2">
      <c r="A283" s="5">
        <v>222</v>
      </c>
      <c r="B283" s="138">
        <f>'Assets-Liab 5-6'!N22</f>
        <v>35205592</v>
      </c>
      <c r="D283" s="2" t="str">
        <f t="shared" si="3"/>
        <v>Error?</v>
      </c>
    </row>
    <row r="284" spans="1:4" x14ac:dyDescent="0.2">
      <c r="A284" s="5">
        <v>223</v>
      </c>
      <c r="B284" s="138">
        <f>'Assets-Liab 5-6'!N23</f>
        <v>35826000</v>
      </c>
      <c r="C284" s="2" t="s">
        <v>572</v>
      </c>
      <c r="D284" s="2" t="str">
        <f t="shared" si="3"/>
        <v>Error?</v>
      </c>
    </row>
    <row r="285" spans="1:4" x14ac:dyDescent="0.2">
      <c r="A285" s="5">
        <v>224</v>
      </c>
      <c r="B285" s="138">
        <f>'Assets-Liab 5-6'!N36</f>
        <v>35826000</v>
      </c>
      <c r="D285" s="2" t="str">
        <f t="shared" si="3"/>
        <v>Error?</v>
      </c>
    </row>
    <row r="286" spans="1:4" x14ac:dyDescent="0.2">
      <c r="A286" s="10">
        <v>225</v>
      </c>
      <c r="D286" s="2" t="str">
        <f t="shared" si="3"/>
        <v>OK</v>
      </c>
    </row>
    <row r="287" spans="1:4" x14ac:dyDescent="0.2">
      <c r="A287" s="5">
        <v>226</v>
      </c>
      <c r="B287" s="138">
        <f>'Assets-Liab 5-6'!N37</f>
        <v>35826000</v>
      </c>
      <c r="C287" s="2" t="s">
        <v>572</v>
      </c>
      <c r="D287" s="2" t="str">
        <f t="shared" si="3"/>
        <v>Error?</v>
      </c>
    </row>
    <row r="288" spans="1:4" x14ac:dyDescent="0.2">
      <c r="A288" s="5">
        <v>227</v>
      </c>
      <c r="B288" s="138">
        <f>'Assets-Liab 5-6'!N41</f>
        <v>35826000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17473</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3072000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14583425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1771611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247537</v>
      </c>
      <c r="D716" s="2" t="str">
        <f t="shared" si="10"/>
        <v>Error?</v>
      </c>
    </row>
    <row r="717" spans="1:4" x14ac:dyDescent="0.2">
      <c r="A717" s="5">
        <v>656</v>
      </c>
      <c r="B717" s="138">
        <f>'Expenditures 15-22'!C13</f>
        <v>112060</v>
      </c>
      <c r="D717" s="2" t="str">
        <f t="shared" si="10"/>
        <v>Error?</v>
      </c>
    </row>
    <row r="718" spans="1:4" x14ac:dyDescent="0.2">
      <c r="A718" s="5">
        <v>657</v>
      </c>
      <c r="B718" s="138">
        <f>'Expenditures 15-22'!C14</f>
        <v>790018</v>
      </c>
      <c r="D718" s="2" t="str">
        <f t="shared" si="10"/>
        <v>Error?</v>
      </c>
    </row>
    <row r="719" spans="1:4" x14ac:dyDescent="0.2">
      <c r="A719" s="5">
        <v>658</v>
      </c>
      <c r="B719" s="138">
        <f>'Expenditures 15-22'!C15</f>
        <v>45490</v>
      </c>
      <c r="D719" s="2" t="str">
        <f t="shared" si="10"/>
        <v>Error?</v>
      </c>
    </row>
    <row r="720" spans="1:4" x14ac:dyDescent="0.2">
      <c r="A720" s="5">
        <v>659</v>
      </c>
      <c r="B720" s="138">
        <f>'Expenditures 15-22'!C33</f>
        <v>26756463</v>
      </c>
      <c r="C720" s="2" t="s">
        <v>572</v>
      </c>
      <c r="D720" s="2" t="str">
        <f t="shared" si="10"/>
        <v>Error?</v>
      </c>
    </row>
    <row r="721" spans="1:4" x14ac:dyDescent="0.2">
      <c r="A721" s="5">
        <v>660</v>
      </c>
      <c r="B721" s="138">
        <f>'Expenditures 15-22'!C36</f>
        <v>1501744</v>
      </c>
      <c r="D721" s="2" t="str">
        <f t="shared" si="10"/>
        <v>Error?</v>
      </c>
    </row>
    <row r="722" spans="1:4" x14ac:dyDescent="0.2">
      <c r="A722" s="5">
        <v>661</v>
      </c>
      <c r="B722" s="138">
        <f>'Expenditures 15-22'!C37</f>
        <v>652858</v>
      </c>
      <c r="D722" s="2" t="str">
        <f t="shared" si="10"/>
        <v>Error?</v>
      </c>
    </row>
    <row r="723" spans="1:4" x14ac:dyDescent="0.2">
      <c r="A723" s="5">
        <v>662</v>
      </c>
      <c r="B723" s="138">
        <f>'Expenditures 15-22'!C38</f>
        <v>768710</v>
      </c>
      <c r="D723" s="2" t="str">
        <f t="shared" si="10"/>
        <v>Error?</v>
      </c>
    </row>
    <row r="724" spans="1:4" x14ac:dyDescent="0.2">
      <c r="A724" s="5">
        <v>663</v>
      </c>
      <c r="B724" s="138">
        <f>'Expenditures 15-22'!C39</f>
        <v>462099</v>
      </c>
      <c r="D724" s="2" t="str">
        <f t="shared" si="10"/>
        <v>Error?</v>
      </c>
    </row>
    <row r="725" spans="1:4" x14ac:dyDescent="0.2">
      <c r="A725" s="5">
        <v>664</v>
      </c>
      <c r="B725" s="138">
        <f>'Expenditures 15-22'!C40</f>
        <v>844562</v>
      </c>
      <c r="D725" s="2" t="str">
        <f t="shared" si="10"/>
        <v>Error?</v>
      </c>
    </row>
    <row r="726" spans="1:4" x14ac:dyDescent="0.2">
      <c r="A726" s="5">
        <v>665</v>
      </c>
      <c r="B726" s="138">
        <f>'Expenditures 15-22'!C41</f>
        <v>744</v>
      </c>
      <c r="D726" s="2" t="str">
        <f t="shared" si="10"/>
        <v>Error?</v>
      </c>
    </row>
    <row r="727" spans="1:4" x14ac:dyDescent="0.2">
      <c r="A727" s="5">
        <v>666</v>
      </c>
      <c r="B727" s="138">
        <f>'Expenditures 15-22'!C42</f>
        <v>4230717</v>
      </c>
      <c r="C727" s="2" t="s">
        <v>572</v>
      </c>
      <c r="D727" s="2" t="str">
        <f t="shared" si="10"/>
        <v>Error?</v>
      </c>
    </row>
    <row r="728" spans="1:4" x14ac:dyDescent="0.2">
      <c r="A728" s="5">
        <v>667</v>
      </c>
      <c r="B728" s="138">
        <f>'Expenditures 15-22'!C44</f>
        <v>906001</v>
      </c>
      <c r="D728" s="2" t="str">
        <f t="shared" si="10"/>
        <v>Error?</v>
      </c>
    </row>
    <row r="729" spans="1:4" x14ac:dyDescent="0.2">
      <c r="A729" s="5">
        <v>668</v>
      </c>
      <c r="B729" s="138">
        <f>'Expenditures 15-22'!C45</f>
        <v>705091</v>
      </c>
      <c r="D729" s="2" t="str">
        <f t="shared" si="10"/>
        <v>Error?</v>
      </c>
    </row>
    <row r="730" spans="1:4" x14ac:dyDescent="0.2">
      <c r="A730" s="5">
        <v>669</v>
      </c>
      <c r="B730" s="138">
        <f>'Expenditures 15-22'!C46</f>
        <v>48493</v>
      </c>
      <c r="D730" s="2" t="str">
        <f t="shared" si="10"/>
        <v>Error?</v>
      </c>
    </row>
    <row r="731" spans="1:4" x14ac:dyDescent="0.2">
      <c r="A731" s="5">
        <v>670</v>
      </c>
      <c r="B731" s="138">
        <f>'Expenditures 15-22'!C47</f>
        <v>1659585</v>
      </c>
      <c r="C731" s="2" t="s">
        <v>572</v>
      </c>
      <c r="D731" s="2" t="str">
        <f t="shared" si="10"/>
        <v>Error?</v>
      </c>
    </row>
    <row r="732" spans="1:4" x14ac:dyDescent="0.2">
      <c r="A732" s="5">
        <v>671</v>
      </c>
      <c r="B732" s="138">
        <f>'Expenditures 15-22'!C49</f>
        <v>50661</v>
      </c>
      <c r="D732" s="2" t="str">
        <f t="shared" si="10"/>
        <v>Error?</v>
      </c>
    </row>
    <row r="733" spans="1:4" x14ac:dyDescent="0.2">
      <c r="A733" s="5">
        <v>672</v>
      </c>
      <c r="B733" s="138">
        <f>'Expenditures 15-22'!C50</f>
        <v>555851</v>
      </c>
      <c r="D733" s="2" t="str">
        <f t="shared" si="10"/>
        <v>Error?</v>
      </c>
    </row>
    <row r="734" spans="1:4" x14ac:dyDescent="0.2">
      <c r="A734" s="5">
        <v>673</v>
      </c>
      <c r="B734" s="138">
        <f>'Expenditures 15-22'!C53</f>
        <v>1342807</v>
      </c>
      <c r="C734" s="2" t="s">
        <v>572</v>
      </c>
      <c r="D734" s="2" t="str">
        <f t="shared" si="10"/>
        <v>Error?</v>
      </c>
    </row>
    <row r="735" spans="1:4" x14ac:dyDescent="0.2">
      <c r="A735" s="5">
        <v>674</v>
      </c>
      <c r="B735" s="138">
        <f>'Expenditures 15-22'!C55</f>
        <v>2355070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2355070</v>
      </c>
      <c r="C737" s="2" t="s">
        <v>572</v>
      </c>
      <c r="D737" s="2" t="str">
        <f t="shared" si="10"/>
        <v>Error?</v>
      </c>
    </row>
    <row r="738" spans="1:4" x14ac:dyDescent="0.2">
      <c r="A738" s="5">
        <v>677</v>
      </c>
      <c r="B738" s="138">
        <f>'Expenditures 15-22'!C59</f>
        <v>173549</v>
      </c>
      <c r="D738" s="2" t="str">
        <f t="shared" si="10"/>
        <v>Error?</v>
      </c>
    </row>
    <row r="739" spans="1:4" x14ac:dyDescent="0.2">
      <c r="A739" s="5">
        <v>678</v>
      </c>
      <c r="B739" s="138">
        <f>'Expenditures 15-22'!C60</f>
        <v>284719</v>
      </c>
      <c r="D739" s="2" t="str">
        <f t="shared" si="10"/>
        <v>Error?</v>
      </c>
    </row>
    <row r="740" spans="1:4" x14ac:dyDescent="0.2">
      <c r="A740" s="5">
        <v>679</v>
      </c>
      <c r="B740" s="138">
        <f>'Expenditures 15-22'!C61</f>
        <v>234199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1339</v>
      </c>
      <c r="D742" s="2" t="str">
        <f t="shared" si="10"/>
        <v>Error?</v>
      </c>
    </row>
    <row r="743" spans="1:4" x14ac:dyDescent="0.2">
      <c r="A743" s="5">
        <v>682</v>
      </c>
      <c r="B743" s="138">
        <f>'Expenditures 15-22'!C64</f>
        <v>146613</v>
      </c>
      <c r="D743" s="2" t="str">
        <f t="shared" si="10"/>
        <v>Error?</v>
      </c>
    </row>
    <row r="744" spans="1:4" x14ac:dyDescent="0.2">
      <c r="A744" s="10">
        <v>683</v>
      </c>
      <c r="D744" s="2" t="str">
        <f t="shared" si="10"/>
        <v>OK</v>
      </c>
    </row>
    <row r="745" spans="1:4" x14ac:dyDescent="0.2">
      <c r="A745" s="5">
        <v>684</v>
      </c>
      <c r="B745" s="138">
        <f>'Expenditures 15-22'!C65</f>
        <v>840419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745300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535027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1280327</v>
      </c>
      <c r="C753" s="2" t="s">
        <v>572</v>
      </c>
      <c r="D753" s="2" t="str">
        <f t="shared" si="10"/>
        <v>Error?</v>
      </c>
    </row>
    <row r="754" spans="1:4" x14ac:dyDescent="0.2">
      <c r="A754" s="5">
        <v>693</v>
      </c>
      <c r="B754" s="138">
        <f>'Expenditures 15-22'!C73</f>
        <v>264725</v>
      </c>
      <c r="D754" s="2" t="str">
        <f t="shared" si="10"/>
        <v>Error?</v>
      </c>
    </row>
    <row r="755" spans="1:4" x14ac:dyDescent="0.2">
      <c r="A755" s="5">
        <v>694</v>
      </c>
      <c r="B755" s="138">
        <f>'Expenditures 15-22'!C74</f>
        <v>11973650</v>
      </c>
      <c r="C755" s="2" t="s">
        <v>572</v>
      </c>
      <c r="D755" s="2" t="str">
        <f t="shared" si="10"/>
        <v>Error?</v>
      </c>
    </row>
    <row r="756" spans="1:4" x14ac:dyDescent="0.2">
      <c r="A756" s="5">
        <v>695</v>
      </c>
      <c r="B756" s="138">
        <f>'Expenditures 15-22'!C75</f>
        <v>1120428</v>
      </c>
      <c r="D756" s="2" t="str">
        <f t="shared" si="10"/>
        <v>Error?</v>
      </c>
    </row>
    <row r="757" spans="1:4" x14ac:dyDescent="0.2">
      <c r="A757" s="5">
        <v>696</v>
      </c>
      <c r="B757" s="138">
        <f>'Expenditures 15-22'!C114</f>
        <v>39850541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1901768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254658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66137</v>
      </c>
      <c r="D774" s="2" t="str">
        <f t="shared" si="11"/>
        <v>Error?</v>
      </c>
    </row>
    <row r="775" spans="1:4" x14ac:dyDescent="0.2">
      <c r="A775" s="5">
        <v>714</v>
      </c>
      <c r="B775" s="138">
        <f>'Expenditures 15-22'!D13</f>
        <v>21539</v>
      </c>
      <c r="D775" s="2" t="str">
        <f t="shared" si="11"/>
        <v>Error?</v>
      </c>
    </row>
    <row r="776" spans="1:4" x14ac:dyDescent="0.2">
      <c r="A776" s="5">
        <v>715</v>
      </c>
      <c r="B776" s="138">
        <f>'Expenditures 15-22'!D14</f>
        <v>76288</v>
      </c>
      <c r="D776" s="2" t="str">
        <f t="shared" si="11"/>
        <v>Error?</v>
      </c>
    </row>
    <row r="777" spans="1:4" x14ac:dyDescent="0.2">
      <c r="A777" s="5">
        <v>716</v>
      </c>
      <c r="B777" s="138">
        <f>'Expenditures 15-22'!D15</f>
        <v>2203</v>
      </c>
      <c r="D777" s="2" t="str">
        <f t="shared" si="11"/>
        <v>Error?</v>
      </c>
    </row>
    <row r="778" spans="1:4" x14ac:dyDescent="0.2">
      <c r="A778" s="5">
        <v>717</v>
      </c>
      <c r="B778" s="138">
        <f>'Expenditures 15-22'!D33</f>
        <v>4126263</v>
      </c>
      <c r="C778" s="2" t="s">
        <v>572</v>
      </c>
      <c r="D778" s="2" t="str">
        <f t="shared" si="11"/>
        <v>Error?</v>
      </c>
    </row>
    <row r="779" spans="1:4" x14ac:dyDescent="0.2">
      <c r="A779" s="5">
        <v>718</v>
      </c>
      <c r="B779" s="138">
        <f>'Expenditures 15-22'!D36</f>
        <v>300146</v>
      </c>
      <c r="D779" s="2" t="str">
        <f t="shared" si="11"/>
        <v>Error?</v>
      </c>
    </row>
    <row r="780" spans="1:4" x14ac:dyDescent="0.2">
      <c r="A780" s="5">
        <v>719</v>
      </c>
      <c r="B780" s="138">
        <f>'Expenditures 15-22'!D37</f>
        <v>96035</v>
      </c>
      <c r="D780" s="2" t="str">
        <f t="shared" si="11"/>
        <v>Error?</v>
      </c>
    </row>
    <row r="781" spans="1:4" x14ac:dyDescent="0.2">
      <c r="A781" s="5">
        <v>720</v>
      </c>
      <c r="B781" s="138">
        <f>'Expenditures 15-22'!D38</f>
        <v>151047</v>
      </c>
      <c r="D781" s="2" t="str">
        <f t="shared" si="11"/>
        <v>Error?</v>
      </c>
    </row>
    <row r="782" spans="1:4" x14ac:dyDescent="0.2">
      <c r="A782" s="5">
        <v>721</v>
      </c>
      <c r="B782" s="138">
        <f>'Expenditures 15-22'!D39</f>
        <v>55736</v>
      </c>
      <c r="D782" s="2" t="str">
        <f t="shared" si="11"/>
        <v>Error?</v>
      </c>
    </row>
    <row r="783" spans="1:4" x14ac:dyDescent="0.2">
      <c r="A783" s="5">
        <v>722</v>
      </c>
      <c r="B783" s="138">
        <f>'Expenditures 15-22'!D40</f>
        <v>105419</v>
      </c>
      <c r="D783" s="2" t="str">
        <f t="shared" si="11"/>
        <v>Error?</v>
      </c>
    </row>
    <row r="784" spans="1:4" x14ac:dyDescent="0.2">
      <c r="A784" s="5">
        <v>723</v>
      </c>
      <c r="B784" s="138">
        <f>'Expenditures 15-22'!D41</f>
        <v>46</v>
      </c>
      <c r="D784" s="2" t="str">
        <f t="shared" si="11"/>
        <v>Error?</v>
      </c>
    </row>
    <row r="785" spans="1:4" x14ac:dyDescent="0.2">
      <c r="A785" s="5">
        <v>724</v>
      </c>
      <c r="B785" s="138">
        <f>'Expenditures 15-22'!D42</f>
        <v>708429</v>
      </c>
      <c r="C785" s="2" t="s">
        <v>572</v>
      </c>
      <c r="D785" s="2" t="str">
        <f t="shared" si="11"/>
        <v>Error?</v>
      </c>
    </row>
    <row r="786" spans="1:4" x14ac:dyDescent="0.2">
      <c r="A786" s="5">
        <v>725</v>
      </c>
      <c r="B786" s="138">
        <f>'Expenditures 15-22'!D44</f>
        <v>90873</v>
      </c>
      <c r="D786" s="2" t="str">
        <f t="shared" si="11"/>
        <v>Error?</v>
      </c>
    </row>
    <row r="787" spans="1:4" x14ac:dyDescent="0.2">
      <c r="A787" s="5">
        <v>726</v>
      </c>
      <c r="B787" s="138">
        <f>'Expenditures 15-22'!D45</f>
        <v>107689</v>
      </c>
      <c r="D787" s="2" t="str">
        <f t="shared" si="11"/>
        <v>Error?</v>
      </c>
    </row>
    <row r="788" spans="1:4" x14ac:dyDescent="0.2">
      <c r="A788" s="5">
        <v>727</v>
      </c>
      <c r="B788" s="138">
        <f>'Expenditures 15-22'!D46</f>
        <v>11268</v>
      </c>
      <c r="D788" s="2" t="str">
        <f t="shared" si="11"/>
        <v>Error?</v>
      </c>
    </row>
    <row r="789" spans="1:4" x14ac:dyDescent="0.2">
      <c r="A789" s="5">
        <v>728</v>
      </c>
      <c r="B789" s="138">
        <f>'Expenditures 15-22'!D47</f>
        <v>209830</v>
      </c>
      <c r="C789" s="2" t="s">
        <v>572</v>
      </c>
      <c r="D789" s="2" t="str">
        <f t="shared" si="11"/>
        <v>Error?</v>
      </c>
    </row>
    <row r="790" spans="1:4" x14ac:dyDescent="0.2">
      <c r="A790" s="5">
        <v>729</v>
      </c>
      <c r="B790" s="138">
        <f>'Expenditures 15-22'!D49</f>
        <v>19321</v>
      </c>
      <c r="D790" s="2" t="str">
        <f t="shared" si="11"/>
        <v>Error?</v>
      </c>
    </row>
    <row r="791" spans="1:4" x14ac:dyDescent="0.2">
      <c r="A791" s="5">
        <v>730</v>
      </c>
      <c r="B791" s="138">
        <f>'Expenditures 15-22'!D50</f>
        <v>60518</v>
      </c>
      <c r="D791" s="2" t="str">
        <f t="shared" si="11"/>
        <v>Error?</v>
      </c>
    </row>
    <row r="792" spans="1:4" x14ac:dyDescent="0.2">
      <c r="A792" s="5">
        <v>731</v>
      </c>
      <c r="B792" s="138">
        <f>'Expenditures 15-22'!D53</f>
        <v>152349</v>
      </c>
      <c r="C792" s="2" t="s">
        <v>572</v>
      </c>
      <c r="D792" s="2" t="str">
        <f t="shared" si="11"/>
        <v>Error?</v>
      </c>
    </row>
    <row r="793" spans="1:4" x14ac:dyDescent="0.2">
      <c r="A793" s="5">
        <v>732</v>
      </c>
      <c r="B793" s="138">
        <f>'Expenditures 15-22'!D55</f>
        <v>300222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300222</v>
      </c>
      <c r="C795" s="2" t="s">
        <v>572</v>
      </c>
      <c r="D795" s="2" t="str">
        <f t="shared" si="11"/>
        <v>Error?</v>
      </c>
    </row>
    <row r="796" spans="1:4" x14ac:dyDescent="0.2">
      <c r="A796" s="5">
        <v>735</v>
      </c>
      <c r="B796" s="138">
        <f>'Expenditures 15-22'!D59</f>
        <v>13657</v>
      </c>
      <c r="D796" s="2" t="str">
        <f t="shared" si="11"/>
        <v>Error?</v>
      </c>
    </row>
    <row r="797" spans="1:4" x14ac:dyDescent="0.2">
      <c r="A797" s="5">
        <v>736</v>
      </c>
      <c r="B797" s="138">
        <f>'Expenditures 15-22'!D60</f>
        <v>25611</v>
      </c>
      <c r="D797" s="2" t="str">
        <f t="shared" si="11"/>
        <v>Error?</v>
      </c>
    </row>
    <row r="798" spans="1:4" x14ac:dyDescent="0.2">
      <c r="A798" s="5">
        <v>737</v>
      </c>
      <c r="B798" s="138">
        <f>'Expenditures 15-22'!D61</f>
        <v>28408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21758</v>
      </c>
      <c r="D801" s="2" t="str">
        <f t="shared" si="11"/>
        <v>Error?</v>
      </c>
    </row>
    <row r="802" spans="1:4" x14ac:dyDescent="0.2">
      <c r="A802" s="10">
        <v>741</v>
      </c>
      <c r="D802" s="2" t="str">
        <f t="shared" si="11"/>
        <v>OK</v>
      </c>
    </row>
    <row r="803" spans="1:4" x14ac:dyDescent="0.2">
      <c r="A803" s="5">
        <v>742</v>
      </c>
      <c r="B803" s="138">
        <f>'Expenditures 15-22'!D65</f>
        <v>89434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78182</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44366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122548</v>
      </c>
      <c r="C811" s="2" t="s">
        <v>572</v>
      </c>
      <c r="D811" s="2" t="str">
        <f t="shared" si="11"/>
        <v>Error?</v>
      </c>
    </row>
    <row r="812" spans="1:4" x14ac:dyDescent="0.2">
      <c r="A812" s="5">
        <v>751</v>
      </c>
      <c r="B812" s="138">
        <f>'Expenditures 15-22'!D73</f>
        <v>40278</v>
      </c>
      <c r="D812" s="2" t="str">
        <f t="shared" si="11"/>
        <v>Error?</v>
      </c>
    </row>
    <row r="813" spans="1:4" x14ac:dyDescent="0.2">
      <c r="A813" s="5">
        <v>752</v>
      </c>
      <c r="B813" s="138">
        <f>'Expenditures 15-22'!D74</f>
        <v>1623090</v>
      </c>
      <c r="C813" s="2" t="s">
        <v>572</v>
      </c>
      <c r="D813" s="2" t="str">
        <f t="shared" si="11"/>
        <v>Error?</v>
      </c>
    </row>
    <row r="814" spans="1:4" x14ac:dyDescent="0.2">
      <c r="A814" s="5">
        <v>753</v>
      </c>
      <c r="B814" s="138">
        <f>'Expenditures 15-22'!D75</f>
        <v>297178</v>
      </c>
      <c r="D814" s="2" t="str">
        <f t="shared" si="11"/>
        <v>Error?</v>
      </c>
    </row>
    <row r="815" spans="1:4" x14ac:dyDescent="0.2">
      <c r="A815" s="5">
        <v>754</v>
      </c>
      <c r="B815" s="138">
        <f>'Expenditures 15-22'!D114</f>
        <v>6046531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264287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2221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9885</v>
      </c>
      <c r="D832" s="2" t="str">
        <f t="shared" si="12"/>
        <v>Error?</v>
      </c>
    </row>
    <row r="833" spans="1:4" x14ac:dyDescent="0.2">
      <c r="A833" s="5">
        <v>772</v>
      </c>
      <c r="B833" s="138">
        <f>'Expenditures 15-22'!E13</f>
        <v>2110</v>
      </c>
      <c r="D833" s="2" t="str">
        <f t="shared" si="12"/>
        <v>Error?</v>
      </c>
    </row>
    <row r="834" spans="1:4" x14ac:dyDescent="0.2">
      <c r="A834" s="5">
        <v>773</v>
      </c>
      <c r="B834" s="138">
        <f>'Expenditures 15-22'!E14</f>
        <v>77782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1579899</v>
      </c>
      <c r="C836" s="2" t="s">
        <v>572</v>
      </c>
      <c r="D836" s="2" t="str">
        <f t="shared" si="12"/>
        <v>Error?</v>
      </c>
    </row>
    <row r="837" spans="1:4" x14ac:dyDescent="0.2">
      <c r="A837" s="5">
        <v>776</v>
      </c>
      <c r="B837" s="138">
        <f>'Expenditures 15-22'!E36</f>
        <v>87002</v>
      </c>
      <c r="D837" s="2" t="str">
        <f t="shared" si="12"/>
        <v>Error?</v>
      </c>
    </row>
    <row r="838" spans="1:4" x14ac:dyDescent="0.2">
      <c r="A838" s="5">
        <v>777</v>
      </c>
      <c r="B838" s="138">
        <f>'Expenditures 15-22'!E37</f>
        <v>18476</v>
      </c>
      <c r="D838" s="2" t="str">
        <f t="shared" si="12"/>
        <v>Error?</v>
      </c>
    </row>
    <row r="839" spans="1:4" x14ac:dyDescent="0.2">
      <c r="A839" s="5">
        <v>778</v>
      </c>
      <c r="B839" s="138">
        <f>'Expenditures 15-22'!E38</f>
        <v>27328</v>
      </c>
      <c r="D839" s="2" t="str">
        <f t="shared" si="12"/>
        <v>Error?</v>
      </c>
    </row>
    <row r="840" spans="1:4" x14ac:dyDescent="0.2">
      <c r="A840" s="5">
        <v>779</v>
      </c>
      <c r="B840" s="138">
        <f>'Expenditures 15-22'!E39</f>
        <v>3911</v>
      </c>
      <c r="D840" s="2" t="str">
        <f t="shared" si="12"/>
        <v>Error?</v>
      </c>
    </row>
    <row r="841" spans="1:4" x14ac:dyDescent="0.2">
      <c r="A841" s="5">
        <v>780</v>
      </c>
      <c r="B841" s="138">
        <f>'Expenditures 15-22'!E40</f>
        <v>40027</v>
      </c>
      <c r="D841" s="2" t="str">
        <f t="shared" si="12"/>
        <v>Error?</v>
      </c>
    </row>
    <row r="842" spans="1:4" x14ac:dyDescent="0.2">
      <c r="A842" s="5">
        <v>781</v>
      </c>
      <c r="B842" s="138">
        <f>'Expenditures 15-22'!E41</f>
        <v>13838</v>
      </c>
      <c r="D842" s="2" t="str">
        <f t="shared" si="12"/>
        <v>Error?</v>
      </c>
    </row>
    <row r="843" spans="1:4" x14ac:dyDescent="0.2">
      <c r="A843" s="5">
        <v>782</v>
      </c>
      <c r="B843" s="138">
        <f>'Expenditures 15-22'!E42</f>
        <v>190582</v>
      </c>
      <c r="C843" s="2" t="s">
        <v>572</v>
      </c>
      <c r="D843" s="2" t="str">
        <f t="shared" si="12"/>
        <v>Error?</v>
      </c>
    </row>
    <row r="844" spans="1:4" x14ac:dyDescent="0.2">
      <c r="A844" s="5">
        <v>783</v>
      </c>
      <c r="B844" s="138">
        <f>'Expenditures 15-22'!E44</f>
        <v>215333</v>
      </c>
      <c r="D844" s="2" t="str">
        <f t="shared" si="12"/>
        <v>Error?</v>
      </c>
    </row>
    <row r="845" spans="1:4" x14ac:dyDescent="0.2">
      <c r="A845" s="5">
        <v>784</v>
      </c>
      <c r="B845" s="138">
        <f>'Expenditures 15-22'!E45</f>
        <v>30266</v>
      </c>
      <c r="D845" s="2" t="str">
        <f t="shared" si="12"/>
        <v>Error?</v>
      </c>
    </row>
    <row r="846" spans="1:4" x14ac:dyDescent="0.2">
      <c r="A846" s="5">
        <v>785</v>
      </c>
      <c r="B846" s="138">
        <f>'Expenditures 15-22'!E46</f>
        <v>19500</v>
      </c>
      <c r="D846" s="2" t="str">
        <f t="shared" si="12"/>
        <v>Error?</v>
      </c>
    </row>
    <row r="847" spans="1:4" x14ac:dyDescent="0.2">
      <c r="A847" s="5">
        <v>786</v>
      </c>
      <c r="B847" s="138">
        <f>'Expenditures 15-22'!E47</f>
        <v>265099</v>
      </c>
      <c r="C847" s="2" t="s">
        <v>572</v>
      </c>
      <c r="D847" s="2" t="str">
        <f t="shared" si="12"/>
        <v>Error?</v>
      </c>
    </row>
    <row r="848" spans="1:4" x14ac:dyDescent="0.2">
      <c r="A848" s="5">
        <v>787</v>
      </c>
      <c r="B848" s="138">
        <f>'Expenditures 15-22'!E49</f>
        <v>120877</v>
      </c>
      <c r="D848" s="2" t="str">
        <f t="shared" si="12"/>
        <v>Error?</v>
      </c>
    </row>
    <row r="849" spans="1:4" x14ac:dyDescent="0.2">
      <c r="A849" s="5">
        <v>788</v>
      </c>
      <c r="B849" s="138">
        <f>'Expenditures 15-22'!E50</f>
        <v>9688</v>
      </c>
      <c r="D849" s="2" t="str">
        <f t="shared" si="12"/>
        <v>Error?</v>
      </c>
    </row>
    <row r="850" spans="1:4" x14ac:dyDescent="0.2">
      <c r="A850" s="5">
        <v>789</v>
      </c>
      <c r="B850" s="138">
        <f>'Expenditures 15-22'!E53</f>
        <v>141000</v>
      </c>
      <c r="C850" s="2" t="s">
        <v>572</v>
      </c>
      <c r="D850" s="2" t="str">
        <f t="shared" si="12"/>
        <v>Error?</v>
      </c>
    </row>
    <row r="851" spans="1:4" x14ac:dyDescent="0.2">
      <c r="A851" s="5">
        <v>790</v>
      </c>
      <c r="B851" s="138">
        <f>'Expenditures 15-22'!E55</f>
        <v>59758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59758</v>
      </c>
      <c r="C853" s="2" t="s">
        <v>572</v>
      </c>
      <c r="D853" s="2" t="str">
        <f t="shared" si="12"/>
        <v>Error?</v>
      </c>
    </row>
    <row r="854" spans="1:4" x14ac:dyDescent="0.2">
      <c r="A854" s="5">
        <v>793</v>
      </c>
      <c r="B854" s="138">
        <f>'Expenditures 15-22'!E59</f>
        <v>1251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312215</v>
      </c>
      <c r="D856" s="2" t="str">
        <f t="shared" si="12"/>
        <v>Error?</v>
      </c>
    </row>
    <row r="857" spans="1:4" x14ac:dyDescent="0.2">
      <c r="A857" s="5">
        <v>796</v>
      </c>
      <c r="B857" s="138">
        <f>'Expenditures 15-22'!E62</f>
        <v>959</v>
      </c>
      <c r="D857" s="2" t="str">
        <f t="shared" si="12"/>
        <v>Error?</v>
      </c>
    </row>
    <row r="858" spans="1:4" x14ac:dyDescent="0.2">
      <c r="A858" s="5">
        <v>797</v>
      </c>
      <c r="B858" s="138">
        <f>'Expenditures 15-22'!E63</f>
        <v>2105221</v>
      </c>
      <c r="D858" s="2" t="str">
        <f t="shared" si="12"/>
        <v>Error?</v>
      </c>
    </row>
    <row r="859" spans="1:4" x14ac:dyDescent="0.2">
      <c r="A859" s="5">
        <v>798</v>
      </c>
      <c r="B859" s="138">
        <f>'Expenditures 15-22'!E64</f>
        <v>4242</v>
      </c>
      <c r="D859" s="2" t="str">
        <f t="shared" si="12"/>
        <v>Error?</v>
      </c>
    </row>
    <row r="860" spans="1:4" x14ac:dyDescent="0.2">
      <c r="A860" s="10">
        <v>799</v>
      </c>
      <c r="D860" s="2" t="str">
        <f t="shared" si="12"/>
        <v>OK</v>
      </c>
    </row>
    <row r="861" spans="1:4" x14ac:dyDescent="0.2">
      <c r="A861" s="5">
        <v>800</v>
      </c>
      <c r="B861" s="138">
        <f>'Expenditures 15-22'!E65</f>
        <v>2423888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14803</v>
      </c>
      <c r="D863" s="2" t="str">
        <f t="shared" si="12"/>
        <v>Error?</v>
      </c>
    </row>
    <row r="864" spans="1:4" x14ac:dyDescent="0.2">
      <c r="A864" s="5">
        <v>803</v>
      </c>
      <c r="B864" s="138">
        <f>'Expenditures 15-22'!E69</f>
        <v>1100</v>
      </c>
      <c r="D864" s="2" t="str">
        <f t="shared" si="12"/>
        <v>Error?</v>
      </c>
    </row>
    <row r="865" spans="1:4" x14ac:dyDescent="0.2">
      <c r="A865" s="5">
        <v>804</v>
      </c>
      <c r="B865" s="138">
        <f>'Expenditures 15-22'!E70</f>
        <v>51574</v>
      </c>
      <c r="D865" s="2" t="str">
        <f t="shared" si="12"/>
        <v>Error?</v>
      </c>
    </row>
    <row r="866" spans="1:4" x14ac:dyDescent="0.2">
      <c r="A866" s="10">
        <v>805</v>
      </c>
      <c r="D866" s="2" t="str">
        <f t="shared" si="12"/>
        <v>OK</v>
      </c>
    </row>
    <row r="867" spans="1:4" x14ac:dyDescent="0.2">
      <c r="A867" s="5">
        <v>806</v>
      </c>
      <c r="B867" s="138">
        <f>'Expenditures 15-22'!E71</f>
        <v>23851</v>
      </c>
      <c r="D867" s="2" t="str">
        <f t="shared" si="12"/>
        <v>Error?</v>
      </c>
    </row>
    <row r="868" spans="1:4" x14ac:dyDescent="0.2">
      <c r="A868" s="10">
        <v>807</v>
      </c>
      <c r="D868" s="2" t="str">
        <f t="shared" si="12"/>
        <v>OK</v>
      </c>
    </row>
    <row r="869" spans="1:4" x14ac:dyDescent="0.2">
      <c r="A869" s="5">
        <v>808</v>
      </c>
      <c r="B869" s="138">
        <f>'Expenditures 15-22'!E72</f>
        <v>91328</v>
      </c>
      <c r="C869" s="2" t="s">
        <v>572</v>
      </c>
      <c r="D869" s="2" t="str">
        <f t="shared" si="12"/>
        <v>Error?</v>
      </c>
    </row>
    <row r="870" spans="1:4" x14ac:dyDescent="0.2">
      <c r="A870" s="5">
        <v>809</v>
      </c>
      <c r="B870" s="138">
        <f>'Expenditures 15-22'!E73</f>
        <v>2001</v>
      </c>
      <c r="D870" s="2" t="str">
        <f t="shared" si="12"/>
        <v>Error?</v>
      </c>
    </row>
    <row r="871" spans="1:4" x14ac:dyDescent="0.2">
      <c r="A871" s="5">
        <v>810</v>
      </c>
      <c r="B871" s="138">
        <f>'Expenditures 15-22'!E74</f>
        <v>3173656</v>
      </c>
      <c r="C871" s="2" t="s">
        <v>572</v>
      </c>
      <c r="D871" s="2" t="str">
        <f t="shared" si="12"/>
        <v>Error?</v>
      </c>
    </row>
    <row r="872" spans="1:4" x14ac:dyDescent="0.2">
      <c r="A872" s="5">
        <v>811</v>
      </c>
      <c r="B872" s="138">
        <f>'Expenditures 15-22'!E75</f>
        <v>66826</v>
      </c>
      <c r="D872" s="2" t="str">
        <f t="shared" si="12"/>
        <v>Error?</v>
      </c>
    </row>
    <row r="873" spans="1:4" x14ac:dyDescent="0.2">
      <c r="A873" s="5">
        <v>812</v>
      </c>
      <c r="B873" s="138">
        <f>'Expenditures 15-22'!E114</f>
        <v>4862381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470295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12519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15524</v>
      </c>
      <c r="D890" s="2" t="str">
        <f t="shared" si="12"/>
        <v>Error?</v>
      </c>
    </row>
    <row r="891" spans="1:4" x14ac:dyDescent="0.2">
      <c r="A891" s="5">
        <v>830</v>
      </c>
      <c r="B891" s="138">
        <f>'Expenditures 15-22'!F13</f>
        <v>15510</v>
      </c>
      <c r="D891" s="2" t="str">
        <f t="shared" si="12"/>
        <v>Error?</v>
      </c>
    </row>
    <row r="892" spans="1:4" x14ac:dyDescent="0.2">
      <c r="A892" s="5">
        <v>831</v>
      </c>
      <c r="B892" s="138">
        <f>'Expenditures 15-22'!F14</f>
        <v>38182</v>
      </c>
      <c r="D892" s="2" t="str">
        <f t="shared" si="12"/>
        <v>Error?</v>
      </c>
    </row>
    <row r="893" spans="1:4" x14ac:dyDescent="0.2">
      <c r="A893" s="5">
        <v>832</v>
      </c>
      <c r="B893" s="138">
        <f>'Expenditures 15-22'!F15</f>
        <v>775</v>
      </c>
      <c r="D893" s="2" t="str">
        <f t="shared" si="12"/>
        <v>Error?</v>
      </c>
    </row>
    <row r="894" spans="1:4" x14ac:dyDescent="0.2">
      <c r="A894" s="5">
        <v>833</v>
      </c>
      <c r="B894" s="138">
        <f>'Expenditures 15-22'!F33</f>
        <v>892923</v>
      </c>
      <c r="C894" s="2" t="s">
        <v>572</v>
      </c>
      <c r="D894" s="2" t="str">
        <f t="shared" si="12"/>
        <v>Error?</v>
      </c>
    </row>
    <row r="895" spans="1:4" x14ac:dyDescent="0.2">
      <c r="A895" s="5">
        <v>834</v>
      </c>
      <c r="B895" s="138">
        <f>'Expenditures 15-22'!F36</f>
        <v>1206</v>
      </c>
      <c r="D895" s="2" t="str">
        <f t="shared" ref="D895:D958" si="13">IF(ISBLANK(B895),"OK",IF(A895-B895=0,"OK","Error?"))</f>
        <v>Error?</v>
      </c>
    </row>
    <row r="896" spans="1:4" x14ac:dyDescent="0.2">
      <c r="A896" s="5">
        <v>835</v>
      </c>
      <c r="B896" s="138">
        <f>'Expenditures 15-22'!F37</f>
        <v>4644</v>
      </c>
      <c r="D896" s="2" t="str">
        <f t="shared" si="13"/>
        <v>Error?</v>
      </c>
    </row>
    <row r="897" spans="1:4" x14ac:dyDescent="0.2">
      <c r="A897" s="5">
        <v>836</v>
      </c>
      <c r="B897" s="138">
        <f>'Expenditures 15-22'!F38</f>
        <v>6620</v>
      </c>
      <c r="D897" s="2" t="str">
        <f t="shared" si="13"/>
        <v>Error?</v>
      </c>
    </row>
    <row r="898" spans="1:4" x14ac:dyDescent="0.2">
      <c r="A898" s="5">
        <v>837</v>
      </c>
      <c r="B898" s="138">
        <f>'Expenditures 15-22'!F39</f>
        <v>6550</v>
      </c>
      <c r="D898" s="2" t="str">
        <f t="shared" si="13"/>
        <v>Error?</v>
      </c>
    </row>
    <row r="899" spans="1:4" x14ac:dyDescent="0.2">
      <c r="A899" s="5">
        <v>838</v>
      </c>
      <c r="B899" s="138">
        <f>'Expenditures 15-22'!F40</f>
        <v>4071</v>
      </c>
      <c r="D899" s="2" t="str">
        <f t="shared" si="13"/>
        <v>Error?</v>
      </c>
    </row>
    <row r="900" spans="1:4" x14ac:dyDescent="0.2">
      <c r="A900" s="5">
        <v>839</v>
      </c>
      <c r="B900" s="138">
        <f>'Expenditures 15-22'!F41</f>
        <v>9774</v>
      </c>
      <c r="D900" s="2" t="str">
        <f t="shared" si="13"/>
        <v>Error?</v>
      </c>
    </row>
    <row r="901" spans="1:4" x14ac:dyDescent="0.2">
      <c r="A901" s="5">
        <v>840</v>
      </c>
      <c r="B901" s="138">
        <f>'Expenditures 15-22'!F42</f>
        <v>32865</v>
      </c>
      <c r="C901" s="2" t="s">
        <v>572</v>
      </c>
      <c r="D901" s="2" t="str">
        <f t="shared" si="13"/>
        <v>Error?</v>
      </c>
    </row>
    <row r="902" spans="1:4" x14ac:dyDescent="0.2">
      <c r="A902" s="5">
        <v>841</v>
      </c>
      <c r="B902" s="138">
        <f>'Expenditures 15-22'!F44</f>
        <v>34076</v>
      </c>
      <c r="D902" s="2" t="str">
        <f t="shared" si="13"/>
        <v>Error?</v>
      </c>
    </row>
    <row r="903" spans="1:4" x14ac:dyDescent="0.2">
      <c r="A903" s="5">
        <v>842</v>
      </c>
      <c r="B903" s="138">
        <f>'Expenditures 15-22'!F45</f>
        <v>48887</v>
      </c>
      <c r="D903" s="2" t="str">
        <f t="shared" si="13"/>
        <v>Error?</v>
      </c>
    </row>
    <row r="904" spans="1:4" x14ac:dyDescent="0.2">
      <c r="A904" s="5">
        <v>843</v>
      </c>
      <c r="B904" s="138">
        <f>'Expenditures 15-22'!F46</f>
        <v>1000</v>
      </c>
      <c r="D904" s="2" t="str">
        <f t="shared" si="13"/>
        <v>Error?</v>
      </c>
    </row>
    <row r="905" spans="1:4" x14ac:dyDescent="0.2">
      <c r="A905" s="5">
        <v>844</v>
      </c>
      <c r="B905" s="138">
        <f>'Expenditures 15-22'!F47</f>
        <v>83963</v>
      </c>
      <c r="C905" s="2" t="s">
        <v>572</v>
      </c>
      <c r="D905" s="2" t="str">
        <f t="shared" si="13"/>
        <v>Error?</v>
      </c>
    </row>
    <row r="906" spans="1:4" x14ac:dyDescent="0.2">
      <c r="A906" s="5">
        <v>845</v>
      </c>
      <c r="B906" s="138">
        <f>'Expenditures 15-22'!F49</f>
        <v>10881</v>
      </c>
      <c r="D906" s="2" t="str">
        <f t="shared" si="13"/>
        <v>Error?</v>
      </c>
    </row>
    <row r="907" spans="1:4" x14ac:dyDescent="0.2">
      <c r="A907" s="5">
        <v>846</v>
      </c>
      <c r="B907" s="138">
        <f>'Expenditures 15-22'!F50</f>
        <v>2286</v>
      </c>
      <c r="D907" s="2" t="str">
        <f t="shared" si="13"/>
        <v>Error?</v>
      </c>
    </row>
    <row r="908" spans="1:4" x14ac:dyDescent="0.2">
      <c r="A908" s="5">
        <v>847</v>
      </c>
      <c r="B908" s="138">
        <f>'Expenditures 15-22'!F53</f>
        <v>19314</v>
      </c>
      <c r="C908" s="2" t="s">
        <v>572</v>
      </c>
      <c r="D908" s="2" t="str">
        <f t="shared" si="13"/>
        <v>Error?</v>
      </c>
    </row>
    <row r="909" spans="1:4" x14ac:dyDescent="0.2">
      <c r="A909" s="5">
        <v>848</v>
      </c>
      <c r="B909" s="138">
        <f>'Expenditures 15-22'!F55</f>
        <v>41026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41026</v>
      </c>
      <c r="C911" s="2" t="s">
        <v>572</v>
      </c>
      <c r="D911" s="2" t="str">
        <f t="shared" si="13"/>
        <v>Error?</v>
      </c>
    </row>
    <row r="912" spans="1:4" x14ac:dyDescent="0.2">
      <c r="A912" s="5">
        <v>851</v>
      </c>
      <c r="B912" s="138">
        <f>'Expenditures 15-22'!F59</f>
        <v>2221</v>
      </c>
      <c r="D912" s="2" t="str">
        <f t="shared" si="13"/>
        <v>Error?</v>
      </c>
    </row>
    <row r="913" spans="1:4" x14ac:dyDescent="0.2">
      <c r="A913" s="5">
        <v>852</v>
      </c>
      <c r="B913" s="138">
        <f>'Expenditures 15-22'!F60</f>
        <v>50751</v>
      </c>
      <c r="D913" s="2" t="str">
        <f t="shared" si="13"/>
        <v>Error?</v>
      </c>
    </row>
    <row r="914" spans="1:4" x14ac:dyDescent="0.2">
      <c r="A914" s="5">
        <v>853</v>
      </c>
      <c r="B914" s="138">
        <f>'Expenditures 15-22'!F61</f>
        <v>1238304</v>
      </c>
      <c r="D914" s="2" t="str">
        <f t="shared" si="13"/>
        <v>Error?</v>
      </c>
    </row>
    <row r="915" spans="1:4" x14ac:dyDescent="0.2">
      <c r="A915" s="5">
        <v>854</v>
      </c>
      <c r="B915" s="138">
        <f>'Expenditures 15-22'!F62</f>
        <v>2084</v>
      </c>
      <c r="D915" s="2" t="str">
        <f t="shared" si="13"/>
        <v>Error?</v>
      </c>
    </row>
    <row r="916" spans="1:4" x14ac:dyDescent="0.2">
      <c r="A916" s="5">
        <v>855</v>
      </c>
      <c r="B916" s="138">
        <f>'Expenditures 15-22'!F63</f>
        <v>2584</v>
      </c>
      <c r="D916" s="2" t="str">
        <f t="shared" si="13"/>
        <v>Error?</v>
      </c>
    </row>
    <row r="917" spans="1:4" x14ac:dyDescent="0.2">
      <c r="A917" s="5">
        <v>856</v>
      </c>
      <c r="B917" s="138">
        <f>'Expenditures 15-22'!F64</f>
        <v>33284</v>
      </c>
      <c r="D917" s="2" t="str">
        <f t="shared" si="13"/>
        <v>Error?</v>
      </c>
    </row>
    <row r="918" spans="1:4" x14ac:dyDescent="0.2">
      <c r="A918" s="10">
        <v>857</v>
      </c>
      <c r="D918" s="2" t="str">
        <f t="shared" si="13"/>
        <v>OK</v>
      </c>
    </row>
    <row r="919" spans="1:4" x14ac:dyDescent="0.2">
      <c r="A919" s="5">
        <v>858</v>
      </c>
      <c r="B919" s="138">
        <f>'Expenditures 15-22'!F65</f>
        <v>1329228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2145</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11511</v>
      </c>
      <c r="D923" s="2" t="str">
        <f t="shared" si="13"/>
        <v>Error?</v>
      </c>
    </row>
    <row r="924" spans="1:4" x14ac:dyDescent="0.2">
      <c r="A924" s="10">
        <v>863</v>
      </c>
      <c r="D924" s="2" t="str">
        <f t="shared" si="13"/>
        <v>OK</v>
      </c>
    </row>
    <row r="925" spans="1:4" x14ac:dyDescent="0.2">
      <c r="A925" s="5">
        <v>864</v>
      </c>
      <c r="B925" s="138">
        <f>'Expenditures 15-22'!F71</f>
        <v>2312</v>
      </c>
      <c r="D925" s="2" t="str">
        <f t="shared" si="13"/>
        <v>Error?</v>
      </c>
    </row>
    <row r="926" spans="1:4" x14ac:dyDescent="0.2">
      <c r="A926" s="10">
        <v>865</v>
      </c>
      <c r="D926" s="2" t="str">
        <f t="shared" si="13"/>
        <v>OK</v>
      </c>
    </row>
    <row r="927" spans="1:4" x14ac:dyDescent="0.2">
      <c r="A927" s="5">
        <v>866</v>
      </c>
      <c r="B927" s="138">
        <f>'Expenditures 15-22'!F72</f>
        <v>15968</v>
      </c>
      <c r="C927" s="2" t="s">
        <v>572</v>
      </c>
      <c r="D927" s="2" t="str">
        <f t="shared" si="13"/>
        <v>Error?</v>
      </c>
    </row>
    <row r="928" spans="1:4" x14ac:dyDescent="0.2">
      <c r="A928" s="5">
        <v>867</v>
      </c>
      <c r="B928" s="138">
        <f>'Expenditures 15-22'!F73</f>
        <v>11124</v>
      </c>
      <c r="D928" s="2" t="str">
        <f t="shared" si="13"/>
        <v>Error?</v>
      </c>
    </row>
    <row r="929" spans="1:4" x14ac:dyDescent="0.2">
      <c r="A929" s="5">
        <v>868</v>
      </c>
      <c r="B929" s="138">
        <f>'Expenditures 15-22'!F74</f>
        <v>1533488</v>
      </c>
      <c r="C929" s="2" t="s">
        <v>572</v>
      </c>
      <c r="D929" s="2" t="str">
        <f t="shared" si="13"/>
        <v>Error?</v>
      </c>
    </row>
    <row r="930" spans="1:4" x14ac:dyDescent="0.2">
      <c r="A930" s="5">
        <v>869</v>
      </c>
      <c r="B930" s="138">
        <f>'Expenditures 15-22'!F75</f>
        <v>60106</v>
      </c>
      <c r="D930" s="2" t="str">
        <f t="shared" si="13"/>
        <v>Error?</v>
      </c>
    </row>
    <row r="931" spans="1:4" x14ac:dyDescent="0.2">
      <c r="A931" s="5">
        <v>870</v>
      </c>
      <c r="B931" s="138">
        <f>'Expenditures 15-22'!F114</f>
        <v>2486517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64347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33886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130095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1783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1783</v>
      </c>
      <c r="C959" s="2" t="s">
        <v>572</v>
      </c>
      <c r="D959" s="2" t="str">
        <f t="shared" ref="D959:D1022" si="14">IF(ISBLANK(B959),"OK",IF(A959-B959=0,"OK","Error?"))</f>
        <v>Error?</v>
      </c>
    </row>
    <row r="960" spans="1:4" x14ac:dyDescent="0.2">
      <c r="A960" s="5">
        <v>899</v>
      </c>
      <c r="B960" s="138">
        <f>'Expenditures 15-22'!G44</f>
        <v>40545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40545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1110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25000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318</v>
      </c>
      <c r="D974" s="2" t="str">
        <f t="shared" si="14"/>
        <v>Error?</v>
      </c>
    </row>
    <row r="975" spans="1:4" x14ac:dyDescent="0.2">
      <c r="A975" s="5">
        <v>914</v>
      </c>
      <c r="B975" s="138">
        <f>'Expenditures 15-22'!G64</f>
        <v>2917</v>
      </c>
      <c r="D975" s="2" t="str">
        <f t="shared" si="14"/>
        <v>Error?</v>
      </c>
    </row>
    <row r="976" spans="1:4" x14ac:dyDescent="0.2">
      <c r="A976" s="10">
        <v>915</v>
      </c>
      <c r="D976" s="2" t="str">
        <f t="shared" si="14"/>
        <v>OK</v>
      </c>
    </row>
    <row r="977" spans="1:4" x14ac:dyDescent="0.2">
      <c r="A977" s="5">
        <v>916</v>
      </c>
      <c r="B977" s="138">
        <f>'Expenditures 15-22'!G65</f>
        <v>28235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7239</v>
      </c>
      <c r="D979" s="2" t="str">
        <f t="shared" si="14"/>
        <v>Error?</v>
      </c>
    </row>
    <row r="980" spans="1:4" x14ac:dyDescent="0.2">
      <c r="A980" s="5">
        <v>919</v>
      </c>
      <c r="B980" s="138">
        <f>'Expenditures 15-22'!G69</f>
        <v>0</v>
      </c>
      <c r="D980" s="2" t="str">
        <f t="shared" si="14"/>
        <v>Error?</v>
      </c>
    </row>
    <row r="981" spans="1:4" x14ac:dyDescent="0.2">
      <c r="A981" s="5">
        <v>920</v>
      </c>
      <c r="B981" s="138">
        <f>'Expenditures 15-22'!G70</f>
        <v>268</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7507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79180</v>
      </c>
      <c r="C987" s="2" t="s">
        <v>572</v>
      </c>
      <c r="D987" s="2" t="str">
        <f t="shared" si="14"/>
        <v>Error?</v>
      </c>
    </row>
    <row r="988" spans="1:4" x14ac:dyDescent="0.2">
      <c r="A988" s="5">
        <v>927</v>
      </c>
      <c r="B988" s="138">
        <f>'Expenditures 15-22'!G75</f>
        <v>6925</v>
      </c>
      <c r="D988" s="2" t="str">
        <f t="shared" si="14"/>
        <v>Error?</v>
      </c>
    </row>
    <row r="989" spans="1:4" x14ac:dyDescent="0.2">
      <c r="A989" s="5">
        <v>928</v>
      </c>
      <c r="B989" s="138">
        <f>'Expenditures 15-22'!G114</f>
        <v>216200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3075</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1021856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96862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96862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1270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98132</v>
      </c>
      <c r="C1045" s="2" t="s">
        <v>572</v>
      </c>
      <c r="D1045" s="2" t="str">
        <f t="shared" si="15"/>
        <v>Error?</v>
      </c>
    </row>
    <row r="1046" spans="1:4" x14ac:dyDescent="0.2">
      <c r="A1046" s="5">
        <v>985</v>
      </c>
      <c r="B1046" s="138">
        <f>'Expenditures 15-22'!H75</f>
        <v>30000</v>
      </c>
      <c r="D1046" s="2" t="str">
        <f t="shared" si="15"/>
        <v>Error?</v>
      </c>
    </row>
    <row r="1047" spans="1:4" x14ac:dyDescent="0.2">
      <c r="A1047" s="5">
        <v>986</v>
      </c>
      <c r="B1047" s="138">
        <f>'Expenditures 15-22'!H102</f>
        <v>1165256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2315244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17284122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2041009</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342158</v>
      </c>
      <c r="C1104" s="2" t="s">
        <v>572</v>
      </c>
      <c r="D1104" s="2" t="str">
        <f t="shared" si="16"/>
        <v>Error?</v>
      </c>
    </row>
    <row r="1105" spans="1:4" x14ac:dyDescent="0.2">
      <c r="A1105" s="5">
        <v>1044</v>
      </c>
      <c r="B1105" s="138">
        <f>'Expenditures 15-22'!K13</f>
        <v>151219</v>
      </c>
      <c r="C1105" s="2" t="s">
        <v>572</v>
      </c>
      <c r="D1105" s="2" t="str">
        <f t="shared" si="16"/>
        <v>Error?</v>
      </c>
    </row>
    <row r="1106" spans="1:4" x14ac:dyDescent="0.2">
      <c r="A1106" s="5">
        <v>1045</v>
      </c>
      <c r="B1106" s="138">
        <f>'Expenditures 15-22'!K14</f>
        <v>1019411</v>
      </c>
      <c r="C1106" s="2" t="s">
        <v>572</v>
      </c>
      <c r="D1106" s="2" t="str">
        <f t="shared" si="16"/>
        <v>Error?</v>
      </c>
    </row>
    <row r="1107" spans="1:4" x14ac:dyDescent="0.2">
      <c r="A1107" s="5">
        <v>1046</v>
      </c>
      <c r="B1107" s="138">
        <f>'Expenditures 15-22'!K15</f>
        <v>48468</v>
      </c>
      <c r="C1107" s="2" t="s">
        <v>572</v>
      </c>
      <c r="D1107" s="2" t="str">
        <f t="shared" si="16"/>
        <v>Error?</v>
      </c>
    </row>
    <row r="1108" spans="1:4" x14ac:dyDescent="0.2">
      <c r="A1108" s="5">
        <v>1047</v>
      </c>
      <c r="B1108" s="138">
        <f>'Expenditures 15-22'!K33</f>
        <v>34507499</v>
      </c>
      <c r="C1108" s="2" t="s">
        <v>572</v>
      </c>
      <c r="D1108" s="2" t="str">
        <f t="shared" si="16"/>
        <v>Error?</v>
      </c>
    </row>
    <row r="1109" spans="1:4" x14ac:dyDescent="0.2">
      <c r="A1109" s="5">
        <v>1048</v>
      </c>
      <c r="B1109" s="138">
        <f>'Expenditures 15-22'!K36</f>
        <v>1890098</v>
      </c>
      <c r="C1109" s="2" t="s">
        <v>572</v>
      </c>
      <c r="D1109" s="2" t="str">
        <f t="shared" si="16"/>
        <v>Error?</v>
      </c>
    </row>
    <row r="1110" spans="1:4" x14ac:dyDescent="0.2">
      <c r="A1110" s="5">
        <v>1049</v>
      </c>
      <c r="B1110" s="138">
        <f>'Expenditures 15-22'!K37</f>
        <v>772013</v>
      </c>
      <c r="C1110" s="2" t="s">
        <v>572</v>
      </c>
      <c r="D1110" s="2" t="str">
        <f t="shared" si="16"/>
        <v>Error?</v>
      </c>
    </row>
    <row r="1111" spans="1:4" x14ac:dyDescent="0.2">
      <c r="A1111" s="5">
        <v>1050</v>
      </c>
      <c r="B1111" s="138">
        <f>'Expenditures 15-22'!K38</f>
        <v>955488</v>
      </c>
      <c r="C1111" s="2" t="s">
        <v>572</v>
      </c>
      <c r="D1111" s="2" t="str">
        <f t="shared" si="16"/>
        <v>Error?</v>
      </c>
    </row>
    <row r="1112" spans="1:4" x14ac:dyDescent="0.2">
      <c r="A1112" s="5">
        <v>1051</v>
      </c>
      <c r="B1112" s="138">
        <f>'Expenditures 15-22'!K39</f>
        <v>528296</v>
      </c>
      <c r="C1112" s="2" t="s">
        <v>572</v>
      </c>
      <c r="D1112" s="2" t="str">
        <f t="shared" si="16"/>
        <v>Error?</v>
      </c>
    </row>
    <row r="1113" spans="1:4" x14ac:dyDescent="0.2">
      <c r="A1113" s="5">
        <v>1052</v>
      </c>
      <c r="B1113" s="138">
        <f>'Expenditures 15-22'!K40</f>
        <v>994079</v>
      </c>
      <c r="C1113" s="2" t="s">
        <v>572</v>
      </c>
      <c r="D1113" s="2" t="str">
        <f t="shared" si="16"/>
        <v>Error?</v>
      </c>
    </row>
    <row r="1114" spans="1:4" x14ac:dyDescent="0.2">
      <c r="A1114" s="5">
        <v>1053</v>
      </c>
      <c r="B1114" s="138">
        <f>'Expenditures 15-22'!K41</f>
        <v>24402</v>
      </c>
      <c r="C1114" s="2" t="s">
        <v>572</v>
      </c>
      <c r="D1114" s="2" t="str">
        <f t="shared" si="16"/>
        <v>Error?</v>
      </c>
    </row>
    <row r="1115" spans="1:4" x14ac:dyDescent="0.2">
      <c r="A1115" s="5">
        <v>1054</v>
      </c>
      <c r="B1115" s="138">
        <f>'Expenditures 15-22'!K42</f>
        <v>5164376</v>
      </c>
      <c r="C1115" s="2" t="s">
        <v>572</v>
      </c>
      <c r="D1115" s="2" t="str">
        <f t="shared" si="16"/>
        <v>Error?</v>
      </c>
    </row>
    <row r="1116" spans="1:4" x14ac:dyDescent="0.2">
      <c r="A1116" s="5">
        <v>1055</v>
      </c>
      <c r="B1116" s="138">
        <f>'Expenditures 15-22'!K44</f>
        <v>1286828</v>
      </c>
      <c r="C1116" s="2" t="s">
        <v>572</v>
      </c>
      <c r="D1116" s="2" t="str">
        <f t="shared" si="16"/>
        <v>Error?</v>
      </c>
    </row>
    <row r="1117" spans="1:4" x14ac:dyDescent="0.2">
      <c r="A1117" s="5">
        <v>1056</v>
      </c>
      <c r="B1117" s="138">
        <f>'Expenditures 15-22'!K45</f>
        <v>891933</v>
      </c>
      <c r="C1117" s="2" t="s">
        <v>572</v>
      </c>
      <c r="D1117" s="2" t="str">
        <f t="shared" si="16"/>
        <v>Error?</v>
      </c>
    </row>
    <row r="1118" spans="1:4" x14ac:dyDescent="0.2">
      <c r="A1118" s="5">
        <v>1057</v>
      </c>
      <c r="B1118" s="138">
        <f>'Expenditures 15-22'!K46</f>
        <v>80261</v>
      </c>
      <c r="C1118" s="2" t="s">
        <v>572</v>
      </c>
      <c r="D1118" s="2" t="str">
        <f t="shared" si="16"/>
        <v>Error?</v>
      </c>
    </row>
    <row r="1119" spans="1:4" x14ac:dyDescent="0.2">
      <c r="A1119" s="5">
        <v>1058</v>
      </c>
      <c r="B1119" s="138">
        <f>'Expenditures 15-22'!K47</f>
        <v>2259022</v>
      </c>
      <c r="C1119" s="2" t="s">
        <v>572</v>
      </c>
      <c r="D1119" s="2" t="str">
        <f t="shared" si="16"/>
        <v>Error?</v>
      </c>
    </row>
    <row r="1120" spans="1:4" x14ac:dyDescent="0.2">
      <c r="A1120" s="5">
        <v>1059</v>
      </c>
      <c r="B1120" s="138">
        <f>'Expenditures 15-22'!K49</f>
        <v>298602</v>
      </c>
      <c r="C1120" s="2" t="s">
        <v>572</v>
      </c>
      <c r="D1120" s="2" t="str">
        <f t="shared" si="16"/>
        <v>Error?</v>
      </c>
    </row>
    <row r="1121" spans="1:4" x14ac:dyDescent="0.2">
      <c r="A1121" s="5">
        <v>1060</v>
      </c>
      <c r="B1121" s="138">
        <f>'Expenditures 15-22'!K50</f>
        <v>628343</v>
      </c>
      <c r="C1121" s="2" t="s">
        <v>572</v>
      </c>
      <c r="D1121" s="2" t="str">
        <f t="shared" si="16"/>
        <v>Error?</v>
      </c>
    </row>
    <row r="1122" spans="1:4" x14ac:dyDescent="0.2">
      <c r="A1122" s="5">
        <v>1061</v>
      </c>
      <c r="B1122" s="138">
        <f>'Expenditures 15-22'!K53</f>
        <v>1753442</v>
      </c>
      <c r="C1122" s="2" t="s">
        <v>572</v>
      </c>
      <c r="D1122" s="2" t="str">
        <f t="shared" si="16"/>
        <v>Error?</v>
      </c>
    </row>
    <row r="1123" spans="1:4" x14ac:dyDescent="0.2">
      <c r="A1123" s="5">
        <v>1062</v>
      </c>
      <c r="B1123" s="138">
        <f>'Expenditures 15-22'!K55</f>
        <v>2756076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2756076</v>
      </c>
      <c r="C1125" s="2" t="s">
        <v>572</v>
      </c>
      <c r="D1125" s="2" t="str">
        <f t="shared" si="16"/>
        <v>Error?</v>
      </c>
    </row>
    <row r="1126" spans="1:4" x14ac:dyDescent="0.2">
      <c r="A1126" s="5">
        <v>1065</v>
      </c>
      <c r="B1126" s="138">
        <f>'Expenditures 15-22'!K59</f>
        <v>190678</v>
      </c>
      <c r="C1126" s="2" t="s">
        <v>572</v>
      </c>
      <c r="D1126" s="2" t="str">
        <f t="shared" si="16"/>
        <v>Error?</v>
      </c>
    </row>
    <row r="1127" spans="1:4" x14ac:dyDescent="0.2">
      <c r="A1127" s="5">
        <v>1066</v>
      </c>
      <c r="B1127" s="138">
        <f>'Expenditures 15-22'!K60</f>
        <v>386081</v>
      </c>
      <c r="C1127" s="2" t="s">
        <v>572</v>
      </c>
      <c r="D1127" s="2" t="str">
        <f t="shared" si="16"/>
        <v>Error?</v>
      </c>
    </row>
    <row r="1128" spans="1:4" x14ac:dyDescent="0.2">
      <c r="A1128" s="5">
        <v>1067</v>
      </c>
      <c r="B1128" s="138">
        <f>'Expenditures 15-22'!K61</f>
        <v>1813126</v>
      </c>
      <c r="C1128" s="2" t="s">
        <v>572</v>
      </c>
      <c r="D1128" s="2" t="str">
        <f t="shared" si="16"/>
        <v>Error?</v>
      </c>
    </row>
    <row r="1129" spans="1:4" x14ac:dyDescent="0.2">
      <c r="A1129" s="5">
        <v>1068</v>
      </c>
      <c r="B1129" s="138">
        <f>'Expenditures 15-22'!K62</f>
        <v>3043</v>
      </c>
      <c r="C1129" s="2" t="s">
        <v>572</v>
      </c>
      <c r="D1129" s="2" t="str">
        <f t="shared" si="16"/>
        <v>Error?</v>
      </c>
    </row>
    <row r="1130" spans="1:4" x14ac:dyDescent="0.2">
      <c r="A1130" s="5">
        <v>1069</v>
      </c>
      <c r="B1130" s="138">
        <f>'Expenditures 15-22'!K63</f>
        <v>2110732</v>
      </c>
      <c r="C1130" s="2" t="s">
        <v>572</v>
      </c>
      <c r="D1130" s="2" t="str">
        <f t="shared" si="16"/>
        <v>Error?</v>
      </c>
    </row>
    <row r="1131" spans="1:4" x14ac:dyDescent="0.2">
      <c r="A1131" s="5">
        <v>1070</v>
      </c>
      <c r="B1131" s="138">
        <f>'Expenditures 15-22'!K64</f>
        <v>208814</v>
      </c>
      <c r="C1131" s="2" t="s">
        <v>572</v>
      </c>
      <c r="D1131" s="2" t="str">
        <f t="shared" si="16"/>
        <v>Error?</v>
      </c>
    </row>
    <row r="1132" spans="1:4" x14ac:dyDescent="0.2">
      <c r="A1132" s="10">
        <v>1071</v>
      </c>
      <c r="D1132" s="2" t="str">
        <f t="shared" si="16"/>
        <v>OK</v>
      </c>
    </row>
    <row r="1133" spans="1:4" x14ac:dyDescent="0.2">
      <c r="A1133" s="5">
        <v>1072</v>
      </c>
      <c r="B1133" s="138">
        <f>'Expenditures 15-22'!K65</f>
        <v>4712474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847669</v>
      </c>
      <c r="C1135" s="2" t="s">
        <v>572</v>
      </c>
      <c r="D1135" s="2" t="str">
        <f t="shared" si="16"/>
        <v>Error?</v>
      </c>
    </row>
    <row r="1136" spans="1:4" x14ac:dyDescent="0.2">
      <c r="A1136" s="5">
        <v>1075</v>
      </c>
      <c r="B1136" s="138">
        <f>'Expenditures 15-22'!K69</f>
        <v>1100</v>
      </c>
      <c r="C1136" s="2" t="s">
        <v>572</v>
      </c>
      <c r="D1136" s="2" t="str">
        <f t="shared" si="16"/>
        <v>Error?</v>
      </c>
    </row>
    <row r="1137" spans="1:4" x14ac:dyDescent="0.2">
      <c r="A1137" s="5">
        <v>1076</v>
      </c>
      <c r="B1137" s="138">
        <f>'Expenditures 15-22'!K70</f>
        <v>642746</v>
      </c>
      <c r="C1137" s="2" t="s">
        <v>572</v>
      </c>
      <c r="D1137" s="2" t="str">
        <f t="shared" si="16"/>
        <v>Error?</v>
      </c>
    </row>
    <row r="1138" spans="1:4" x14ac:dyDescent="0.2">
      <c r="A1138" s="10">
        <v>1077</v>
      </c>
      <c r="D1138" s="2" t="str">
        <f t="shared" si="16"/>
        <v>OK</v>
      </c>
    </row>
    <row r="1139" spans="1:4" x14ac:dyDescent="0.2">
      <c r="A1139" s="5">
        <v>1078</v>
      </c>
      <c r="B1139" s="138">
        <f>'Expenditures 15-22'!K71</f>
        <v>26163</v>
      </c>
      <c r="C1139" s="2" t="s">
        <v>572</v>
      </c>
      <c r="D1139" s="2" t="str">
        <f t="shared" si="16"/>
        <v>Error?</v>
      </c>
    </row>
    <row r="1140" spans="1:4" x14ac:dyDescent="0.2">
      <c r="A1140" s="10">
        <v>1079</v>
      </c>
      <c r="D1140" s="2" t="str">
        <f t="shared" si="16"/>
        <v>OK</v>
      </c>
    </row>
    <row r="1141" spans="1:4" x14ac:dyDescent="0.2">
      <c r="A1141" s="5">
        <v>1080</v>
      </c>
      <c r="B1141" s="138">
        <f>'Expenditures 15-22'!K72</f>
        <v>1517678</v>
      </c>
      <c r="C1141" s="2" t="s">
        <v>572</v>
      </c>
      <c r="D1141" s="2" t="str">
        <f t="shared" si="16"/>
        <v>Error?</v>
      </c>
    </row>
    <row r="1142" spans="1:4" x14ac:dyDescent="0.2">
      <c r="A1142" s="5">
        <v>1081</v>
      </c>
      <c r="B1142" s="138">
        <f>'Expenditures 15-22'!K73</f>
        <v>318128</v>
      </c>
      <c r="C1142" s="2" t="s">
        <v>572</v>
      </c>
      <c r="D1142" s="2" t="str">
        <f t="shared" si="16"/>
        <v>Error?</v>
      </c>
    </row>
    <row r="1143" spans="1:4" x14ac:dyDescent="0.2">
      <c r="A1143" s="5">
        <v>1082</v>
      </c>
      <c r="B1143" s="138">
        <f>'Expenditures 15-22'!K74</f>
        <v>18481196</v>
      </c>
      <c r="C1143" s="2" t="s">
        <v>572</v>
      </c>
      <c r="D1143" s="2" t="str">
        <f t="shared" si="16"/>
        <v>Error?</v>
      </c>
    </row>
    <row r="1144" spans="1:4" x14ac:dyDescent="0.2">
      <c r="A1144" s="5">
        <v>1083</v>
      </c>
      <c r="B1144" s="138">
        <f>'Expenditures 15-22'!K75</f>
        <v>1581463</v>
      </c>
      <c r="C1144" s="2" t="s">
        <v>572</v>
      </c>
      <c r="D1144" s="2" t="str">
        <f t="shared" si="16"/>
        <v>Error?</v>
      </c>
    </row>
    <row r="1145" spans="1:4" x14ac:dyDescent="0.2">
      <c r="A1145" s="5">
        <v>1084</v>
      </c>
      <c r="B1145" s="138">
        <f>'Expenditures 15-22'!K102</f>
        <v>1207256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55777414</v>
      </c>
      <c r="C1152" s="2" t="s">
        <v>572</v>
      </c>
      <c r="D1152" s="2" t="str">
        <f t="shared" si="17"/>
        <v>Error?</v>
      </c>
    </row>
    <row r="1153" spans="1:4" x14ac:dyDescent="0.2">
      <c r="A1153" s="5">
        <v>1092</v>
      </c>
      <c r="B1153" s="138">
        <f>'Expenditures 15-22'!K115</f>
        <v>-5661664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1308656</v>
      </c>
      <c r="D1221" s="2" t="str">
        <f t="shared" si="18"/>
        <v>Error?</v>
      </c>
    </row>
    <row r="1222" spans="1:4" x14ac:dyDescent="0.2">
      <c r="A1222" s="10">
        <v>1161</v>
      </c>
      <c r="D1222" s="2" t="str">
        <f t="shared" si="18"/>
        <v>OK</v>
      </c>
    </row>
    <row r="1223" spans="1:4" x14ac:dyDescent="0.2">
      <c r="A1223" s="5">
        <v>1162</v>
      </c>
      <c r="B1223" s="138">
        <f>'Expenditures 15-22'!C127</f>
        <v>1308656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1308656</v>
      </c>
      <c r="C1225" s="2" t="s">
        <v>572</v>
      </c>
      <c r="D1225" s="2" t="str">
        <f t="shared" si="18"/>
        <v>Error?</v>
      </c>
    </row>
    <row r="1226" spans="1:4" x14ac:dyDescent="0.2">
      <c r="A1226" s="5">
        <v>1165</v>
      </c>
      <c r="B1226" s="138">
        <f>'Expenditures 15-22'!C151</f>
        <v>1308656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163987</v>
      </c>
      <c r="D1229" s="2" t="str">
        <f t="shared" si="18"/>
        <v>Error?</v>
      </c>
    </row>
    <row r="1230" spans="1:4" x14ac:dyDescent="0.2">
      <c r="A1230" s="10">
        <v>1169</v>
      </c>
      <c r="D1230" s="2" t="str">
        <f t="shared" si="18"/>
        <v>OK</v>
      </c>
    </row>
    <row r="1231" spans="1:4" x14ac:dyDescent="0.2">
      <c r="A1231" s="5">
        <v>1170</v>
      </c>
      <c r="B1231" s="138">
        <f>'Expenditures 15-22'!D127</f>
        <v>163987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163987</v>
      </c>
      <c r="C1233" s="2" t="s">
        <v>572</v>
      </c>
      <c r="D1233" s="2" t="str">
        <f t="shared" si="18"/>
        <v>Error?</v>
      </c>
    </row>
    <row r="1234" spans="1:4" x14ac:dyDescent="0.2">
      <c r="A1234" s="5">
        <v>1173</v>
      </c>
      <c r="B1234" s="138">
        <f>'Expenditures 15-22'!D151</f>
        <v>163987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46515</v>
      </c>
      <c r="D1236" s="2" t="str">
        <f t="shared" si="18"/>
        <v>Error?</v>
      </c>
    </row>
    <row r="1237" spans="1:4" x14ac:dyDescent="0.2">
      <c r="A1237" s="5">
        <v>1176</v>
      </c>
      <c r="B1237" s="138">
        <f>'Expenditures 15-22'!E124</f>
        <v>1808523</v>
      </c>
      <c r="D1237" s="2" t="str">
        <f t="shared" si="18"/>
        <v>Error?</v>
      </c>
    </row>
    <row r="1238" spans="1:4" x14ac:dyDescent="0.2">
      <c r="A1238" s="10">
        <v>1177</v>
      </c>
      <c r="D1238" s="2" t="str">
        <f t="shared" si="18"/>
        <v>OK</v>
      </c>
    </row>
    <row r="1239" spans="1:4" x14ac:dyDescent="0.2">
      <c r="A1239" s="5">
        <v>1178</v>
      </c>
      <c r="B1239" s="138">
        <f>'Expenditures 15-22'!E127</f>
        <v>1855038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1855038</v>
      </c>
      <c r="C1241" s="2" t="s">
        <v>572</v>
      </c>
      <c r="D1241" s="2" t="str">
        <f t="shared" si="18"/>
        <v>Error?</v>
      </c>
    </row>
    <row r="1242" spans="1:4" x14ac:dyDescent="0.2">
      <c r="A1242" s="5">
        <v>1181</v>
      </c>
      <c r="B1242" s="138">
        <f>'Expenditures 15-22'!E151</f>
        <v>1855038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298713</v>
      </c>
      <c r="D1245" s="2" t="str">
        <f t="shared" si="18"/>
        <v>Error?</v>
      </c>
    </row>
    <row r="1246" spans="1:4" x14ac:dyDescent="0.2">
      <c r="A1246" s="10">
        <v>1185</v>
      </c>
      <c r="D1246" s="2" t="str">
        <f t="shared" si="18"/>
        <v>OK</v>
      </c>
    </row>
    <row r="1247" spans="1:4" x14ac:dyDescent="0.2">
      <c r="A1247" s="5">
        <v>1186</v>
      </c>
      <c r="B1247" s="138">
        <f>'Expenditures 15-22'!F127</f>
        <v>298713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298713</v>
      </c>
      <c r="C1249" s="2" t="s">
        <v>572</v>
      </c>
      <c r="D1249" s="2" t="str">
        <f t="shared" si="18"/>
        <v>Error?</v>
      </c>
    </row>
    <row r="1250" spans="1:4" x14ac:dyDescent="0.2">
      <c r="A1250" s="5">
        <v>1189</v>
      </c>
      <c r="B1250" s="138">
        <f>'Expenditures 15-22'!F151</f>
        <v>298713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114360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114360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114360</v>
      </c>
      <c r="C1258" s="2" t="s">
        <v>572</v>
      </c>
      <c r="D1258" s="2" t="str">
        <f t="shared" si="18"/>
        <v>Error?</v>
      </c>
    </row>
    <row r="1259" spans="1:4" x14ac:dyDescent="0.2">
      <c r="A1259" s="5">
        <v>1198</v>
      </c>
      <c r="B1259" s="138">
        <f>'Expenditures 15-22'!G151</f>
        <v>114360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33085</v>
      </c>
      <c r="D1262" s="2" t="str">
        <f t="shared" si="18"/>
        <v>Error?</v>
      </c>
    </row>
    <row r="1263" spans="1:4" x14ac:dyDescent="0.2">
      <c r="A1263" s="10">
        <v>1202</v>
      </c>
      <c r="D1263" s="2" t="str">
        <f t="shared" si="18"/>
        <v>OK</v>
      </c>
    </row>
    <row r="1264" spans="1:4" x14ac:dyDescent="0.2">
      <c r="A1264" s="5">
        <v>1203</v>
      </c>
      <c r="B1264" s="138">
        <f>'Expenditures 15-22'!H127</f>
        <v>33085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33085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33085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46515</v>
      </c>
      <c r="C1275" s="2" t="s">
        <v>572</v>
      </c>
      <c r="D1275" s="2" t="str">
        <f t="shared" si="18"/>
        <v>Error?</v>
      </c>
    </row>
    <row r="1276" spans="1:4" x14ac:dyDescent="0.2">
      <c r="A1276" s="5">
        <v>1215</v>
      </c>
      <c r="B1276" s="138">
        <f>'Expenditures 15-22'!K124</f>
        <v>3727324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3773839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3773839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3773839</v>
      </c>
      <c r="C1288" s="2" t="s">
        <v>572</v>
      </c>
      <c r="D1288" s="2" t="str">
        <f t="shared" si="19"/>
        <v>Error?</v>
      </c>
    </row>
    <row r="1289" spans="1:4" x14ac:dyDescent="0.2">
      <c r="A1289" s="5">
        <v>1228</v>
      </c>
      <c r="B1289" s="138">
        <f>'Expenditures 15-22'!K152</f>
        <v>-291948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1027418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6425000</v>
      </c>
      <c r="D1315" s="2" t="str">
        <f t="shared" si="19"/>
        <v>Error?</v>
      </c>
    </row>
    <row r="1316" spans="1:4" x14ac:dyDescent="0.2">
      <c r="A1316" s="5">
        <v>1255</v>
      </c>
      <c r="B1316" s="138">
        <f>'Expenditures 15-22'!H171</f>
        <v>2173</v>
      </c>
      <c r="D1316" s="2" t="str">
        <f t="shared" si="19"/>
        <v>Error?</v>
      </c>
    </row>
    <row r="1317" spans="1:4" x14ac:dyDescent="0.2">
      <c r="A1317" s="5">
        <v>1256</v>
      </c>
      <c r="B1317" s="138">
        <f>'Expenditures 15-22'!H172</f>
        <v>7454591</v>
      </c>
      <c r="C1317" s="2" t="s">
        <v>572</v>
      </c>
      <c r="D1317" s="2" t="str">
        <f t="shared" si="19"/>
        <v>Error?</v>
      </c>
    </row>
    <row r="1318" spans="1:4" x14ac:dyDescent="0.2">
      <c r="A1318" s="5">
        <v>1257</v>
      </c>
      <c r="B1318" s="138">
        <f>'Expenditures 15-22'!H174</f>
        <v>7454591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1027418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6425000</v>
      </c>
      <c r="C1329" s="2" t="s">
        <v>572</v>
      </c>
      <c r="D1329" s="2" t="str">
        <f t="shared" si="19"/>
        <v>Error?</v>
      </c>
    </row>
    <row r="1330" spans="1:4" x14ac:dyDescent="0.2">
      <c r="A1330" s="5">
        <v>1269</v>
      </c>
      <c r="B1330" s="138">
        <f>'Expenditures 15-22'!K171</f>
        <v>2173</v>
      </c>
      <c r="C1330" s="2" t="s">
        <v>572</v>
      </c>
      <c r="D1330" s="2" t="str">
        <f t="shared" si="19"/>
        <v>Error?</v>
      </c>
    </row>
    <row r="1331" spans="1:4" x14ac:dyDescent="0.2">
      <c r="A1331" s="5">
        <v>1270</v>
      </c>
      <c r="B1331" s="138">
        <f>'Expenditures 15-22'!K172</f>
        <v>7454591</v>
      </c>
      <c r="C1331" s="2" t="s">
        <v>572</v>
      </c>
      <c r="D1331" s="2" t="str">
        <f t="shared" si="19"/>
        <v>Error?</v>
      </c>
    </row>
    <row r="1332" spans="1:4" x14ac:dyDescent="0.2">
      <c r="A1332" s="5">
        <v>1271</v>
      </c>
      <c r="B1332" s="138">
        <f>'Expenditures 15-22'!K174</f>
        <v>7454591</v>
      </c>
      <c r="C1332" s="2" t="s">
        <v>572</v>
      </c>
      <c r="D1332" s="2" t="str">
        <f t="shared" si="19"/>
        <v>Error?</v>
      </c>
    </row>
    <row r="1333" spans="1:4" x14ac:dyDescent="0.2">
      <c r="A1333" s="5">
        <v>1272</v>
      </c>
      <c r="B1333" s="138">
        <f>'Expenditures 15-22'!K175</f>
        <v>-4566061</v>
      </c>
      <c r="C1333" s="2" t="s">
        <v>572</v>
      </c>
      <c r="D1333" s="2" t="str">
        <f t="shared" si="19"/>
        <v>Error?</v>
      </c>
    </row>
    <row r="1334" spans="1:4" x14ac:dyDescent="0.2">
      <c r="A1334" s="10">
        <v>1273</v>
      </c>
      <c r="D1334" s="2" t="str">
        <f t="shared" si="19"/>
        <v>OK</v>
      </c>
    </row>
    <row r="1335" spans="1:4" x14ac:dyDescent="0.2">
      <c r="A1335" s="5">
        <v>1274</v>
      </c>
      <c r="B1335" s="138">
        <f>'Expenditures 15-22'!C182</f>
        <v>6000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6000</v>
      </c>
      <c r="C1339" s="2" t="s">
        <v>572</v>
      </c>
      <c r="D1339" s="2" t="str">
        <f t="shared" si="19"/>
        <v>Error?</v>
      </c>
    </row>
    <row r="1340" spans="1:4" x14ac:dyDescent="0.2">
      <c r="A1340" s="5">
        <v>1279</v>
      </c>
      <c r="B1340" s="138">
        <f>'Expenditures 15-22'!C210</f>
        <v>6000</v>
      </c>
      <c r="C1340" s="2" t="s">
        <v>572</v>
      </c>
      <c r="D1340" s="2" t="str">
        <f t="shared" si="19"/>
        <v>Error?</v>
      </c>
    </row>
    <row r="1341" spans="1:4" x14ac:dyDescent="0.2">
      <c r="A1341" s="5">
        <v>1280</v>
      </c>
      <c r="B1341" s="138">
        <f>'Expenditures 15-22'!D182</f>
        <v>1677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1677</v>
      </c>
      <c r="C1345" s="2" t="s">
        <v>572</v>
      </c>
      <c r="D1345" s="2" t="str">
        <f t="shared" si="20"/>
        <v>Error?</v>
      </c>
    </row>
    <row r="1346" spans="1:4" x14ac:dyDescent="0.2">
      <c r="A1346" s="5">
        <v>1285</v>
      </c>
      <c r="B1346" s="138">
        <f>'Expenditures 15-22'!D210</f>
        <v>1677</v>
      </c>
      <c r="C1346" s="2" t="s">
        <v>572</v>
      </c>
      <c r="D1346" s="2" t="str">
        <f t="shared" si="20"/>
        <v>Error?</v>
      </c>
    </row>
    <row r="1347" spans="1:4" x14ac:dyDescent="0.2">
      <c r="A1347" s="5">
        <v>1286</v>
      </c>
      <c r="B1347" s="138">
        <f>'Expenditures 15-22'!E182</f>
        <v>2513391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2513391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2513391</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2521068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2521068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2521068</v>
      </c>
      <c r="C1388" s="2" t="s">
        <v>572</v>
      </c>
      <c r="D1388" s="2" t="str">
        <f t="shared" si="20"/>
        <v>Error?</v>
      </c>
    </row>
    <row r="1389" spans="1:4" x14ac:dyDescent="0.2">
      <c r="A1389" s="5">
        <v>1328</v>
      </c>
      <c r="B1389" s="138">
        <f>'Expenditures 15-22'!K211</f>
        <v>-206400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33690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40270</v>
      </c>
      <c r="D1408" s="2" t="str">
        <f t="shared" si="21"/>
        <v>Error?</v>
      </c>
    </row>
    <row r="1409" spans="1:4" x14ac:dyDescent="0.2">
      <c r="A1409" s="5">
        <v>1348</v>
      </c>
      <c r="B1409" s="138">
        <f>'Expenditures 15-22'!D224</f>
        <v>1521</v>
      </c>
      <c r="D1409" s="2" t="str">
        <f t="shared" si="21"/>
        <v>Error?</v>
      </c>
    </row>
    <row r="1410" spans="1:4" x14ac:dyDescent="0.2">
      <c r="A1410" s="5">
        <v>1349</v>
      </c>
      <c r="B1410" s="138">
        <f>'Expenditures 15-22'!D229</f>
        <v>561139</v>
      </c>
      <c r="C1410" s="2" t="s">
        <v>572</v>
      </c>
      <c r="D1410" s="2" t="str">
        <f t="shared" si="21"/>
        <v>Error?</v>
      </c>
    </row>
    <row r="1411" spans="1:4" x14ac:dyDescent="0.2">
      <c r="A1411" s="5">
        <v>1350</v>
      </c>
      <c r="B1411" s="138">
        <f>'Expenditures 15-22'!D232</f>
        <v>78075</v>
      </c>
      <c r="D1411" s="2" t="str">
        <f t="shared" si="21"/>
        <v>Error?</v>
      </c>
    </row>
    <row r="1412" spans="1:4" x14ac:dyDescent="0.2">
      <c r="A1412" s="5">
        <v>1351</v>
      </c>
      <c r="B1412" s="138">
        <f>'Expenditures 15-22'!D233</f>
        <v>6830</v>
      </c>
      <c r="D1412" s="2" t="str">
        <f t="shared" si="21"/>
        <v>Error?</v>
      </c>
    </row>
    <row r="1413" spans="1:4" x14ac:dyDescent="0.2">
      <c r="A1413" s="5">
        <v>1352</v>
      </c>
      <c r="B1413" s="138">
        <f>'Expenditures 15-22'!D234</f>
        <v>53750</v>
      </c>
      <c r="D1413" s="2" t="str">
        <f t="shared" si="21"/>
        <v>Error?</v>
      </c>
    </row>
    <row r="1414" spans="1:4" x14ac:dyDescent="0.2">
      <c r="A1414" s="5">
        <v>1353</v>
      </c>
      <c r="B1414" s="138">
        <f>'Expenditures 15-22'!D235</f>
        <v>9826</v>
      </c>
      <c r="D1414" s="2" t="str">
        <f t="shared" si="21"/>
        <v>Error?</v>
      </c>
    </row>
    <row r="1415" spans="1:4" x14ac:dyDescent="0.2">
      <c r="A1415" s="5">
        <v>1354</v>
      </c>
      <c r="B1415" s="138">
        <f>'Expenditures 15-22'!D236</f>
        <v>10343</v>
      </c>
      <c r="D1415" s="2" t="str">
        <f t="shared" si="21"/>
        <v>Error?</v>
      </c>
    </row>
    <row r="1416" spans="1:4" x14ac:dyDescent="0.2">
      <c r="A1416" s="5">
        <v>1355</v>
      </c>
      <c r="B1416" s="138">
        <f>'Expenditures 15-22'!D237</f>
        <v>108</v>
      </c>
      <c r="D1416" s="2" t="str">
        <f t="shared" si="21"/>
        <v>Error?</v>
      </c>
    </row>
    <row r="1417" spans="1:4" x14ac:dyDescent="0.2">
      <c r="A1417" s="5">
        <v>1356</v>
      </c>
      <c r="B1417" s="138">
        <f>'Expenditures 15-22'!D238</f>
        <v>158932</v>
      </c>
      <c r="C1417" s="2" t="s">
        <v>572</v>
      </c>
      <c r="D1417" s="2" t="str">
        <f t="shared" si="21"/>
        <v>Error?</v>
      </c>
    </row>
    <row r="1418" spans="1:4" x14ac:dyDescent="0.2">
      <c r="A1418" s="5">
        <v>1357</v>
      </c>
      <c r="B1418" s="138">
        <f>'Expenditures 15-22'!D240</f>
        <v>46051</v>
      </c>
      <c r="D1418" s="2" t="str">
        <f t="shared" si="21"/>
        <v>Error?</v>
      </c>
    </row>
    <row r="1419" spans="1:4" x14ac:dyDescent="0.2">
      <c r="A1419" s="5">
        <v>1358</v>
      </c>
      <c r="B1419" s="138">
        <f>'Expenditures 15-22'!D241</f>
        <v>19302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65353</v>
      </c>
      <c r="C1421" s="2" t="s">
        <v>572</v>
      </c>
      <c r="D1421" s="2" t="str">
        <f t="shared" si="21"/>
        <v>Error?</v>
      </c>
    </row>
    <row r="1422" spans="1:4" x14ac:dyDescent="0.2">
      <c r="A1422" s="5">
        <v>1361</v>
      </c>
      <c r="B1422" s="138">
        <f>'Expenditures 15-22'!D245</f>
        <v>907</v>
      </c>
      <c r="D1422" s="2" t="str">
        <f t="shared" si="21"/>
        <v>Error?</v>
      </c>
    </row>
    <row r="1423" spans="1:4" x14ac:dyDescent="0.2">
      <c r="A1423" s="5">
        <v>1362</v>
      </c>
      <c r="B1423" s="138">
        <f>'Expenditures 15-22'!D246</f>
        <v>18007</v>
      </c>
      <c r="D1423" s="2" t="str">
        <f t="shared" si="21"/>
        <v>Error?</v>
      </c>
    </row>
    <row r="1424" spans="1:4" x14ac:dyDescent="0.2">
      <c r="A1424" s="5">
        <v>1363</v>
      </c>
      <c r="B1424" s="138">
        <f>'Expenditures 15-22'!D257</f>
        <v>25677</v>
      </c>
      <c r="C1424" s="2" t="s">
        <v>572</v>
      </c>
      <c r="D1424" s="2" t="str">
        <f t="shared" si="21"/>
        <v>Error?</v>
      </c>
    </row>
    <row r="1425" spans="1:4" x14ac:dyDescent="0.2">
      <c r="A1425" s="5">
        <v>1364</v>
      </c>
      <c r="B1425" s="138">
        <f>'Expenditures 15-22'!D259</f>
        <v>146130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146130</v>
      </c>
      <c r="C1427" s="2" t="s">
        <v>572</v>
      </c>
      <c r="D1427" s="2" t="str">
        <f t="shared" si="21"/>
        <v>Error?</v>
      </c>
    </row>
    <row r="1428" spans="1:4" x14ac:dyDescent="0.2">
      <c r="A1428" s="5">
        <v>1367</v>
      </c>
      <c r="B1428" s="138">
        <f>'Expenditures 15-22'!D263</f>
        <v>30898</v>
      </c>
      <c r="D1428" s="2" t="str">
        <f t="shared" si="21"/>
        <v>Error?</v>
      </c>
    </row>
    <row r="1429" spans="1:4" x14ac:dyDescent="0.2">
      <c r="A1429" s="5">
        <v>1368</v>
      </c>
      <c r="B1429" s="138">
        <f>'Expenditures 15-22'!D264</f>
        <v>52078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253602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198</v>
      </c>
      <c r="D1433" s="2" t="str">
        <f t="shared" si="21"/>
        <v>Error?</v>
      </c>
    </row>
    <row r="1434" spans="1:4" x14ac:dyDescent="0.2">
      <c r="A1434" s="5">
        <v>1373</v>
      </c>
      <c r="B1434" s="138">
        <f>'Expenditures 15-22'!D269</f>
        <v>27354</v>
      </c>
      <c r="D1434" s="2" t="str">
        <f t="shared" si="21"/>
        <v>Error?</v>
      </c>
    </row>
    <row r="1435" spans="1:4" x14ac:dyDescent="0.2">
      <c r="A1435" s="10">
        <v>1374</v>
      </c>
      <c r="D1435" s="2" t="str">
        <f t="shared" si="21"/>
        <v>OK</v>
      </c>
    </row>
    <row r="1436" spans="1:4" x14ac:dyDescent="0.2">
      <c r="A1436" s="5">
        <v>1375</v>
      </c>
      <c r="B1436" s="138">
        <f>'Expenditures 15-22'!D270</f>
        <v>364130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45003</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28886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73889</v>
      </c>
      <c r="C1444" s="2" t="s">
        <v>572</v>
      </c>
      <c r="D1444" s="2" t="str">
        <f t="shared" si="21"/>
        <v>Error?</v>
      </c>
    </row>
    <row r="1445" spans="1:4" x14ac:dyDescent="0.2">
      <c r="A1445" s="5">
        <v>1384</v>
      </c>
      <c r="B1445" s="138">
        <f>'Expenditures 15-22'!D278</f>
        <v>4868</v>
      </c>
      <c r="D1445" s="2" t="str">
        <f t="shared" si="21"/>
        <v>Error?</v>
      </c>
    </row>
    <row r="1446" spans="1:4" x14ac:dyDescent="0.2">
      <c r="A1446" s="5">
        <v>1385</v>
      </c>
      <c r="B1446" s="138">
        <f>'Expenditures 15-22'!D279</f>
        <v>838979</v>
      </c>
      <c r="C1446" s="2" t="s">
        <v>572</v>
      </c>
      <c r="D1446" s="2" t="str">
        <f t="shared" si="21"/>
        <v>Error?</v>
      </c>
    </row>
    <row r="1447" spans="1:4" x14ac:dyDescent="0.2">
      <c r="A1447" s="5">
        <v>1386</v>
      </c>
      <c r="B1447" s="138">
        <f>'Expenditures 15-22'!D280</f>
        <v>36893</v>
      </c>
      <c r="D1447" s="2" t="str">
        <f t="shared" si="21"/>
        <v>Error?</v>
      </c>
    </row>
    <row r="1448" spans="1:4" x14ac:dyDescent="0.2">
      <c r="A1448" s="5">
        <v>1387</v>
      </c>
      <c r="B1448" s="138">
        <f>'Expenditures 15-22'!D295</f>
        <v>1437011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33690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40270</v>
      </c>
      <c r="C1472" s="2" t="s">
        <v>572</v>
      </c>
      <c r="D1472" s="2" t="str">
        <f t="shared" si="22"/>
        <v>Error?</v>
      </c>
    </row>
    <row r="1473" spans="1:4" x14ac:dyDescent="0.2">
      <c r="A1473" s="5">
        <v>1412</v>
      </c>
      <c r="B1473" s="138">
        <f>'Expenditures 15-22'!K224</f>
        <v>1521</v>
      </c>
      <c r="C1473" s="2" t="s">
        <v>572</v>
      </c>
      <c r="D1473" s="2" t="str">
        <f t="shared" si="22"/>
        <v>Error?</v>
      </c>
    </row>
    <row r="1474" spans="1:4" x14ac:dyDescent="0.2">
      <c r="A1474" s="5">
        <v>1413</v>
      </c>
      <c r="B1474" s="138">
        <f>'Expenditures 15-22'!K229</f>
        <v>561139</v>
      </c>
      <c r="C1474" s="2" t="s">
        <v>572</v>
      </c>
      <c r="D1474" s="2" t="str">
        <f t="shared" si="22"/>
        <v>Error?</v>
      </c>
    </row>
    <row r="1475" spans="1:4" x14ac:dyDescent="0.2">
      <c r="A1475" s="5">
        <v>1414</v>
      </c>
      <c r="B1475" s="138">
        <f>'Expenditures 15-22'!K232</f>
        <v>78075</v>
      </c>
      <c r="C1475" s="2" t="s">
        <v>572</v>
      </c>
      <c r="D1475" s="2" t="str">
        <f t="shared" si="22"/>
        <v>Error?</v>
      </c>
    </row>
    <row r="1476" spans="1:4" x14ac:dyDescent="0.2">
      <c r="A1476" s="5">
        <v>1415</v>
      </c>
      <c r="B1476" s="138">
        <f>'Expenditures 15-22'!K233</f>
        <v>6830</v>
      </c>
      <c r="C1476" s="2" t="s">
        <v>572</v>
      </c>
      <c r="D1476" s="2" t="str">
        <f t="shared" si="22"/>
        <v>Error?</v>
      </c>
    </row>
    <row r="1477" spans="1:4" x14ac:dyDescent="0.2">
      <c r="A1477" s="5">
        <v>1416</v>
      </c>
      <c r="B1477" s="138">
        <f>'Expenditures 15-22'!K234</f>
        <v>53750</v>
      </c>
      <c r="C1477" s="2" t="s">
        <v>572</v>
      </c>
      <c r="D1477" s="2" t="str">
        <f t="shared" si="22"/>
        <v>Error?</v>
      </c>
    </row>
    <row r="1478" spans="1:4" x14ac:dyDescent="0.2">
      <c r="A1478" s="5">
        <v>1417</v>
      </c>
      <c r="B1478" s="138">
        <f>'Expenditures 15-22'!K235</f>
        <v>9826</v>
      </c>
      <c r="C1478" s="2" t="s">
        <v>572</v>
      </c>
      <c r="D1478" s="2" t="str">
        <f t="shared" si="22"/>
        <v>Error?</v>
      </c>
    </row>
    <row r="1479" spans="1:4" x14ac:dyDescent="0.2">
      <c r="A1479" s="5">
        <v>1418</v>
      </c>
      <c r="B1479" s="138">
        <f>'Expenditures 15-22'!K236</f>
        <v>10343</v>
      </c>
      <c r="C1479" s="2" t="s">
        <v>572</v>
      </c>
      <c r="D1479" s="2" t="str">
        <f t="shared" si="22"/>
        <v>Error?</v>
      </c>
    </row>
    <row r="1480" spans="1:4" x14ac:dyDescent="0.2">
      <c r="A1480" s="5">
        <v>1419</v>
      </c>
      <c r="B1480" s="138">
        <f>'Expenditures 15-22'!K237</f>
        <v>108</v>
      </c>
      <c r="C1480" s="2" t="s">
        <v>572</v>
      </c>
      <c r="D1480" s="2" t="str">
        <f t="shared" si="22"/>
        <v>Error?</v>
      </c>
    </row>
    <row r="1481" spans="1:4" x14ac:dyDescent="0.2">
      <c r="A1481" s="5">
        <v>1420</v>
      </c>
      <c r="B1481" s="138">
        <f>'Expenditures 15-22'!K238</f>
        <v>158932</v>
      </c>
      <c r="C1481" s="2" t="s">
        <v>572</v>
      </c>
      <c r="D1481" s="2" t="str">
        <f t="shared" si="22"/>
        <v>Error?</v>
      </c>
    </row>
    <row r="1482" spans="1:4" x14ac:dyDescent="0.2">
      <c r="A1482" s="5">
        <v>1421</v>
      </c>
      <c r="B1482" s="138">
        <f>'Expenditures 15-22'!K240</f>
        <v>46051</v>
      </c>
      <c r="C1482" s="2" t="s">
        <v>572</v>
      </c>
      <c r="D1482" s="2" t="str">
        <f t="shared" si="22"/>
        <v>Error?</v>
      </c>
    </row>
    <row r="1483" spans="1:4" x14ac:dyDescent="0.2">
      <c r="A1483" s="5">
        <v>1422</v>
      </c>
      <c r="B1483" s="138">
        <f>'Expenditures 15-22'!K241</f>
        <v>19302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65353</v>
      </c>
      <c r="C1485" s="2" t="s">
        <v>572</v>
      </c>
      <c r="D1485" s="2" t="str">
        <f t="shared" si="22"/>
        <v>Error?</v>
      </c>
    </row>
    <row r="1486" spans="1:4" x14ac:dyDescent="0.2">
      <c r="A1486" s="5">
        <v>1425</v>
      </c>
      <c r="B1486" s="138">
        <f>'Expenditures 15-22'!K245</f>
        <v>907</v>
      </c>
      <c r="C1486" s="2" t="s">
        <v>572</v>
      </c>
      <c r="D1486" s="2" t="str">
        <f t="shared" si="22"/>
        <v>Error?</v>
      </c>
    </row>
    <row r="1487" spans="1:4" x14ac:dyDescent="0.2">
      <c r="A1487" s="5">
        <v>1426</v>
      </c>
      <c r="B1487" s="138">
        <f>'Expenditures 15-22'!K246</f>
        <v>18007</v>
      </c>
      <c r="C1487" s="2" t="s">
        <v>572</v>
      </c>
      <c r="D1487" s="2" t="str">
        <f t="shared" si="22"/>
        <v>Error?</v>
      </c>
    </row>
    <row r="1488" spans="1:4" x14ac:dyDescent="0.2">
      <c r="A1488" s="5">
        <v>1427</v>
      </c>
      <c r="B1488" s="138">
        <f>'Expenditures 15-22'!K257</f>
        <v>25677</v>
      </c>
      <c r="C1488" s="2" t="s">
        <v>572</v>
      </c>
      <c r="D1488" s="2" t="str">
        <f t="shared" si="22"/>
        <v>Error?</v>
      </c>
    </row>
    <row r="1489" spans="1:4" x14ac:dyDescent="0.2">
      <c r="A1489" s="5">
        <v>1428</v>
      </c>
      <c r="B1489" s="138">
        <f>'Expenditures 15-22'!K259</f>
        <v>146130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146130</v>
      </c>
      <c r="C1491" s="2" t="s">
        <v>572</v>
      </c>
      <c r="D1491" s="2" t="str">
        <f t="shared" si="22"/>
        <v>Error?</v>
      </c>
    </row>
    <row r="1492" spans="1:4" x14ac:dyDescent="0.2">
      <c r="A1492" s="5">
        <v>1431</v>
      </c>
      <c r="B1492" s="138">
        <f>'Expenditures 15-22'!K263</f>
        <v>30898</v>
      </c>
      <c r="C1492" s="2" t="s">
        <v>572</v>
      </c>
      <c r="D1492" s="2" t="str">
        <f t="shared" si="22"/>
        <v>Error?</v>
      </c>
    </row>
    <row r="1493" spans="1:4" x14ac:dyDescent="0.2">
      <c r="A1493" s="5">
        <v>1432</v>
      </c>
      <c r="B1493" s="138">
        <f>'Expenditures 15-22'!K264</f>
        <v>52078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253602</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198</v>
      </c>
      <c r="C1497" s="2" t="s">
        <v>572</v>
      </c>
      <c r="D1497" s="2" t="str">
        <f t="shared" si="22"/>
        <v>Error?</v>
      </c>
    </row>
    <row r="1498" spans="1:4" x14ac:dyDescent="0.2">
      <c r="A1498" s="5">
        <v>1437</v>
      </c>
      <c r="B1498" s="138">
        <f>'Expenditures 15-22'!K269</f>
        <v>27354</v>
      </c>
      <c r="C1498" s="2" t="s">
        <v>572</v>
      </c>
      <c r="D1498" s="2" t="str">
        <f t="shared" si="22"/>
        <v>Error?</v>
      </c>
    </row>
    <row r="1499" spans="1:4" x14ac:dyDescent="0.2">
      <c r="A1499" s="10">
        <v>1438</v>
      </c>
      <c r="D1499" s="2" t="str">
        <f t="shared" si="22"/>
        <v>OK</v>
      </c>
    </row>
    <row r="1500" spans="1:4" x14ac:dyDescent="0.2">
      <c r="A1500" s="5">
        <v>1439</v>
      </c>
      <c r="B1500" s="138">
        <f>'Expenditures 15-22'!K270</f>
        <v>364130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45003</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28886</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73889</v>
      </c>
      <c r="C1508" s="2" t="s">
        <v>572</v>
      </c>
      <c r="D1508" s="2" t="str">
        <f t="shared" si="22"/>
        <v>Error?</v>
      </c>
    </row>
    <row r="1509" spans="1:4" x14ac:dyDescent="0.2">
      <c r="A1509" s="5">
        <v>1448</v>
      </c>
      <c r="B1509" s="138">
        <f>'Expenditures 15-22'!K278</f>
        <v>4868</v>
      </c>
      <c r="C1509" s="2" t="s">
        <v>572</v>
      </c>
      <c r="D1509" s="2" t="str">
        <f t="shared" si="22"/>
        <v>Error?</v>
      </c>
    </row>
    <row r="1510" spans="1:4" x14ac:dyDescent="0.2">
      <c r="A1510" s="5">
        <v>1449</v>
      </c>
      <c r="B1510" s="138">
        <f>'Expenditures 15-22'!K279</f>
        <v>838979</v>
      </c>
      <c r="C1510" s="2" t="s">
        <v>572</v>
      </c>
      <c r="D1510" s="2" t="str">
        <f t="shared" si="22"/>
        <v>Error?</v>
      </c>
    </row>
    <row r="1511" spans="1:4" x14ac:dyDescent="0.2">
      <c r="A1511" s="5">
        <v>1450</v>
      </c>
      <c r="B1511" s="138">
        <f>'Expenditures 15-22'!K280</f>
        <v>36893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1437011</v>
      </c>
      <c r="C1517" s="2" t="s">
        <v>572</v>
      </c>
      <c r="D1517" s="2" t="str">
        <f t="shared" si="22"/>
        <v>Error?</v>
      </c>
    </row>
    <row r="1518" spans="1:4" x14ac:dyDescent="0.2">
      <c r="A1518" s="5">
        <v>1457</v>
      </c>
      <c r="B1518" s="138">
        <f>'Expenditures 15-22'!K296</f>
        <v>-76630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151436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151436</v>
      </c>
      <c r="C1535" s="2" t="s">
        <v>572</v>
      </c>
      <c r="D1535" s="2" t="str">
        <f t="shared" ref="D1535:D1598" si="23">IF(ISBLANK(B1535),"OK",IF(A1535-B1535=0,"OK","Error?"))</f>
        <v>Error?</v>
      </c>
    </row>
    <row r="1536" spans="1:4" x14ac:dyDescent="0.2">
      <c r="A1536" s="5">
        <v>1475</v>
      </c>
      <c r="B1536" s="138">
        <f>'Expenditures 15-22'!E312</f>
        <v>151436</v>
      </c>
      <c r="C1536" s="2" t="s">
        <v>572</v>
      </c>
      <c r="D1536" s="2" t="str">
        <f t="shared" si="23"/>
        <v>Error?</v>
      </c>
    </row>
    <row r="1537" spans="1:4" x14ac:dyDescent="0.2">
      <c r="A1537" s="5">
        <v>1476</v>
      </c>
      <c r="B1537" s="138">
        <f>'Expenditures 15-22'!F301</f>
        <v>16624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16624</v>
      </c>
      <c r="C1541" s="2" t="s">
        <v>572</v>
      </c>
      <c r="D1541" s="2" t="str">
        <f t="shared" si="23"/>
        <v>Error?</v>
      </c>
    </row>
    <row r="1542" spans="1:4" x14ac:dyDescent="0.2">
      <c r="A1542" s="5">
        <v>1481</v>
      </c>
      <c r="B1542" s="138">
        <f>'Expenditures 15-22'!F312</f>
        <v>16624</v>
      </c>
      <c r="C1542" s="2" t="s">
        <v>572</v>
      </c>
      <c r="D1542" s="2" t="str">
        <f t="shared" si="23"/>
        <v>Error?</v>
      </c>
    </row>
    <row r="1543" spans="1:4" x14ac:dyDescent="0.2">
      <c r="A1543" s="5">
        <v>1482</v>
      </c>
      <c r="B1543" s="138">
        <f>'Expenditures 15-22'!G301</f>
        <v>3072693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3072693</v>
      </c>
      <c r="C1547" s="2" t="s">
        <v>572</v>
      </c>
      <c r="D1547" s="2" t="str">
        <f t="shared" si="23"/>
        <v>Error?</v>
      </c>
    </row>
    <row r="1548" spans="1:4" x14ac:dyDescent="0.2">
      <c r="A1548" s="5">
        <v>1487</v>
      </c>
      <c r="B1548" s="138">
        <f>'Expenditures 15-22'!G312</f>
        <v>3072693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3240753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3240753</v>
      </c>
      <c r="C1559" s="2" t="s">
        <v>572</v>
      </c>
      <c r="D1559" s="2" t="str">
        <f t="shared" si="23"/>
        <v>Error?</v>
      </c>
    </row>
    <row r="1560" spans="1:4" x14ac:dyDescent="0.2">
      <c r="A1560" s="5">
        <v>1499</v>
      </c>
      <c r="B1560" s="138">
        <f>'Expenditures 15-22'!K312</f>
        <v>3240753</v>
      </c>
      <c r="C1560" s="2" t="s">
        <v>572</v>
      </c>
      <c r="D1560" s="2" t="str">
        <f t="shared" si="23"/>
        <v>Error?</v>
      </c>
    </row>
    <row r="1561" spans="1:4" x14ac:dyDescent="0.2">
      <c r="A1561" s="5">
        <v>1500</v>
      </c>
      <c r="B1561" s="138">
        <f>'Expenditures 15-22'!K313</f>
        <v>332347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16365425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10548445</v>
      </c>
      <c r="C1630" s="2" t="s">
        <v>572</v>
      </c>
      <c r="D1630" s="2" t="str">
        <f t="shared" si="24"/>
        <v>Error?</v>
      </c>
    </row>
    <row r="1631" spans="1:4" x14ac:dyDescent="0.2">
      <c r="A1631" s="5">
        <v>1570</v>
      </c>
      <c r="B1631" s="138">
        <f>'Acct Summary 7-8'!D79</f>
        <v>-2438699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-2730647</v>
      </c>
      <c r="C1644" s="2" t="s">
        <v>572</v>
      </c>
      <c r="D1644" s="2" t="str">
        <f t="shared" si="24"/>
        <v>Error?</v>
      </c>
    </row>
    <row r="1645" spans="1:4" x14ac:dyDescent="0.2">
      <c r="A1645" s="5">
        <v>1584</v>
      </c>
      <c r="B1645" s="138">
        <f>'Acct Summary 7-8'!E79</f>
        <v>3637695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620408</v>
      </c>
      <c r="C1658" s="2" t="s">
        <v>572</v>
      </c>
      <c r="D1658" s="2" t="str">
        <f t="shared" si="24"/>
        <v>Error?</v>
      </c>
    </row>
    <row r="1659" spans="1:4" x14ac:dyDescent="0.2">
      <c r="A1659" s="5">
        <v>1598</v>
      </c>
      <c r="B1659" s="138">
        <f>'Acct Summary 7-8'!F79</f>
        <v>235793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29393</v>
      </c>
      <c r="C1672" s="2" t="s">
        <v>572</v>
      </c>
      <c r="D1672" s="2" t="str">
        <f t="shared" si="25"/>
        <v>Error?</v>
      </c>
    </row>
    <row r="1673" spans="1:4" x14ac:dyDescent="0.2">
      <c r="A1673" s="5">
        <v>1612</v>
      </c>
      <c r="B1673" s="138">
        <f>'Acct Summary 7-8'!G79</f>
        <v>-198664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-275294</v>
      </c>
      <c r="C1686" s="2" t="s">
        <v>572</v>
      </c>
      <c r="D1686" s="2" t="str">
        <f t="shared" si="25"/>
        <v>Error?</v>
      </c>
    </row>
    <row r="1687" spans="1:4" x14ac:dyDescent="0.2">
      <c r="A1687" s="5">
        <v>1626</v>
      </c>
      <c r="B1687" s="138">
        <f>'Acct Summary 7-8'!H79</f>
        <v>5060830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7089192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22045518</v>
      </c>
      <c r="C1744" s="2" t="s">
        <v>572</v>
      </c>
      <c r="D1744" s="2" t="str">
        <f t="shared" si="26"/>
        <v>Error?</v>
      </c>
    </row>
    <row r="1745" spans="1:5" x14ac:dyDescent="0.2">
      <c r="A1745" s="5">
        <v>1684</v>
      </c>
      <c r="B1745" s="138">
        <f>'Tax Sched 23'!B5</f>
        <v>3341869</v>
      </c>
      <c r="C1745" s="2" t="s">
        <v>572</v>
      </c>
      <c r="D1745" s="2" t="str">
        <f t="shared" si="26"/>
        <v>Error?</v>
      </c>
    </row>
    <row r="1746" spans="1:5" x14ac:dyDescent="0.2">
      <c r="A1746" s="5">
        <v>1685</v>
      </c>
      <c r="B1746" s="138">
        <f>'Tax Sched 23'!B6</f>
        <v>2846285</v>
      </c>
      <c r="C1746" s="2" t="s">
        <v>572</v>
      </c>
      <c r="D1746" s="2" t="str">
        <f t="shared" si="26"/>
        <v>Error?</v>
      </c>
    </row>
    <row r="1747" spans="1:5" x14ac:dyDescent="0.2">
      <c r="A1747" s="5">
        <v>1686</v>
      </c>
      <c r="B1747" s="138">
        <f>'Tax Sched 23'!B7</f>
        <v>1220117</v>
      </c>
      <c r="C1747" s="2" t="s">
        <v>572</v>
      </c>
      <c r="D1747" s="2" t="str">
        <f t="shared" si="26"/>
        <v>Error?</v>
      </c>
    </row>
    <row r="1748" spans="1:5" x14ac:dyDescent="0.2">
      <c r="A1748" s="5">
        <v>1687</v>
      </c>
      <c r="B1748" s="138">
        <f>'Tax Sched 23'!B8</f>
        <v>638421</v>
      </c>
      <c r="C1748" s="2" t="s">
        <v>572</v>
      </c>
      <c r="D1748" s="2" t="str">
        <f t="shared" si="26"/>
        <v>Error?</v>
      </c>
    </row>
    <row r="1749" spans="1:5" x14ac:dyDescent="0.2">
      <c r="A1749" s="5">
        <v>1688</v>
      </c>
      <c r="B1749" s="138">
        <f>'Tax Sched 23'!B10</f>
        <v>711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657904</v>
      </c>
      <c r="C1752" s="2" t="s">
        <v>572</v>
      </c>
      <c r="D1752" s="2" t="str">
        <f t="shared" si="26"/>
        <v>Error?</v>
      </c>
    </row>
    <row r="1753" spans="1:5" x14ac:dyDescent="0.2">
      <c r="A1753" s="5">
        <v>1692</v>
      </c>
      <c r="B1753" s="138">
        <f>'Tax Sched 23'!B12</f>
        <v>316896</v>
      </c>
      <c r="C1753" s="2" t="s">
        <v>572</v>
      </c>
      <c r="D1753" s="2" t="str">
        <f t="shared" si="26"/>
        <v>Error?</v>
      </c>
    </row>
    <row r="1754" spans="1:5" x14ac:dyDescent="0.2">
      <c r="A1754" s="5">
        <v>1693</v>
      </c>
      <c r="B1754" s="138">
        <f>'Tax Sched 23'!B14</f>
        <v>682257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32465057</v>
      </c>
      <c r="C1759" s="2" t="s">
        <v>572</v>
      </c>
      <c r="D1759" s="2" t="str">
        <f t="shared" si="26"/>
        <v>Error?</v>
      </c>
    </row>
    <row r="1760" spans="1:5" x14ac:dyDescent="0.2">
      <c r="A1760" s="5">
        <v>1699</v>
      </c>
      <c r="B1760" s="138">
        <f>'Tax Sched 23'!D4</f>
        <v>-4747454</v>
      </c>
      <c r="C1760" s="2" t="s">
        <v>572</v>
      </c>
      <c r="D1760" s="2" t="str">
        <f t="shared" si="26"/>
        <v>Error?</v>
      </c>
    </row>
    <row r="1761" spans="1:5" x14ac:dyDescent="0.2">
      <c r="A1761" s="5">
        <v>1700</v>
      </c>
      <c r="B1761" s="138">
        <f>'Tax Sched 23'!D5</f>
        <v>-844102</v>
      </c>
      <c r="C1761" s="2" t="s">
        <v>572</v>
      </c>
      <c r="D1761" s="2" t="str">
        <f t="shared" si="26"/>
        <v>Error?</v>
      </c>
    </row>
    <row r="1762" spans="1:5" s="8" customFormat="1" x14ac:dyDescent="0.2">
      <c r="A1762" s="5">
        <v>1701</v>
      </c>
      <c r="B1762" s="138">
        <f>'Tax Sched 23'!D6</f>
        <v>124196</v>
      </c>
      <c r="C1762" s="2" t="s">
        <v>572</v>
      </c>
      <c r="D1762" s="2" t="str">
        <f t="shared" si="26"/>
        <v>Error?</v>
      </c>
      <c r="E1762" s="9"/>
    </row>
    <row r="1763" spans="1:5" x14ac:dyDescent="0.2">
      <c r="A1763" s="5">
        <v>1702</v>
      </c>
      <c r="B1763" s="138">
        <f>'Tax Sched 23'!D7</f>
        <v>-429425</v>
      </c>
      <c r="C1763" s="2" t="s">
        <v>572</v>
      </c>
      <c r="D1763" s="2" t="str">
        <f t="shared" si="26"/>
        <v>Error?</v>
      </c>
    </row>
    <row r="1764" spans="1:5" x14ac:dyDescent="0.2">
      <c r="A1764" s="5">
        <v>1703</v>
      </c>
      <c r="B1764" s="138">
        <f>'Tax Sched 23'!D8</f>
        <v>-187040</v>
      </c>
      <c r="C1764" s="2" t="s">
        <v>572</v>
      </c>
      <c r="D1764" s="2" t="str">
        <f t="shared" si="26"/>
        <v>Error?</v>
      </c>
    </row>
    <row r="1765" spans="1:5" x14ac:dyDescent="0.2">
      <c r="A1765" s="5">
        <v>1704</v>
      </c>
      <c r="B1765" s="138">
        <f>'Tax Sched 23'!D10</f>
        <v>-669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-167557</v>
      </c>
      <c r="C1768" s="2" t="s">
        <v>572</v>
      </c>
      <c r="D1768" s="2" t="str">
        <f t="shared" si="26"/>
        <v>Error?</v>
      </c>
    </row>
    <row r="1769" spans="1:5" x14ac:dyDescent="0.2">
      <c r="A1769" s="5">
        <v>1708</v>
      </c>
      <c r="B1769" s="138">
        <f>'Tax Sched 23'!D12</f>
        <v>-95834</v>
      </c>
      <c r="C1769" s="2" t="s">
        <v>572</v>
      </c>
      <c r="D1769" s="2" t="str">
        <f t="shared" si="26"/>
        <v>Error?</v>
      </c>
    </row>
    <row r="1770" spans="1:5" x14ac:dyDescent="0.2">
      <c r="A1770" s="5">
        <v>1709</v>
      </c>
      <c r="B1770" s="138">
        <f>'Tax Sched 23'!D14</f>
        <v>-143204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-6683603</v>
      </c>
      <c r="C1775" s="2" t="s">
        <v>572</v>
      </c>
      <c r="D1775" s="2" t="str">
        <f t="shared" si="26"/>
        <v>Error?</v>
      </c>
    </row>
    <row r="1776" spans="1:5" x14ac:dyDescent="0.2">
      <c r="A1776" s="5">
        <v>1715</v>
      </c>
      <c r="B1776" s="138">
        <f>'Tax Sched 23'!C4</f>
        <v>26792972</v>
      </c>
      <c r="D1776" s="2" t="str">
        <f t="shared" si="26"/>
        <v>Error?</v>
      </c>
    </row>
    <row r="1777" spans="1:4" x14ac:dyDescent="0.2">
      <c r="A1777" s="5">
        <v>1716</v>
      </c>
      <c r="B1777" s="138">
        <f>'Tax Sched 23'!C5</f>
        <v>4185971</v>
      </c>
      <c r="D1777" s="2" t="str">
        <f t="shared" si="26"/>
        <v>Error?</v>
      </c>
    </row>
    <row r="1778" spans="1:4" x14ac:dyDescent="0.2">
      <c r="A1778" s="5">
        <v>1717</v>
      </c>
      <c r="B1778" s="138">
        <f>'Tax Sched 23'!C6</f>
        <v>2722089</v>
      </c>
      <c r="D1778" s="2" t="str">
        <f t="shared" si="26"/>
        <v>Error?</v>
      </c>
    </row>
    <row r="1779" spans="1:4" x14ac:dyDescent="0.2">
      <c r="A1779" s="5">
        <v>1718</v>
      </c>
      <c r="B1779" s="138">
        <f>'Tax Sched 23'!C7</f>
        <v>1649542</v>
      </c>
      <c r="D1779" s="2" t="str">
        <f t="shared" si="26"/>
        <v>Error?</v>
      </c>
    </row>
    <row r="1780" spans="1:4" x14ac:dyDescent="0.2">
      <c r="A1780" s="5">
        <v>1719</v>
      </c>
      <c r="B1780" s="138">
        <f>'Tax Sched 23'!C8</f>
        <v>825461</v>
      </c>
      <c r="D1780" s="2" t="str">
        <f t="shared" si="26"/>
        <v>Error?</v>
      </c>
    </row>
    <row r="1781" spans="1:4" x14ac:dyDescent="0.2">
      <c r="A1781" s="5">
        <v>1720</v>
      </c>
      <c r="B1781" s="138">
        <f>'Tax Sched 23'!C10</f>
        <v>1380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825461</v>
      </c>
      <c r="D1784" s="2" t="str">
        <f t="shared" si="26"/>
        <v>Error?</v>
      </c>
    </row>
    <row r="1785" spans="1:4" x14ac:dyDescent="0.2">
      <c r="A1785" s="5">
        <v>1724</v>
      </c>
      <c r="B1785" s="138">
        <f>'Tax Sched 23'!C12</f>
        <v>412730</v>
      </c>
      <c r="D1785" s="2" t="str">
        <f t="shared" si="26"/>
        <v>Error?</v>
      </c>
    </row>
    <row r="1786" spans="1:4" x14ac:dyDescent="0.2">
      <c r="A1786" s="5">
        <v>1725</v>
      </c>
      <c r="B1786" s="138">
        <f>'Tax Sched 23'!C14</f>
        <v>825461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39148660</v>
      </c>
      <c r="C1791" s="2" t="s">
        <v>572</v>
      </c>
      <c r="D1791" s="2" t="str">
        <f t="shared" ref="D1791:D1854" si="27">IF(ISBLANK(B1791),"OK",IF(A1791-B1791=0,"OK","Error?"))</f>
        <v>Error?</v>
      </c>
    </row>
    <row r="1792" spans="1:4" x14ac:dyDescent="0.2">
      <c r="A1792" s="5">
        <v>1731</v>
      </c>
      <c r="B1792" s="138">
        <f>'Tax Sched 23'!F4</f>
        <v>-20608198</v>
      </c>
      <c r="C1792" s="2" t="s">
        <v>572</v>
      </c>
      <c r="D1792" s="2" t="str">
        <f t="shared" si="27"/>
        <v>Error?</v>
      </c>
    </row>
    <row r="1793" spans="1:4" x14ac:dyDescent="0.2">
      <c r="A1793" s="5">
        <v>1732</v>
      </c>
      <c r="B1793" s="138">
        <f>'Tax Sched 23'!F5</f>
        <v>-3219702</v>
      </c>
      <c r="C1793" s="2" t="s">
        <v>572</v>
      </c>
      <c r="D1793" s="2" t="str">
        <f t="shared" si="27"/>
        <v>Error?</v>
      </c>
    </row>
    <row r="1794" spans="1:4" x14ac:dyDescent="0.2">
      <c r="A1794" s="5">
        <v>1733</v>
      </c>
      <c r="B1794" s="138">
        <f>'Tax Sched 23'!F6</f>
        <v>-2093736</v>
      </c>
      <c r="C1794" s="2" t="s">
        <v>572</v>
      </c>
      <c r="D1794" s="2" t="str">
        <f t="shared" si="27"/>
        <v>Error?</v>
      </c>
    </row>
    <row r="1795" spans="1:4" x14ac:dyDescent="0.2">
      <c r="A1795" s="5">
        <v>1734</v>
      </c>
      <c r="B1795" s="138">
        <f>'Tax Sched 23'!F7</f>
        <v>-1268773</v>
      </c>
      <c r="C1795" s="2" t="s">
        <v>572</v>
      </c>
      <c r="D1795" s="2" t="str">
        <f t="shared" si="27"/>
        <v>Error?</v>
      </c>
    </row>
    <row r="1796" spans="1:4" x14ac:dyDescent="0.2">
      <c r="A1796" s="5">
        <v>1735</v>
      </c>
      <c r="B1796" s="138">
        <f>'Tax Sched 23'!F8</f>
        <v>-634918</v>
      </c>
      <c r="C1796" s="2" t="s">
        <v>572</v>
      </c>
      <c r="D1796" s="2" t="str">
        <f t="shared" si="27"/>
        <v>Error?</v>
      </c>
    </row>
    <row r="1797" spans="1:4" x14ac:dyDescent="0.2">
      <c r="A1797" s="5">
        <v>1736</v>
      </c>
      <c r="B1797" s="138">
        <f>'Tax Sched 23'!F10</f>
        <v>-1064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-634918</v>
      </c>
      <c r="C1800" s="2" t="s">
        <v>572</v>
      </c>
      <c r="D1800" s="2" t="str">
        <f t="shared" si="27"/>
        <v>Error?</v>
      </c>
    </row>
    <row r="1801" spans="1:4" x14ac:dyDescent="0.2">
      <c r="A1801" s="5">
        <v>1740</v>
      </c>
      <c r="B1801" s="138">
        <f>'Tax Sched 23'!F12</f>
        <v>-317454</v>
      </c>
      <c r="C1801" s="2" t="s">
        <v>572</v>
      </c>
      <c r="D1801" s="2" t="str">
        <f t="shared" si="27"/>
        <v>Error?</v>
      </c>
    </row>
    <row r="1802" spans="1:4" x14ac:dyDescent="0.2">
      <c r="A1802" s="5">
        <v>1741</v>
      </c>
      <c r="B1802" s="138">
        <f>'Tax Sched 23'!F14</f>
        <v>-634918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-30111772</v>
      </c>
      <c r="C1807" s="2" t="s">
        <v>572</v>
      </c>
      <c r="D1807" s="2" t="str">
        <f t="shared" si="27"/>
        <v>Error?</v>
      </c>
    </row>
    <row r="1808" spans="1:4" x14ac:dyDescent="0.2">
      <c r="A1808" s="5">
        <v>1747</v>
      </c>
      <c r="B1808" s="138">
        <f>'Tax Sched 23'!E4</f>
        <v>6184774</v>
      </c>
      <c r="D1808" s="2" t="str">
        <f t="shared" si="27"/>
        <v>Error?</v>
      </c>
    </row>
    <row r="1809" spans="1:4" x14ac:dyDescent="0.2">
      <c r="A1809" s="5">
        <v>1748</v>
      </c>
      <c r="B1809" s="138">
        <f>'Tax Sched 23'!E5</f>
        <v>966269</v>
      </c>
      <c r="D1809" s="2" t="str">
        <f t="shared" si="27"/>
        <v>Error?</v>
      </c>
    </row>
    <row r="1810" spans="1:4" x14ac:dyDescent="0.2">
      <c r="A1810" s="5">
        <v>1749</v>
      </c>
      <c r="B1810" s="138">
        <f>'Tax Sched 23'!E6</f>
        <v>628353</v>
      </c>
      <c r="D1810" s="2" t="str">
        <f t="shared" si="27"/>
        <v>Error?</v>
      </c>
    </row>
    <row r="1811" spans="1:4" x14ac:dyDescent="0.2">
      <c r="A1811" s="5">
        <v>1750</v>
      </c>
      <c r="B1811" s="138">
        <f>'Tax Sched 23'!E7</f>
        <v>380769</v>
      </c>
      <c r="D1811" s="2" t="str">
        <f t="shared" si="27"/>
        <v>Error?</v>
      </c>
    </row>
    <row r="1812" spans="1:4" x14ac:dyDescent="0.2">
      <c r="A1812" s="5">
        <v>1751</v>
      </c>
      <c r="B1812" s="138">
        <f>'Tax Sched 23'!E8</f>
        <v>190543</v>
      </c>
      <c r="D1812" s="2" t="str">
        <f t="shared" si="27"/>
        <v>Error?</v>
      </c>
    </row>
    <row r="1813" spans="1:4" x14ac:dyDescent="0.2">
      <c r="A1813" s="5">
        <v>1752</v>
      </c>
      <c r="B1813" s="138">
        <f>'Tax Sched 23'!E10</f>
        <v>316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190543</v>
      </c>
      <c r="D1816" s="2" t="str">
        <f t="shared" si="27"/>
        <v>Error?</v>
      </c>
    </row>
    <row r="1817" spans="1:4" x14ac:dyDescent="0.2">
      <c r="A1817" s="5">
        <v>1756</v>
      </c>
      <c r="B1817" s="138">
        <f>'Tax Sched 23'!E12</f>
        <v>95276</v>
      </c>
      <c r="D1817" s="2" t="str">
        <f t="shared" si="27"/>
        <v>Error?</v>
      </c>
    </row>
    <row r="1818" spans="1:4" x14ac:dyDescent="0.2">
      <c r="A1818" s="5">
        <v>1757</v>
      </c>
      <c r="B1818" s="138">
        <f>'Tax Sched 23'!E14</f>
        <v>190543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9036888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39179000</v>
      </c>
      <c r="C1939" s="2" t="s">
        <v>572</v>
      </c>
      <c r="D1939" s="2" t="str">
        <f t="shared" si="29"/>
        <v>Error?</v>
      </c>
    </row>
    <row r="1940" spans="1:5" x14ac:dyDescent="0.2">
      <c r="A1940" s="5">
        <v>1879</v>
      </c>
      <c r="B1940" s="138">
        <f>'Short-Term Long-Term Debt 24'!F49</f>
        <v>3072000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827220</v>
      </c>
      <c r="D1971" s="2" t="str">
        <f t="shared" si="29"/>
        <v>Error?</v>
      </c>
    </row>
    <row r="1972" spans="1:5" x14ac:dyDescent="0.2">
      <c r="A1972" s="5">
        <v>1911</v>
      </c>
      <c r="B1972" s="138">
        <f>'Rest Tax Levies-Tort Im 25'!H5</f>
        <v>558655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287306</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845961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348865</v>
      </c>
      <c r="D1980" s="2" t="str">
        <f t="shared" si="29"/>
        <v>Error?</v>
      </c>
    </row>
    <row r="1981" spans="1:5" x14ac:dyDescent="0.2">
      <c r="A1981" s="10">
        <v>1920</v>
      </c>
      <c r="D1981" s="2" t="str">
        <f t="shared" si="29"/>
        <v>OK</v>
      </c>
      <c r="E1981" s="2" t="s">
        <v>135</v>
      </c>
    </row>
    <row r="1982" spans="1:5" x14ac:dyDescent="0.2">
      <c r="A1982" s="5">
        <v>1921</v>
      </c>
      <c r="B1982" s="138">
        <f>'Rest Tax Levies-Tort Im 25'!H23</f>
        <v>348865</v>
      </c>
      <c r="C1982" s="2" t="s">
        <v>572</v>
      </c>
      <c r="D1982" s="2" t="str">
        <f t="shared" si="29"/>
        <v>Error?</v>
      </c>
    </row>
    <row r="1983" spans="1:5" x14ac:dyDescent="0.2">
      <c r="A1983" s="5">
        <v>1922</v>
      </c>
      <c r="B1983" s="138">
        <f>'Rest Tax Levies-Tort Im 25'!H24</f>
        <v>1324316</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1085115</v>
      </c>
      <c r="D2008" s="2" t="str">
        <f t="shared" si="30"/>
        <v>Error?</v>
      </c>
    </row>
    <row r="2009" spans="1:4" x14ac:dyDescent="0.2">
      <c r="A2009" s="5">
        <v>1948</v>
      </c>
      <c r="B2009" s="138">
        <f>'Cap Outlay Deprec 26'!C8</f>
        <v>125970047</v>
      </c>
      <c r="D2009" s="2" t="str">
        <f t="shared" si="30"/>
        <v>Error?</v>
      </c>
    </row>
    <row r="2010" spans="1:4" x14ac:dyDescent="0.2">
      <c r="A2010" s="5">
        <v>1949</v>
      </c>
      <c r="B2010" s="138">
        <f>'Cap Outlay Deprec 26'!C10</f>
        <v>1096679</v>
      </c>
      <c r="D2010" s="2" t="str">
        <f t="shared" si="30"/>
        <v>Error?</v>
      </c>
    </row>
    <row r="2011" spans="1:4" x14ac:dyDescent="0.2">
      <c r="A2011" s="5">
        <v>1950</v>
      </c>
      <c r="B2011" s="138">
        <f>'Cap Outlay Deprec 26'!C12</f>
        <v>21456496</v>
      </c>
      <c r="D2011" s="2" t="str">
        <f t="shared" si="30"/>
        <v>Error?</v>
      </c>
    </row>
    <row r="2012" spans="1:4" x14ac:dyDescent="0.2">
      <c r="A2012" s="5">
        <v>1951</v>
      </c>
      <c r="B2012" s="138">
        <f>'Cap Outlay Deprec 26'!C13</f>
        <v>96446</v>
      </c>
      <c r="D2012" s="2" t="str">
        <f t="shared" si="30"/>
        <v>Error?</v>
      </c>
    </row>
    <row r="2013" spans="1:4" x14ac:dyDescent="0.2">
      <c r="A2013" s="5">
        <v>1952</v>
      </c>
      <c r="B2013" s="138">
        <f>'Cap Outlay Deprec 26'!C16</f>
        <v>149704783</v>
      </c>
      <c r="C2013" s="2" t="s">
        <v>572</v>
      </c>
      <c r="D2013" s="2" t="str">
        <f t="shared" si="30"/>
        <v>Error?</v>
      </c>
    </row>
    <row r="2014" spans="1:4" x14ac:dyDescent="0.2">
      <c r="A2014" s="5">
        <v>1953</v>
      </c>
      <c r="B2014" s="138">
        <f>'Cap Outlay Deprec 26'!D5</f>
        <v>425</v>
      </c>
      <c r="D2014" s="2" t="str">
        <f t="shared" si="30"/>
        <v>Error?</v>
      </c>
    </row>
    <row r="2015" spans="1:4" x14ac:dyDescent="0.2">
      <c r="A2015" s="5">
        <v>1954</v>
      </c>
      <c r="B2015" s="138">
        <f>'Cap Outlay Deprec 26'!D8</f>
        <v>4132320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585806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4718551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1085540</v>
      </c>
      <c r="C2026" s="2" t="s">
        <v>572</v>
      </c>
      <c r="D2026" s="2" t="str">
        <f t="shared" si="30"/>
        <v>Error?</v>
      </c>
    </row>
    <row r="2027" spans="1:4" x14ac:dyDescent="0.2">
      <c r="A2027" s="5">
        <v>1966</v>
      </c>
      <c r="B2027" s="138">
        <f>'Cap Outlay Deprec 26'!F8</f>
        <v>130102367</v>
      </c>
      <c r="C2027" s="2" t="s">
        <v>572</v>
      </c>
      <c r="D2027" s="2" t="str">
        <f t="shared" si="30"/>
        <v>Error?</v>
      </c>
    </row>
    <row r="2028" spans="1:4" x14ac:dyDescent="0.2">
      <c r="A2028" s="5">
        <v>1967</v>
      </c>
      <c r="B2028" s="138">
        <f>'Cap Outlay Deprec 26'!F10</f>
        <v>1096679</v>
      </c>
      <c r="C2028" s="2" t="s">
        <v>572</v>
      </c>
      <c r="D2028" s="2" t="str">
        <f t="shared" si="30"/>
        <v>Error?</v>
      </c>
    </row>
    <row r="2029" spans="1:4" x14ac:dyDescent="0.2">
      <c r="A2029" s="5">
        <v>1968</v>
      </c>
      <c r="B2029" s="138">
        <f>'Cap Outlay Deprec 26'!F12</f>
        <v>22042302</v>
      </c>
      <c r="C2029" s="2" t="s">
        <v>572</v>
      </c>
      <c r="D2029" s="2" t="str">
        <f t="shared" si="30"/>
        <v>Error?</v>
      </c>
    </row>
    <row r="2030" spans="1:4" x14ac:dyDescent="0.2">
      <c r="A2030" s="5">
        <v>1969</v>
      </c>
      <c r="B2030" s="138">
        <f>'Cap Outlay Deprec 26'!F13</f>
        <v>96446</v>
      </c>
      <c r="C2030" s="2" t="s">
        <v>572</v>
      </c>
      <c r="D2030" s="2" t="str">
        <f t="shared" si="30"/>
        <v>Error?</v>
      </c>
    </row>
    <row r="2031" spans="1:4" x14ac:dyDescent="0.2">
      <c r="A2031" s="5">
        <v>1970</v>
      </c>
      <c r="B2031" s="138">
        <f>'Cap Outlay Deprec 26'!F16</f>
        <v>154423334</v>
      </c>
      <c r="C2031" s="2" t="s">
        <v>572</v>
      </c>
      <c r="D2031" s="2" t="str">
        <f t="shared" si="30"/>
        <v>Error?</v>
      </c>
    </row>
    <row r="2032" spans="1:4" x14ac:dyDescent="0.2">
      <c r="A2032" s="10">
        <v>1971</v>
      </c>
      <c r="D2032" s="2" t="str">
        <f t="shared" si="30"/>
        <v>OK</v>
      </c>
    </row>
    <row r="2033" spans="1:4" x14ac:dyDescent="0.2">
      <c r="A2033" s="5">
        <v>1972</v>
      </c>
      <c r="B2033" s="138">
        <f>'Cap Outlay Deprec 26'!H8</f>
        <v>41623584</v>
      </c>
      <c r="D2033" s="2" t="str">
        <f t="shared" si="30"/>
        <v>Error?</v>
      </c>
    </row>
    <row r="2034" spans="1:4" x14ac:dyDescent="0.2">
      <c r="A2034" s="5">
        <v>1973</v>
      </c>
      <c r="B2034" s="138">
        <f>'Cap Outlay Deprec 26'!H10</f>
        <v>1096679</v>
      </c>
      <c r="D2034" s="2" t="str">
        <f t="shared" si="30"/>
        <v>Error?</v>
      </c>
    </row>
    <row r="2035" spans="1:4" x14ac:dyDescent="0.2">
      <c r="A2035" s="5">
        <v>1974</v>
      </c>
      <c r="B2035" s="138">
        <f>'Cap Outlay Deprec 26'!H12</f>
        <v>17199951</v>
      </c>
      <c r="D2035" s="2" t="str">
        <f t="shared" si="30"/>
        <v>Error?</v>
      </c>
    </row>
    <row r="2036" spans="1:4" x14ac:dyDescent="0.2">
      <c r="A2036" s="5">
        <v>1975</v>
      </c>
      <c r="B2036" s="138">
        <f>'Cap Outlay Deprec 26'!H13</f>
        <v>96446</v>
      </c>
      <c r="D2036" s="2" t="str">
        <f t="shared" si="30"/>
        <v>Error?</v>
      </c>
    </row>
    <row r="2037" spans="1:4" x14ac:dyDescent="0.2">
      <c r="A2037" s="5">
        <v>1976</v>
      </c>
      <c r="B2037" s="138">
        <f>'Cap Outlay Deprec 26'!H16</f>
        <v>60016660</v>
      </c>
      <c r="C2037" s="2" t="s">
        <v>572</v>
      </c>
      <c r="D2037" s="2" t="str">
        <f t="shared" si="30"/>
        <v>Error?</v>
      </c>
    </row>
    <row r="2038" spans="1:4" x14ac:dyDescent="0.2">
      <c r="A2038" s="10">
        <v>1977</v>
      </c>
      <c r="D2038" s="2" t="str">
        <f t="shared" si="30"/>
        <v>OK</v>
      </c>
    </row>
    <row r="2039" spans="1:4" x14ac:dyDescent="0.2">
      <c r="A2039" s="5">
        <v>1978</v>
      </c>
      <c r="B2039" s="138">
        <f>'Cap Outlay Deprec 26'!I8</f>
        <v>2602047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484235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3086282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44225631</v>
      </c>
      <c r="C2051" s="2" t="s">
        <v>572</v>
      </c>
      <c r="D2051" s="2" t="str">
        <f t="shared" si="31"/>
        <v>Error?</v>
      </c>
    </row>
    <row r="2052" spans="1:4" x14ac:dyDescent="0.2">
      <c r="A2052" s="5">
        <v>1991</v>
      </c>
      <c r="B2052" s="138">
        <f>'Cap Outlay Deprec 26'!K10</f>
        <v>1096679</v>
      </c>
      <c r="C2052" s="2" t="s">
        <v>572</v>
      </c>
      <c r="D2052" s="2" t="str">
        <f t="shared" si="31"/>
        <v>Error?</v>
      </c>
    </row>
    <row r="2053" spans="1:4" x14ac:dyDescent="0.2">
      <c r="A2053" s="5">
        <v>1992</v>
      </c>
      <c r="B2053" s="138">
        <f>'Cap Outlay Deprec 26'!K12</f>
        <v>17684186</v>
      </c>
      <c r="C2053" s="2" t="s">
        <v>572</v>
      </c>
      <c r="D2053" s="2" t="str">
        <f t="shared" si="31"/>
        <v>Error?</v>
      </c>
    </row>
    <row r="2054" spans="1:4" x14ac:dyDescent="0.2">
      <c r="A2054" s="5">
        <v>1993</v>
      </c>
      <c r="B2054" s="138">
        <f>'Cap Outlay Deprec 26'!K13</f>
        <v>96446</v>
      </c>
      <c r="C2054" s="2" t="s">
        <v>572</v>
      </c>
      <c r="D2054" s="2" t="str">
        <f t="shared" si="31"/>
        <v>Error?</v>
      </c>
    </row>
    <row r="2055" spans="1:4" x14ac:dyDescent="0.2">
      <c r="A2055" s="5">
        <v>1994</v>
      </c>
      <c r="B2055" s="138">
        <f>'Cap Outlay Deprec 26'!K16</f>
        <v>63102942</v>
      </c>
      <c r="C2055" s="2" t="s">
        <v>572</v>
      </c>
      <c r="D2055" s="2" t="str">
        <f t="shared" si="31"/>
        <v>Error?</v>
      </c>
    </row>
    <row r="2056" spans="1:4" x14ac:dyDescent="0.2">
      <c r="A2056" s="5">
        <v>1995</v>
      </c>
      <c r="B2056" s="138">
        <f>'Cap Outlay Deprec 26'!L5</f>
        <v>1085540</v>
      </c>
      <c r="C2056" s="2" t="s">
        <v>572</v>
      </c>
      <c r="D2056" s="2" t="str">
        <f t="shared" si="31"/>
        <v>Error?</v>
      </c>
    </row>
    <row r="2057" spans="1:4" x14ac:dyDescent="0.2">
      <c r="A2057" s="5">
        <v>1996</v>
      </c>
      <c r="B2057" s="138">
        <f>'Cap Outlay Deprec 26'!L8</f>
        <v>85876736</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4358116</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91320392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982945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1024945</v>
      </c>
      <c r="C2088" s="2" t="s">
        <v>572</v>
      </c>
      <c r="D2088" s="2" t="str">
        <f t="shared" si="31"/>
        <v>Error?</v>
      </c>
    </row>
    <row r="2089" spans="1:4" x14ac:dyDescent="0.2">
      <c r="A2089" s="5">
        <v>2028</v>
      </c>
      <c r="B2089" s="138">
        <f>'Expenditures 15-22'!K92</f>
        <v>166437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17473</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69085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26356894</v>
      </c>
      <c r="C2551" s="2" t="s">
        <v>572</v>
      </c>
      <c r="D2551" s="2" t="str">
        <f t="shared" si="38"/>
        <v>Error?</v>
      </c>
    </row>
    <row r="2552" spans="1:4" x14ac:dyDescent="0.2">
      <c r="A2552" s="10">
        <v>2491</v>
      </c>
      <c r="D2552" s="2" t="str">
        <f t="shared" si="38"/>
        <v>OK</v>
      </c>
    </row>
    <row r="2553" spans="1:4" x14ac:dyDescent="0.2">
      <c r="A2553" s="5">
        <v>2492</v>
      </c>
      <c r="B2553" s="138">
        <f>'Acct Summary 7-8'!C6</f>
        <v>16166283</v>
      </c>
      <c r="C2553" s="2" t="s">
        <v>572</v>
      </c>
      <c r="D2553" s="2" t="str">
        <f t="shared" si="38"/>
        <v>Error?</v>
      </c>
    </row>
    <row r="2554" spans="1:4" x14ac:dyDescent="0.2">
      <c r="A2554" s="5">
        <v>2493</v>
      </c>
      <c r="B2554" s="138">
        <f>'Acct Summary 7-8'!C7</f>
        <v>7592573</v>
      </c>
      <c r="C2554" s="2" t="s">
        <v>572</v>
      </c>
      <c r="D2554" s="2" t="str">
        <f t="shared" si="38"/>
        <v>Error?</v>
      </c>
    </row>
    <row r="2555" spans="1:4" x14ac:dyDescent="0.2">
      <c r="A2555" s="5">
        <v>2494</v>
      </c>
      <c r="B2555" s="138">
        <f>'Acct Summary 7-8'!C8</f>
        <v>50115750</v>
      </c>
      <c r="C2555" s="2" t="s">
        <v>572</v>
      </c>
      <c r="D2555" s="2" t="str">
        <f t="shared" si="38"/>
        <v>Error?</v>
      </c>
    </row>
    <row r="2556" spans="1:4" x14ac:dyDescent="0.2">
      <c r="A2556" s="5">
        <v>2495</v>
      </c>
      <c r="B2556" s="138">
        <f>'Acct Summary 7-8'!C12</f>
        <v>34507499</v>
      </c>
      <c r="C2556" s="2" t="s">
        <v>572</v>
      </c>
      <c r="D2556" s="2" t="str">
        <f t="shared" si="38"/>
        <v>Error?</v>
      </c>
    </row>
    <row r="2557" spans="1:4" x14ac:dyDescent="0.2">
      <c r="A2557" s="5">
        <v>2496</v>
      </c>
      <c r="B2557" s="138">
        <f>'Acct Summary 7-8'!C13</f>
        <v>18481196</v>
      </c>
      <c r="C2557" s="2" t="s">
        <v>572</v>
      </c>
      <c r="D2557" s="2" t="str">
        <f t="shared" si="38"/>
        <v>Error?</v>
      </c>
    </row>
    <row r="2558" spans="1:4" x14ac:dyDescent="0.2">
      <c r="A2558" s="5">
        <v>2497</v>
      </c>
      <c r="B2558" s="138">
        <f>'Acct Summary 7-8'!C14</f>
        <v>1581463</v>
      </c>
      <c r="C2558" s="2" t="s">
        <v>572</v>
      </c>
      <c r="D2558" s="2" t="str">
        <f t="shared" si="38"/>
        <v>Error?</v>
      </c>
    </row>
    <row r="2559" spans="1:4" x14ac:dyDescent="0.2">
      <c r="A2559" s="5">
        <v>2498</v>
      </c>
      <c r="B2559" s="138">
        <f>'Acct Summary 7-8'!C15</f>
        <v>1207256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55777414</v>
      </c>
      <c r="C2561" s="2" t="s">
        <v>572</v>
      </c>
      <c r="D2561" s="2" t="str">
        <f t="shared" si="39"/>
        <v>Error?</v>
      </c>
    </row>
    <row r="2562" spans="1:4" x14ac:dyDescent="0.2">
      <c r="A2562" s="5">
        <v>2501</v>
      </c>
      <c r="B2562" s="138">
        <f>'Acct Summary 7-8'!C20</f>
        <v>-5661664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3481891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3481891</v>
      </c>
      <c r="C2568" s="2" t="s">
        <v>572</v>
      </c>
      <c r="D2568" s="2" t="str">
        <f t="shared" si="39"/>
        <v>Error?</v>
      </c>
    </row>
    <row r="2569" spans="1:4" x14ac:dyDescent="0.2">
      <c r="A2569" s="5">
        <v>2508</v>
      </c>
      <c r="B2569" s="138">
        <f>'Acct Summary 7-8'!D13</f>
        <v>3773839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3773839</v>
      </c>
      <c r="C2573" s="2" t="s">
        <v>572</v>
      </c>
      <c r="D2573" s="2" t="str">
        <f t="shared" si="39"/>
        <v>Error?</v>
      </c>
    </row>
    <row r="2574" spans="1:4" x14ac:dyDescent="0.2">
      <c r="A2574" s="5">
        <v>2513</v>
      </c>
      <c r="B2574" s="138">
        <f>'Acct Summary 7-8'!D20</f>
        <v>-291948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1240981</v>
      </c>
      <c r="C2591" s="2" t="s">
        <v>572</v>
      </c>
      <c r="D2591" s="2" t="str">
        <f t="shared" si="39"/>
        <v>Error?</v>
      </c>
    </row>
    <row r="2592" spans="1:4" x14ac:dyDescent="0.2">
      <c r="A2592" s="10">
        <v>2531</v>
      </c>
      <c r="D2592" s="2" t="str">
        <f t="shared" si="39"/>
        <v>OK</v>
      </c>
    </row>
    <row r="2593" spans="1:4" x14ac:dyDescent="0.2">
      <c r="A2593" s="5">
        <v>2532</v>
      </c>
      <c r="B2593" s="138">
        <f>'Acct Summary 7-8'!F6</f>
        <v>1000593</v>
      </c>
      <c r="C2593" s="2" t="s">
        <v>572</v>
      </c>
      <c r="D2593" s="2" t="str">
        <f t="shared" si="39"/>
        <v>Error?</v>
      </c>
    </row>
    <row r="2594" spans="1:4" x14ac:dyDescent="0.2">
      <c r="A2594" s="5">
        <v>2533</v>
      </c>
      <c r="B2594" s="138">
        <f>'Acct Summary 7-8'!F7</f>
        <v>73094</v>
      </c>
      <c r="C2594" s="2" t="s">
        <v>572</v>
      </c>
      <c r="D2594" s="2" t="str">
        <f t="shared" si="39"/>
        <v>Error?</v>
      </c>
    </row>
    <row r="2595" spans="1:4" x14ac:dyDescent="0.2">
      <c r="A2595" s="5">
        <v>2534</v>
      </c>
      <c r="B2595" s="138">
        <f>'Acct Summary 7-8'!F8</f>
        <v>2314668</v>
      </c>
      <c r="C2595" s="2" t="s">
        <v>572</v>
      </c>
      <c r="D2595" s="2" t="str">
        <f t="shared" si="39"/>
        <v>Error?</v>
      </c>
    </row>
    <row r="2596" spans="1:4" x14ac:dyDescent="0.2">
      <c r="A2596" s="5">
        <v>2535</v>
      </c>
      <c r="B2596" s="138">
        <f>'Acct Summary 7-8'!F13</f>
        <v>2521068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2521068</v>
      </c>
      <c r="C2600" s="2" t="s">
        <v>572</v>
      </c>
      <c r="D2600" s="2" t="str">
        <f t="shared" si="39"/>
        <v>Error?</v>
      </c>
    </row>
    <row r="2601" spans="1:4" x14ac:dyDescent="0.2">
      <c r="A2601" s="5">
        <v>2540</v>
      </c>
      <c r="B2601" s="138">
        <f>'Acct Summary 7-8'!F20</f>
        <v>-206400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1360381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1360381</v>
      </c>
      <c r="C2606" s="2" t="s">
        <v>572</v>
      </c>
      <c r="D2606" s="2" t="str">
        <f t="shared" si="39"/>
        <v>Error?</v>
      </c>
    </row>
    <row r="2607" spans="1:4" x14ac:dyDescent="0.2">
      <c r="A2607" s="5">
        <v>2546</v>
      </c>
      <c r="B2607" s="138">
        <f>'Acct Summary 7-8'!G12</f>
        <v>561139</v>
      </c>
      <c r="C2607" s="2" t="s">
        <v>572</v>
      </c>
      <c r="D2607" s="2" t="str">
        <f t="shared" si="39"/>
        <v>Error?</v>
      </c>
    </row>
    <row r="2608" spans="1:4" x14ac:dyDescent="0.2">
      <c r="A2608" s="5">
        <v>2547</v>
      </c>
      <c r="B2608" s="138">
        <f>'Acct Summary 7-8'!G13</f>
        <v>838979</v>
      </c>
      <c r="C2608" s="2" t="s">
        <v>572</v>
      </c>
      <c r="D2608" s="2" t="str">
        <f t="shared" si="39"/>
        <v>Error?</v>
      </c>
    </row>
    <row r="2609" spans="1:4" x14ac:dyDescent="0.2">
      <c r="A2609" s="5">
        <v>2548</v>
      </c>
      <c r="B2609" s="138">
        <f>'Acct Summary 7-8'!G14</f>
        <v>36893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1437011</v>
      </c>
      <c r="C2612" s="2" t="s">
        <v>572</v>
      </c>
      <c r="D2612" s="2" t="str">
        <f t="shared" si="39"/>
        <v>Error?</v>
      </c>
    </row>
    <row r="2613" spans="1:4" x14ac:dyDescent="0.2">
      <c r="A2613" s="5">
        <v>2552</v>
      </c>
      <c r="B2613" s="138">
        <f>'Acct Summary 7-8'!G20</f>
        <v>-76630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2888530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2888530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7454591</v>
      </c>
      <c r="C2634" s="2" t="s">
        <v>572</v>
      </c>
      <c r="D2634" s="2" t="str">
        <f t="shared" si="40"/>
        <v>Error?</v>
      </c>
    </row>
    <row r="2635" spans="1:4" x14ac:dyDescent="0.2">
      <c r="A2635" s="5">
        <v>2574</v>
      </c>
      <c r="B2635" s="138">
        <f>'Acct Summary 7-8'!E17</f>
        <v>7454591</v>
      </c>
      <c r="C2635" s="2" t="s">
        <v>572</v>
      </c>
      <c r="D2635" s="2" t="str">
        <f t="shared" si="40"/>
        <v>Error?</v>
      </c>
    </row>
    <row r="2636" spans="1:4" x14ac:dyDescent="0.2">
      <c r="A2636" s="5">
        <v>2575</v>
      </c>
      <c r="B2636" s="138">
        <f>'Acct Summary 7-8'!E20</f>
        <v>-4566061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3573100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3573100</v>
      </c>
      <c r="C2658" s="2" t="s">
        <v>572</v>
      </c>
      <c r="D2658" s="2" t="str">
        <f t="shared" si="40"/>
        <v>Error?</v>
      </c>
    </row>
    <row r="2659" spans="1:4" x14ac:dyDescent="0.2">
      <c r="A2659" s="5">
        <v>2598</v>
      </c>
      <c r="B2659" s="138">
        <f>'Acct Summary 7-8'!H13</f>
        <v>3240753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3240753</v>
      </c>
      <c r="C2661" s="2" t="s">
        <v>572</v>
      </c>
      <c r="D2661" s="2" t="str">
        <f t="shared" si="40"/>
        <v>Error?</v>
      </c>
    </row>
    <row r="2662" spans="1:4" x14ac:dyDescent="0.2">
      <c r="A2662" s="5">
        <v>2601</v>
      </c>
      <c r="B2662" s="138">
        <f>'Acct Summary 7-8'!H20</f>
        <v>332347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736295</v>
      </c>
      <c r="D2718" s="2" t="str">
        <f t="shared" si="41"/>
        <v>Error?</v>
      </c>
    </row>
    <row r="2719" spans="1:4" x14ac:dyDescent="0.2">
      <c r="A2719" s="5">
        <v>2658</v>
      </c>
      <c r="B2719" s="138">
        <f>'Expenditures 15-22'!D51</f>
        <v>72510</v>
      </c>
      <c r="D2719" s="2" t="str">
        <f t="shared" si="41"/>
        <v>Error?</v>
      </c>
    </row>
    <row r="2720" spans="1:4" x14ac:dyDescent="0.2">
      <c r="A2720" s="5">
        <v>2659</v>
      </c>
      <c r="B2720" s="138">
        <f>'Expenditures 15-22'!E51</f>
        <v>8212</v>
      </c>
      <c r="D2720" s="2" t="str">
        <f t="shared" si="41"/>
        <v>Error?</v>
      </c>
    </row>
    <row r="2721" spans="1:4" x14ac:dyDescent="0.2">
      <c r="A2721" s="5">
        <v>2660</v>
      </c>
      <c r="B2721" s="138">
        <f>'Expenditures 15-22'!F51</f>
        <v>6147</v>
      </c>
      <c r="D2721" s="2" t="str">
        <f t="shared" si="41"/>
        <v>Error?</v>
      </c>
    </row>
    <row r="2722" spans="1:4" x14ac:dyDescent="0.2">
      <c r="A2722" s="5">
        <v>2661</v>
      </c>
      <c r="B2722" s="138">
        <f>'Expenditures 15-22'!G51</f>
        <v>1110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824274</v>
      </c>
      <c r="C2724" s="2" t="s">
        <v>572</v>
      </c>
      <c r="D2724" s="2" t="str">
        <f t="shared" si="41"/>
        <v>Error?</v>
      </c>
    </row>
    <row r="2725" spans="1:4" x14ac:dyDescent="0.2">
      <c r="A2725" s="5">
        <v>2664</v>
      </c>
      <c r="B2725" s="138">
        <f>'Expenditures 15-22'!D247</f>
        <v>6763</v>
      </c>
      <c r="D2725" s="2" t="str">
        <f t="shared" si="41"/>
        <v>Error?</v>
      </c>
    </row>
    <row r="2726" spans="1:4" x14ac:dyDescent="0.2">
      <c r="A2726" s="5">
        <v>2665</v>
      </c>
      <c r="B2726" s="138">
        <f>'Expenditures 15-22'!K247</f>
        <v>6763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42000</v>
      </c>
      <c r="C2789" s="2" t="s">
        <v>572</v>
      </c>
      <c r="D2789" s="2" t="str">
        <f t="shared" si="42"/>
        <v>Error?</v>
      </c>
    </row>
    <row r="2790" spans="1:4" x14ac:dyDescent="0.2">
      <c r="A2790" s="5">
        <v>2729</v>
      </c>
      <c r="B2790" s="138">
        <f>'Expenditures 15-22'!E102</f>
        <v>42000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1064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7047208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1766922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670</v>
      </c>
      <c r="D2908" s="2" t="str">
        <f t="shared" si="44"/>
        <v>Error?</v>
      </c>
    </row>
    <row r="2909" spans="1:4" x14ac:dyDescent="0.2">
      <c r="A2909" s="10">
        <v>2848</v>
      </c>
      <c r="D2909" s="2" t="str">
        <f t="shared" si="44"/>
        <v>OK</v>
      </c>
    </row>
    <row r="2910" spans="1:4" x14ac:dyDescent="0.2">
      <c r="A2910" s="5">
        <v>2849</v>
      </c>
      <c r="B2910" s="138">
        <f>'Assets-Liab 5-6'!I34</f>
        <v>670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7046538</v>
      </c>
      <c r="D2912" s="2" t="str">
        <f t="shared" si="44"/>
        <v>Error?</v>
      </c>
    </row>
    <row r="2913" spans="1:4" x14ac:dyDescent="0.2">
      <c r="A2913" s="5">
        <v>2852</v>
      </c>
      <c r="B2913" s="138">
        <f>'Assets-Liab 5-6'!I41</f>
        <v>7047208</v>
      </c>
      <c r="C2913" s="2" t="s">
        <v>572</v>
      </c>
      <c r="D2913" s="2" t="str">
        <f t="shared" si="44"/>
        <v>Error?</v>
      </c>
    </row>
    <row r="2914" spans="1:4" x14ac:dyDescent="0.2">
      <c r="A2914" s="5">
        <v>2853</v>
      </c>
      <c r="B2914" s="138">
        <f>'Assets-Liab 5-6'!L33</f>
        <v>1766922</v>
      </c>
      <c r="D2914" s="2" t="str">
        <f t="shared" si="44"/>
        <v>Error?</v>
      </c>
    </row>
    <row r="2915" spans="1:4" x14ac:dyDescent="0.2">
      <c r="A2915" s="10">
        <v>2854</v>
      </c>
      <c r="D2915" s="2" t="str">
        <f t="shared" si="44"/>
        <v>OK</v>
      </c>
    </row>
    <row r="2916" spans="1:4" x14ac:dyDescent="0.2">
      <c r="A2916" s="5">
        <v>2855</v>
      </c>
      <c r="B2916" s="138">
        <f>'Assets-Liab 5-6'!L34</f>
        <v>1766922</v>
      </c>
      <c r="C2916" s="2" t="s">
        <v>572</v>
      </c>
      <c r="D2916" s="2" t="str">
        <f t="shared" si="44"/>
        <v>Error?</v>
      </c>
    </row>
    <row r="2917" spans="1:4" x14ac:dyDescent="0.2">
      <c r="A2917" s="5">
        <v>2856</v>
      </c>
      <c r="B2917" s="138">
        <f>'Assets-Liab 5-6'!L41</f>
        <v>1766922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42000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110158</v>
      </c>
      <c r="D2955" s="2" t="str">
        <f t="shared" si="45"/>
        <v>Error?</v>
      </c>
    </row>
    <row r="2956" spans="1:4" x14ac:dyDescent="0.2">
      <c r="A2956" s="5">
        <v>2895</v>
      </c>
      <c r="B2956" s="138">
        <f>'Expenditures 15-22'!H79</f>
        <v>276028</v>
      </c>
      <c r="D2956" s="2" t="str">
        <f t="shared" si="45"/>
        <v>Error?</v>
      </c>
    </row>
    <row r="2957" spans="1:4" x14ac:dyDescent="0.2">
      <c r="A2957" s="5">
        <v>2896</v>
      </c>
      <c r="B2957" s="138">
        <f>'Expenditures 15-22'!H80</f>
        <v>295564</v>
      </c>
      <c r="D2957" s="2" t="str">
        <f t="shared" si="45"/>
        <v>Error?</v>
      </c>
    </row>
    <row r="2958" spans="1:4" x14ac:dyDescent="0.2">
      <c r="A2958" s="5">
        <v>2897</v>
      </c>
      <c r="B2958" s="138">
        <f>'Expenditures 15-22'!H81</f>
        <v>4298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296897</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152158</v>
      </c>
      <c r="C2973" s="2" t="s">
        <v>572</v>
      </c>
      <c r="D2973" s="2" t="str">
        <f t="shared" si="45"/>
        <v>Error?</v>
      </c>
    </row>
    <row r="2974" spans="1:4" x14ac:dyDescent="0.2">
      <c r="A2974" s="5">
        <v>2913</v>
      </c>
      <c r="B2974" s="138">
        <f>'Expenditures 15-22'!K79</f>
        <v>276028</v>
      </c>
      <c r="C2974" s="2" t="s">
        <v>572</v>
      </c>
      <c r="D2974" s="2" t="str">
        <f t="shared" si="45"/>
        <v>Error?</v>
      </c>
    </row>
    <row r="2975" spans="1:4" x14ac:dyDescent="0.2">
      <c r="A2975" s="5">
        <v>2914</v>
      </c>
      <c r="B2975" s="138">
        <f>'Expenditures 15-22'!K80</f>
        <v>295564</v>
      </c>
      <c r="C2975" s="2" t="s">
        <v>572</v>
      </c>
      <c r="D2975" s="2" t="str">
        <f t="shared" si="45"/>
        <v>Error?</v>
      </c>
    </row>
    <row r="2976" spans="1:4" x14ac:dyDescent="0.2">
      <c r="A2976" s="5">
        <v>2915</v>
      </c>
      <c r="B2976" s="138">
        <f>'Expenditures 15-22'!K81</f>
        <v>4298</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296897</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1610629</v>
      </c>
      <c r="D3055" s="2" t="str">
        <f t="shared" si="46"/>
        <v>Error?</v>
      </c>
    </row>
    <row r="3056" spans="1:4" x14ac:dyDescent="0.2">
      <c r="A3056" s="5">
        <v>2995</v>
      </c>
      <c r="B3056" s="138">
        <f>'Expenditures 15-22'!D10</f>
        <v>244030</v>
      </c>
      <c r="D3056" s="2" t="str">
        <f t="shared" si="46"/>
        <v>Error?</v>
      </c>
    </row>
    <row r="3057" spans="1:4" x14ac:dyDescent="0.2">
      <c r="A3057" s="5">
        <v>2996</v>
      </c>
      <c r="B3057" s="138">
        <f>'Expenditures 15-22'!E10</f>
        <v>252874</v>
      </c>
      <c r="D3057" s="2" t="str">
        <f t="shared" si="46"/>
        <v>Error?</v>
      </c>
    </row>
    <row r="3058" spans="1:4" x14ac:dyDescent="0.2">
      <c r="A3058" s="5">
        <v>2997</v>
      </c>
      <c r="B3058" s="138">
        <f>'Expenditures 15-22'!F10</f>
        <v>230202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2337735</v>
      </c>
      <c r="C3062" s="2" t="s">
        <v>572</v>
      </c>
      <c r="D3062" s="2" t="str">
        <f t="shared" si="46"/>
        <v>Error?</v>
      </c>
    </row>
    <row r="3063" spans="1:4" x14ac:dyDescent="0.2">
      <c r="A3063" s="10">
        <v>3002</v>
      </c>
      <c r="D3063" s="2" t="str">
        <f t="shared" si="46"/>
        <v>OK</v>
      </c>
    </row>
    <row r="3064" spans="1:4" x14ac:dyDescent="0.2">
      <c r="A3064" s="5">
        <v>3003</v>
      </c>
      <c r="B3064" s="138">
        <f>'Expenditures 15-22'!D219</f>
        <v>20125</v>
      </c>
      <c r="D3064" s="2" t="str">
        <f t="shared" si="46"/>
        <v>Error?</v>
      </c>
    </row>
    <row r="3065" spans="1:4" x14ac:dyDescent="0.2">
      <c r="A3065" s="5">
        <v>3004</v>
      </c>
      <c r="B3065" s="138">
        <f>'Expenditures 15-22'!K219</f>
        <v>20125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18184</v>
      </c>
      <c r="C3225" s="2" t="s">
        <v>572</v>
      </c>
      <c r="D3225" s="2" t="str">
        <f t="shared" si="49"/>
        <v>Error?</v>
      </c>
    </row>
    <row r="3226" spans="1:4" x14ac:dyDescent="0.2">
      <c r="A3226" s="5">
        <v>3165</v>
      </c>
      <c r="B3226" s="138">
        <f>'Acct Summary 7-8'!I8</f>
        <v>18184</v>
      </c>
      <c r="C3226" s="2" t="s">
        <v>572</v>
      </c>
      <c r="D3226" s="2" t="str">
        <f t="shared" si="49"/>
        <v>Error?</v>
      </c>
    </row>
    <row r="3227" spans="1:4" x14ac:dyDescent="0.2">
      <c r="A3227" s="5">
        <v>3166</v>
      </c>
      <c r="B3227" s="138">
        <f>'Acct Summary 7-8'!I20</f>
        <v>18184</v>
      </c>
      <c r="C3227" s="2" t="s">
        <v>572</v>
      </c>
      <c r="D3227" s="2" t="str">
        <f t="shared" si="49"/>
        <v>Error?</v>
      </c>
    </row>
    <row r="3228" spans="1:4" x14ac:dyDescent="0.2">
      <c r="A3228" s="5">
        <v>3167</v>
      </c>
      <c r="B3228" s="138">
        <f>'Acct Summary 7-8'!C43</f>
        <v>32133</v>
      </c>
      <c r="D3228" s="2" t="str">
        <f t="shared" si="49"/>
        <v>Error?</v>
      </c>
    </row>
    <row r="3229" spans="1:4" x14ac:dyDescent="0.2">
      <c r="A3229" s="5">
        <v>3168</v>
      </c>
      <c r="B3229" s="138">
        <f>'Acct Summary 7-8'!C44</f>
        <v>49606</v>
      </c>
      <c r="C3229" s="2" t="s">
        <v>572</v>
      </c>
      <c r="D3229" s="2" t="str">
        <f t="shared" si="49"/>
        <v>Error?</v>
      </c>
    </row>
    <row r="3230" spans="1:4" x14ac:dyDescent="0.2">
      <c r="A3230" s="5">
        <v>3169</v>
      </c>
      <c r="B3230" s="138">
        <f>'Acct Summary 7-8'!C75</f>
        <v>204922</v>
      </c>
      <c r="D3230" s="2" t="str">
        <f t="shared" si="49"/>
        <v>Error?</v>
      </c>
    </row>
    <row r="3231" spans="1:4" x14ac:dyDescent="0.2">
      <c r="A3231" s="5">
        <v>3170</v>
      </c>
      <c r="B3231" s="138">
        <f>'Acct Summary 7-8'!C76</f>
        <v>204922</v>
      </c>
      <c r="C3231" s="2" t="s">
        <v>572</v>
      </c>
      <c r="D3231" s="2" t="str">
        <f t="shared" si="49"/>
        <v>Error?</v>
      </c>
    </row>
    <row r="3232" spans="1:4" x14ac:dyDescent="0.2">
      <c r="A3232" s="5">
        <v>3171</v>
      </c>
      <c r="B3232" s="138">
        <f>'Acct Summary 7-8'!C77</f>
        <v>-155316</v>
      </c>
      <c r="C3232" s="2" t="s">
        <v>572</v>
      </c>
      <c r="D3232" s="2" t="str">
        <f t="shared" si="49"/>
        <v>Error?</v>
      </c>
    </row>
    <row r="3233" spans="1:4" x14ac:dyDescent="0.2">
      <c r="A3233" s="5">
        <v>3172</v>
      </c>
      <c r="B3233" s="138">
        <f>'Acct Summary 7-8'!C78</f>
        <v>-5816980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-291948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-206400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-76630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1580907</v>
      </c>
      <c r="D3273" s="2" t="str">
        <f t="shared" si="50"/>
        <v>Error?</v>
      </c>
    </row>
    <row r="3274" spans="1:4" x14ac:dyDescent="0.2">
      <c r="A3274" s="5">
        <v>3213</v>
      </c>
      <c r="B3274" s="138">
        <f>'Acct Summary 7-8'!E44</f>
        <v>1580907</v>
      </c>
      <c r="C3274" s="2" t="s">
        <v>572</v>
      </c>
      <c r="D3274" s="2" t="str">
        <f t="shared" si="50"/>
        <v>Error?</v>
      </c>
    </row>
    <row r="3275" spans="1:4" x14ac:dyDescent="0.2">
      <c r="A3275" s="5">
        <v>3214</v>
      </c>
      <c r="B3275" s="138">
        <f>'Acct Summary 7-8'!E75</f>
        <v>32133</v>
      </c>
      <c r="D3275" s="2" t="str">
        <f t="shared" si="50"/>
        <v>Error?</v>
      </c>
    </row>
    <row r="3276" spans="1:4" x14ac:dyDescent="0.2">
      <c r="A3276" s="5">
        <v>3215</v>
      </c>
      <c r="B3276" s="138">
        <f>'Acct Summary 7-8'!E76</f>
        <v>32133</v>
      </c>
      <c r="C3276" s="2" t="s">
        <v>572</v>
      </c>
      <c r="D3276" s="2" t="str">
        <f t="shared" si="50"/>
        <v>Error?</v>
      </c>
    </row>
    <row r="3277" spans="1:4" x14ac:dyDescent="0.2">
      <c r="A3277" s="5">
        <v>3216</v>
      </c>
      <c r="B3277" s="138">
        <f>'Acct Summary 7-8'!E77</f>
        <v>1548774</v>
      </c>
      <c r="C3277" s="2" t="s">
        <v>572</v>
      </c>
      <c r="D3277" s="2" t="str">
        <f t="shared" si="50"/>
        <v>Error?</v>
      </c>
    </row>
    <row r="3278" spans="1:4" x14ac:dyDescent="0.2">
      <c r="A3278" s="5">
        <v>3217</v>
      </c>
      <c r="B3278" s="138">
        <f>'Acct Summary 7-8'!E78</f>
        <v>-3017287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3072000</v>
      </c>
      <c r="C3296" s="2" t="s">
        <v>572</v>
      </c>
      <c r="D3296" s="2" t="str">
        <f t="shared" si="50"/>
        <v>Error?</v>
      </c>
    </row>
    <row r="3297" spans="1:4" x14ac:dyDescent="0.2">
      <c r="A3297" s="5">
        <v>3236</v>
      </c>
      <c r="B3297" s="138">
        <f>'Acct Summary 7-8'!H75</f>
        <v>1375985</v>
      </c>
      <c r="D3297" s="2" t="str">
        <f t="shared" si="50"/>
        <v>Error?</v>
      </c>
    </row>
    <row r="3298" spans="1:4" x14ac:dyDescent="0.2">
      <c r="A3298" s="5">
        <v>3237</v>
      </c>
      <c r="B3298" s="138">
        <f>'Acct Summary 7-8'!H76</f>
        <v>1375985</v>
      </c>
      <c r="C3298" s="2" t="s">
        <v>572</v>
      </c>
      <c r="D3298" s="2" t="str">
        <f t="shared" si="50"/>
        <v>Error?</v>
      </c>
    </row>
    <row r="3299" spans="1:4" x14ac:dyDescent="0.2">
      <c r="A3299" s="5">
        <v>3238</v>
      </c>
      <c r="B3299" s="138">
        <f>'Acct Summary 7-8'!H77</f>
        <v>1696015</v>
      </c>
      <c r="C3299" s="2" t="s">
        <v>572</v>
      </c>
      <c r="D3299" s="2" t="str">
        <f t="shared" si="50"/>
        <v>Error?</v>
      </c>
    </row>
    <row r="3300" spans="1:4" x14ac:dyDescent="0.2">
      <c r="A3300" s="5">
        <v>3239</v>
      </c>
      <c r="B3300" s="138">
        <f>'Acct Summary 7-8'!H78</f>
        <v>2028362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17473</v>
      </c>
      <c r="C3318" s="2" t="s">
        <v>572</v>
      </c>
      <c r="D3318" s="2" t="str">
        <f t="shared" si="50"/>
        <v>Error?</v>
      </c>
    </row>
    <row r="3319" spans="1:4" x14ac:dyDescent="0.2">
      <c r="A3319" s="5">
        <v>3258</v>
      </c>
      <c r="B3319" s="138">
        <f>'Acct Summary 7-8'!I77</f>
        <v>-17473</v>
      </c>
      <c r="C3319" s="2" t="s">
        <v>572</v>
      </c>
      <c r="D3319" s="2" t="str">
        <f t="shared" si="50"/>
        <v>Error?</v>
      </c>
    </row>
    <row r="3320" spans="1:4" x14ac:dyDescent="0.2">
      <c r="A3320" s="5">
        <v>3259</v>
      </c>
      <c r="B3320" s="138">
        <f>'Acct Summary 7-8'!I78</f>
        <v>711</v>
      </c>
      <c r="C3320" s="2" t="s">
        <v>572</v>
      </c>
      <c r="D3320" s="2" t="str">
        <f t="shared" si="50"/>
        <v>Error?</v>
      </c>
    </row>
    <row r="3321" spans="1:4" x14ac:dyDescent="0.2">
      <c r="A3321" s="5">
        <v>3260</v>
      </c>
      <c r="B3321" s="138">
        <f>'Acct Summary 7-8'!I79</f>
        <v>7045827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7046538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6566679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1342702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950607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88350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13353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1015526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9977217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221374</v>
      </c>
      <c r="D3387" s="2" t="str">
        <f t="shared" si="51"/>
        <v>Error?</v>
      </c>
    </row>
    <row r="3388" spans="1:4" x14ac:dyDescent="0.2">
      <c r="A3388" s="5">
        <v>3327</v>
      </c>
      <c r="B3388" s="138">
        <f>'Expenditures 15-22'!D217</f>
        <v>240417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221374</v>
      </c>
      <c r="C3390" s="2" t="s">
        <v>572</v>
      </c>
      <c r="D3390" s="2" t="str">
        <f t="shared" si="51"/>
        <v>Error?</v>
      </c>
    </row>
    <row r="3391" spans="1:4" x14ac:dyDescent="0.2">
      <c r="A3391" s="5">
        <v>3330</v>
      </c>
      <c r="B3391" s="138">
        <f>'Expenditures 15-22'!K217</f>
        <v>240417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5766479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868467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218191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448898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8026204</v>
      </c>
      <c r="D3425" s="2" t="str">
        <f t="shared" si="52"/>
        <v>Error?</v>
      </c>
    </row>
    <row r="3426" spans="1:4" x14ac:dyDescent="0.2">
      <c r="A3426" s="10">
        <v>3365</v>
      </c>
      <c r="D3426" s="2" t="str">
        <f t="shared" si="52"/>
        <v>OK</v>
      </c>
    </row>
    <row r="3427" spans="1:4" x14ac:dyDescent="0.2">
      <c r="A3427" s="5">
        <v>3366</v>
      </c>
      <c r="B3427" s="138">
        <f>'Assets-Liab 5-6'!I4</f>
        <v>31144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1766922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715079</v>
      </c>
      <c r="C3446" s="2" t="s">
        <v>572</v>
      </c>
      <c r="D3446" s="2" t="str">
        <f t="shared" si="52"/>
        <v>Error?</v>
      </c>
    </row>
    <row r="3447" spans="1:4" x14ac:dyDescent="0.2">
      <c r="A3447" s="5">
        <v>3386</v>
      </c>
      <c r="B3447" s="138">
        <f>'Tax Sched 23'!D16</f>
        <v>-192514</v>
      </c>
      <c r="C3447" s="2" t="s">
        <v>572</v>
      </c>
      <c r="D3447" s="2" t="str">
        <f t="shared" si="52"/>
        <v>Error?</v>
      </c>
    </row>
    <row r="3448" spans="1:4" x14ac:dyDescent="0.2">
      <c r="A3448" s="5">
        <v>3387</v>
      </c>
      <c r="B3448" s="138">
        <f>'Tax Sched 23'!C16</f>
        <v>907593</v>
      </c>
      <c r="D3448" s="2" t="str">
        <f t="shared" si="52"/>
        <v>Error?</v>
      </c>
    </row>
    <row r="3449" spans="1:4" x14ac:dyDescent="0.2">
      <c r="A3449" s="5">
        <v>3388</v>
      </c>
      <c r="B3449" s="138">
        <f>'Tax Sched 23'!F16</f>
        <v>-698091</v>
      </c>
      <c r="C3449" s="2" t="s">
        <v>572</v>
      </c>
      <c r="D3449" s="2" t="str">
        <f t="shared" si="52"/>
        <v>Error?</v>
      </c>
    </row>
    <row r="3450" spans="1:4" x14ac:dyDescent="0.2">
      <c r="A3450" s="5">
        <v>3389</v>
      </c>
      <c r="B3450" s="138">
        <f>'Tax Sched 23'!E16</f>
        <v>209502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805938</v>
      </c>
      <c r="D3546" s="2" t="str">
        <f t="shared" si="54"/>
        <v>Error?</v>
      </c>
    </row>
    <row r="3547" spans="1:4" x14ac:dyDescent="0.2">
      <c r="A3547" s="10">
        <v>3486</v>
      </c>
      <c r="D3547" s="2" t="str">
        <f t="shared" si="54"/>
        <v>OK</v>
      </c>
    </row>
    <row r="3548" spans="1:4" x14ac:dyDescent="0.2">
      <c r="A3548" s="5">
        <v>3487</v>
      </c>
      <c r="B3548" s="138">
        <f>'Assets-Liab 5-6'!K6</f>
        <v>317455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1123393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198841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696852</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426541</v>
      </c>
      <c r="D3567" s="2" t="str">
        <f t="shared" si="54"/>
        <v>Error?</v>
      </c>
    </row>
    <row r="3568" spans="1:4" x14ac:dyDescent="0.2">
      <c r="A3568" s="5">
        <v>3507</v>
      </c>
      <c r="B3568" s="138">
        <f>'Assets-Liab 5-6'!K41</f>
        <v>1123393</v>
      </c>
      <c r="C3568" s="2" t="s">
        <v>572</v>
      </c>
      <c r="D3568" s="2" t="str">
        <f t="shared" si="54"/>
        <v>Error?</v>
      </c>
    </row>
    <row r="3569" spans="1:4" x14ac:dyDescent="0.2">
      <c r="A3569" s="5">
        <v>3508</v>
      </c>
      <c r="B3569" s="138">
        <f>'Acct Summary 7-8'!K4</f>
        <v>327571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327571</v>
      </c>
      <c r="C3571" s="2" t="s">
        <v>572</v>
      </c>
      <c r="D3571" s="2" t="str">
        <f t="shared" si="54"/>
        <v>Error?</v>
      </c>
    </row>
    <row r="3572" spans="1:4" x14ac:dyDescent="0.2">
      <c r="A3572" s="5">
        <v>3511</v>
      </c>
      <c r="B3572" s="138">
        <f>'Acct Summary 7-8'!K13</f>
        <v>640131</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640131</v>
      </c>
      <c r="C3575" s="2" t="s">
        <v>572</v>
      </c>
      <c r="D3575" s="2" t="str">
        <f t="shared" si="54"/>
        <v>Error?</v>
      </c>
    </row>
    <row r="3576" spans="1:4" x14ac:dyDescent="0.2">
      <c r="A3576" s="5">
        <v>3515</v>
      </c>
      <c r="B3576" s="138">
        <f>'Acct Summary 7-8'!K20</f>
        <v>-312560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-312560</v>
      </c>
      <c r="C3588" s="2" t="s">
        <v>572</v>
      </c>
      <c r="D3588" s="2" t="str">
        <f t="shared" si="55"/>
        <v>Error?</v>
      </c>
    </row>
    <row r="3589" spans="1:4" x14ac:dyDescent="0.2">
      <c r="A3589" s="5">
        <v>3528</v>
      </c>
      <c r="B3589" s="138">
        <f>'Acct Summary 7-8'!K79</f>
        <v>739101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426541</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72747</v>
      </c>
      <c r="D3645" s="2" t="str">
        <f t="shared" si="55"/>
        <v>Error?</v>
      </c>
    </row>
    <row r="3646" spans="1:4" x14ac:dyDescent="0.2">
      <c r="A3646" s="5">
        <v>3585</v>
      </c>
      <c r="B3646" s="138">
        <f>'Expenditures 15-22'!G349</f>
        <v>567384</v>
      </c>
      <c r="D3646" s="2" t="str">
        <f t="shared" si="55"/>
        <v>Error?</v>
      </c>
    </row>
    <row r="3647" spans="1:4" x14ac:dyDescent="0.2">
      <c r="A3647" s="5">
        <v>3586</v>
      </c>
      <c r="B3647" s="138">
        <f>'Expenditures 15-22'!G350</f>
        <v>640131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640131</v>
      </c>
      <c r="C3649" s="2" t="s">
        <v>572</v>
      </c>
      <c r="D3649" s="2" t="str">
        <f t="shared" si="56"/>
        <v>Error?</v>
      </c>
    </row>
    <row r="3650" spans="1:4" x14ac:dyDescent="0.2">
      <c r="A3650" s="5">
        <v>3589</v>
      </c>
      <c r="B3650" s="138">
        <f>'Expenditures 15-22'!G367</f>
        <v>640131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72747</v>
      </c>
      <c r="C3668" s="2" t="s">
        <v>572</v>
      </c>
      <c r="D3668" s="2" t="str">
        <f t="shared" si="56"/>
        <v>Error?</v>
      </c>
    </row>
    <row r="3669" spans="1:4" x14ac:dyDescent="0.2">
      <c r="A3669" s="5">
        <v>3608</v>
      </c>
      <c r="B3669" s="138">
        <f>'Expenditures 15-22'!K349</f>
        <v>567384</v>
      </c>
      <c r="C3669" s="2" t="s">
        <v>572</v>
      </c>
      <c r="D3669" s="2" t="str">
        <f t="shared" si="56"/>
        <v>Error?</v>
      </c>
    </row>
    <row r="3670" spans="1:4" x14ac:dyDescent="0.2">
      <c r="A3670" s="5">
        <v>3609</v>
      </c>
      <c r="B3670" s="138">
        <f>'Expenditures 15-22'!K350</f>
        <v>640131</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640131</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640131</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-312560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19852854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69968604</v>
      </c>
      <c r="C4122" s="2" t="s">
        <v>572</v>
      </c>
      <c r="D4122" s="2" t="str">
        <f t="shared" si="63"/>
        <v>Error?</v>
      </c>
    </row>
    <row r="4123" spans="1:4" x14ac:dyDescent="0.2">
      <c r="A4123" s="5">
        <v>4062</v>
      </c>
      <c r="B4123" s="138">
        <f>'Acct Summary 7-8'!D10</f>
        <v>3481891</v>
      </c>
      <c r="C4123" s="2" t="s">
        <v>572</v>
      </c>
      <c r="D4123" s="2" t="str">
        <f t="shared" si="63"/>
        <v>Error?</v>
      </c>
    </row>
    <row r="4124" spans="1:4" x14ac:dyDescent="0.2">
      <c r="A4124" s="5">
        <v>4063</v>
      </c>
      <c r="B4124" s="138">
        <f>'Acct Summary 7-8'!E10</f>
        <v>2888530</v>
      </c>
      <c r="C4124" s="2" t="s">
        <v>572</v>
      </c>
      <c r="D4124" s="2" t="str">
        <f t="shared" si="63"/>
        <v>Error?</v>
      </c>
    </row>
    <row r="4125" spans="1:4" x14ac:dyDescent="0.2">
      <c r="A4125" s="5">
        <v>4064</v>
      </c>
      <c r="B4125" s="138">
        <f>'Acct Summary 7-8'!F10</f>
        <v>2314668</v>
      </c>
      <c r="C4125" s="2" t="s">
        <v>572</v>
      </c>
      <c r="D4125" s="2" t="str">
        <f t="shared" si="63"/>
        <v>Error?</v>
      </c>
    </row>
    <row r="4126" spans="1:4" x14ac:dyDescent="0.2">
      <c r="A4126" s="5">
        <v>4065</v>
      </c>
      <c r="B4126" s="138">
        <f>'Acct Summary 7-8'!G10</f>
        <v>1360381</v>
      </c>
      <c r="C4126" s="2" t="s">
        <v>572</v>
      </c>
      <c r="D4126" s="2" t="str">
        <f t="shared" si="63"/>
        <v>Error?</v>
      </c>
    </row>
    <row r="4127" spans="1:4" x14ac:dyDescent="0.2">
      <c r="A4127" s="5">
        <v>4066</v>
      </c>
      <c r="B4127" s="138">
        <f>'Acct Summary 7-8'!H10</f>
        <v>3573100</v>
      </c>
      <c r="C4127" s="2" t="s">
        <v>572</v>
      </c>
      <c r="D4127" s="2" t="str">
        <f t="shared" si="63"/>
        <v>Error?</v>
      </c>
    </row>
    <row r="4128" spans="1:4" x14ac:dyDescent="0.2">
      <c r="A4128" s="5">
        <v>4067</v>
      </c>
      <c r="B4128" s="138">
        <f>'Acct Summary 7-8'!I10</f>
        <v>18184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327571</v>
      </c>
      <c r="C4130" s="2" t="s">
        <v>572</v>
      </c>
      <c r="D4130" s="2" t="str">
        <f t="shared" si="63"/>
        <v>Error?</v>
      </c>
    </row>
    <row r="4131" spans="1:4" x14ac:dyDescent="0.2">
      <c r="A4131" s="5">
        <v>4070</v>
      </c>
      <c r="B4131" s="138">
        <f>'Acct Summary 7-8'!C18</f>
        <v>19852854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75630268</v>
      </c>
      <c r="C4136" s="2" t="s">
        <v>572</v>
      </c>
      <c r="D4136" s="2" t="str">
        <f t="shared" si="63"/>
        <v>Error?</v>
      </c>
    </row>
    <row r="4137" spans="1:4" x14ac:dyDescent="0.2">
      <c r="A4137" s="5">
        <v>4076</v>
      </c>
      <c r="B4137" s="138">
        <f>'Acct Summary 7-8'!D19</f>
        <v>3773839</v>
      </c>
      <c r="C4137" s="2" t="s">
        <v>572</v>
      </c>
      <c r="D4137" s="2" t="str">
        <f t="shared" si="63"/>
        <v>Error?</v>
      </c>
    </row>
    <row r="4138" spans="1:4" x14ac:dyDescent="0.2">
      <c r="A4138" s="5">
        <v>4077</v>
      </c>
      <c r="B4138" s="138">
        <f>'Acct Summary 7-8'!E19</f>
        <v>7454591</v>
      </c>
      <c r="C4138" s="2" t="s">
        <v>572</v>
      </c>
      <c r="D4138" s="2" t="str">
        <f t="shared" si="63"/>
        <v>Error?</v>
      </c>
    </row>
    <row r="4139" spans="1:4" x14ac:dyDescent="0.2">
      <c r="A4139" s="5">
        <v>4078</v>
      </c>
      <c r="B4139" s="138">
        <f>'Acct Summary 7-8'!F19</f>
        <v>2521068</v>
      </c>
      <c r="C4139" s="2" t="s">
        <v>572</v>
      </c>
      <c r="D4139" s="2" t="str">
        <f t="shared" si="63"/>
        <v>Error?</v>
      </c>
    </row>
    <row r="4140" spans="1:4" x14ac:dyDescent="0.2">
      <c r="A4140" s="5">
        <v>4079</v>
      </c>
      <c r="B4140" s="138">
        <f>'Acct Summary 7-8'!G19</f>
        <v>1437011</v>
      </c>
      <c r="C4140" s="2" t="s">
        <v>572</v>
      </c>
      <c r="D4140" s="2" t="str">
        <f t="shared" si="63"/>
        <v>Error?</v>
      </c>
    </row>
    <row r="4141" spans="1:4" x14ac:dyDescent="0.2">
      <c r="A4141" s="5">
        <v>4080</v>
      </c>
      <c r="B4141" s="138">
        <f>'Acct Summary 7-8'!H19</f>
        <v>3240753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640131</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35826000</v>
      </c>
      <c r="C4171" s="2" t="s">
        <v>572</v>
      </c>
      <c r="D4171" s="2" t="str">
        <f t="shared" si="64"/>
        <v>Error?</v>
      </c>
    </row>
    <row r="4172" spans="1:4" x14ac:dyDescent="0.2">
      <c r="A4172" s="5">
        <v>4111</v>
      </c>
      <c r="B4172" s="138">
        <f>'Short-Term Long-Term Debt 24'!J49</f>
        <v>35205592</v>
      </c>
      <c r="C4172" s="2" t="s">
        <v>572</v>
      </c>
      <c r="D4172" s="2" t="str">
        <f t="shared" si="64"/>
        <v>Error?</v>
      </c>
    </row>
    <row r="4173" spans="1:4" x14ac:dyDescent="0.2">
      <c r="A4173" s="5">
        <v>4112</v>
      </c>
      <c r="B4173" s="138">
        <f>'Short-Term Long-Term Debt 24'!H49</f>
        <v>6425000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3821.9999999999995</v>
      </c>
      <c r="C4265" s="2" t="s">
        <v>572</v>
      </c>
      <c r="D4265" s="2" t="str">
        <f t="shared" si="65"/>
        <v>Error?</v>
      </c>
      <c r="E4265" s="128"/>
    </row>
    <row r="4266" spans="1:5" x14ac:dyDescent="0.2">
      <c r="A4266" s="12">
        <v>4205</v>
      </c>
      <c r="B4266" s="138">
        <f>('FP Info 3'!F10)*100000</f>
        <v>606.5</v>
      </c>
      <c r="C4266" s="2" t="s">
        <v>572</v>
      </c>
      <c r="D4266" s="2" t="str">
        <f t="shared" si="65"/>
        <v>Error?</v>
      </c>
      <c r="E4266" s="128"/>
    </row>
    <row r="4267" spans="1:5" x14ac:dyDescent="0.2">
      <c r="A4267" s="12">
        <v>4206</v>
      </c>
      <c r="B4267" s="138">
        <f>('FP Info 3'!H10)*100000</f>
        <v>239.00000000000003</v>
      </c>
      <c r="C4267" s="2" t="s">
        <v>572</v>
      </c>
      <c r="D4267" s="2" t="str">
        <f t="shared" si="65"/>
        <v>Error?</v>
      </c>
      <c r="E4267" s="128"/>
    </row>
    <row r="4268" spans="1:5" x14ac:dyDescent="0.2">
      <c r="A4268" s="12">
        <v>4207</v>
      </c>
      <c r="B4268" s="138">
        <f>('FP Info 3'!J10)*100000</f>
        <v>4668</v>
      </c>
      <c r="C4268" s="2" t="s">
        <v>572</v>
      </c>
      <c r="D4268" s="2" t="str">
        <f t="shared" si="65"/>
        <v>Error?</v>
      </c>
    </row>
    <row r="4269" spans="1:5" x14ac:dyDescent="0.2">
      <c r="A4269" s="12">
        <v>4208</v>
      </c>
      <c r="B4269" s="138">
        <f>'FP Info 3'!J16</f>
        <v>14893729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1656</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83736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17145</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242569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476135</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46581</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476135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46581</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36396</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127854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0.19999999999999998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319095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167</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217669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676821684</v>
      </c>
      <c r="D4995" s="2" t="str">
        <f t="shared" si="77"/>
        <v>Error?</v>
      </c>
    </row>
    <row r="4996" spans="1:4" x14ac:dyDescent="0.2">
      <c r="A4996" s="12">
        <v>4935</v>
      </c>
      <c r="B4996" s="138">
        <f>'FP Info 3'!H31</f>
        <v>93401392.392000005</v>
      </c>
      <c r="D4996" s="2" t="str">
        <f t="shared" si="77"/>
        <v>Error?</v>
      </c>
    </row>
    <row r="4997" spans="1:4" x14ac:dyDescent="0.2">
      <c r="A4997" s="12">
        <v>4936</v>
      </c>
      <c r="B4997" s="138">
        <f>'FP Info 3'!H37</f>
        <v>35826000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22045518</v>
      </c>
      <c r="D5061" s="2" t="str">
        <f t="shared" si="78"/>
        <v>Error?</v>
      </c>
    </row>
    <row r="5062" spans="1:4" x14ac:dyDescent="0.2">
      <c r="A5062" s="10">
        <v>5001</v>
      </c>
      <c r="D5062" s="2" t="str">
        <f t="shared" si="78"/>
        <v>OK</v>
      </c>
    </row>
    <row r="5063" spans="1:4" x14ac:dyDescent="0.2">
      <c r="A5063" s="5">
        <v>5002</v>
      </c>
      <c r="B5063" s="138">
        <f>'Revenues 9-14'!C7</f>
        <v>682257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22727775</v>
      </c>
      <c r="C5066" s="2" t="s">
        <v>572</v>
      </c>
      <c r="D5066" s="2" t="str">
        <f t="shared" si="78"/>
        <v>Error?</v>
      </c>
    </row>
    <row r="5067" spans="1:4" x14ac:dyDescent="0.2">
      <c r="A5067" s="5">
        <v>5006</v>
      </c>
      <c r="B5067" s="138">
        <f>'Revenues 9-14'!C14</f>
        <v>59271</v>
      </c>
      <c r="D5067" s="2" t="str">
        <f t="shared" si="78"/>
        <v>Error?</v>
      </c>
    </row>
    <row r="5068" spans="1:4" x14ac:dyDescent="0.2">
      <c r="A5068" s="5">
        <v>5007</v>
      </c>
      <c r="B5068" s="138">
        <f>'Revenues 9-14'!C15</f>
        <v>100000</v>
      </c>
      <c r="D5068" s="2" t="str">
        <f t="shared" si="78"/>
        <v>Error?</v>
      </c>
    </row>
    <row r="5069" spans="1:4" x14ac:dyDescent="0.2">
      <c r="A5069" s="5">
        <v>5008</v>
      </c>
      <c r="B5069" s="138">
        <f>'Revenues 9-14'!C16</f>
        <v>1109752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1269023</v>
      </c>
      <c r="C5071" s="2" t="s">
        <v>572</v>
      </c>
      <c r="D5071" s="2" t="str">
        <f t="shared" si="78"/>
        <v>Error?</v>
      </c>
    </row>
    <row r="5072" spans="1:4" x14ac:dyDescent="0.2">
      <c r="A5072" s="5">
        <v>5011</v>
      </c>
      <c r="B5072" s="138">
        <f>'Revenues 9-14'!C20</f>
        <v>34097</v>
      </c>
      <c r="D5072" s="2" t="str">
        <f t="shared" si="78"/>
        <v>Error?</v>
      </c>
    </row>
    <row r="5073" spans="1:4" x14ac:dyDescent="0.2">
      <c r="A5073" s="5">
        <v>5012</v>
      </c>
      <c r="B5073" s="138">
        <f>'Revenues 9-14'!C21</f>
        <v>2280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295838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35246</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664085</v>
      </c>
      <c r="C5087" s="2" t="s">
        <v>572</v>
      </c>
      <c r="D5087" s="2" t="str">
        <f t="shared" si="78"/>
        <v>Error?</v>
      </c>
    </row>
    <row r="5088" spans="1:4" x14ac:dyDescent="0.2">
      <c r="A5088" s="5">
        <v>5027</v>
      </c>
      <c r="B5088" s="138">
        <f>'Revenues 9-14'!C65</f>
        <v>179062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179062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36986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12019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49005</v>
      </c>
      <c r="C5096" s="2" t="s">
        <v>572</v>
      </c>
      <c r="D5096" s="2" t="str">
        <f t="shared" si="78"/>
        <v>Error?</v>
      </c>
    </row>
    <row r="5097" spans="1:4" x14ac:dyDescent="0.2">
      <c r="A5097" s="5">
        <v>5036</v>
      </c>
      <c r="B5097" s="138">
        <f>'Revenues 9-14'!C77</f>
        <v>40828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457846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498674</v>
      </c>
      <c r="C5102" s="2" t="s">
        <v>572</v>
      </c>
      <c r="D5102" s="2" t="str">
        <f t="shared" si="78"/>
        <v>Error?</v>
      </c>
    </row>
    <row r="5103" spans="1:4" x14ac:dyDescent="0.2">
      <c r="A5103" s="5">
        <v>5042</v>
      </c>
      <c r="B5103" s="138">
        <f>'Revenues 9-14'!C84</f>
        <v>130203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130203</v>
      </c>
      <c r="C5112" s="2" t="s">
        <v>572</v>
      </c>
      <c r="D5112" s="2" t="str">
        <f t="shared" si="78"/>
        <v>Error?</v>
      </c>
    </row>
    <row r="5113" spans="1:4" x14ac:dyDescent="0.2">
      <c r="A5113" s="5">
        <v>5052</v>
      </c>
      <c r="B5113" s="138">
        <f>'Revenues 9-14'!C95</f>
        <v>25</v>
      </c>
      <c r="D5113" s="2" t="str">
        <f t="shared" si="78"/>
        <v>Error?</v>
      </c>
    </row>
    <row r="5114" spans="1:4" x14ac:dyDescent="0.2">
      <c r="A5114" s="5">
        <v>5053</v>
      </c>
      <c r="B5114" s="138">
        <f>'Revenues 9-14'!C96</f>
        <v>2692</v>
      </c>
      <c r="D5114" s="2" t="str">
        <f t="shared" si="78"/>
        <v>Error?</v>
      </c>
    </row>
    <row r="5115" spans="1:4" x14ac:dyDescent="0.2">
      <c r="A5115" s="5">
        <v>5054</v>
      </c>
      <c r="B5115" s="138">
        <f>'Revenues 9-14'!C98</f>
        <v>332236</v>
      </c>
      <c r="D5115" s="2" t="str">
        <f t="shared" si="78"/>
        <v>Error?</v>
      </c>
    </row>
    <row r="5116" spans="1:4" x14ac:dyDescent="0.2">
      <c r="A5116" s="5">
        <v>5055</v>
      </c>
      <c r="B5116" s="138">
        <f>'Revenues 9-14'!C99</f>
        <v>16080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478562</v>
      </c>
      <c r="D5119" s="2" t="str">
        <f t="shared" ref="D5119:D5182" si="79">IF(ISBLANK(B5119),"OK",IF(A5119-B5119=0,"OK","Error?"))</f>
        <v>Error?</v>
      </c>
    </row>
    <row r="5120" spans="1:4" x14ac:dyDescent="0.2">
      <c r="A5120" s="5">
        <v>5059</v>
      </c>
      <c r="B5120" s="138">
        <f>'Revenues 9-14'!C108</f>
        <v>839067</v>
      </c>
      <c r="C5120" s="2" t="s">
        <v>572</v>
      </c>
      <c r="D5120" s="2" t="str">
        <f t="shared" si="79"/>
        <v>Error?</v>
      </c>
    </row>
    <row r="5121" spans="1:4" x14ac:dyDescent="0.2">
      <c r="A5121" s="5">
        <v>5060</v>
      </c>
      <c r="B5121" s="138">
        <f>'Revenues 9-14'!C109</f>
        <v>26356894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10601152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10601152</v>
      </c>
      <c r="C5132" s="2" t="s">
        <v>572</v>
      </c>
      <c r="D5132" s="2" t="str">
        <f t="shared" si="79"/>
        <v>Error?</v>
      </c>
    </row>
    <row r="5133" spans="1:4" x14ac:dyDescent="0.2">
      <c r="A5133" s="5">
        <v>5072</v>
      </c>
      <c r="B5133" s="138">
        <f>'Revenues 9-14'!C125</f>
        <v>372010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2289215</v>
      </c>
      <c r="D5137" s="2" t="str">
        <f t="shared" si="79"/>
        <v>Error?</v>
      </c>
    </row>
    <row r="5138" spans="1:4" x14ac:dyDescent="0.2">
      <c r="A5138" s="10">
        <v>5077</v>
      </c>
      <c r="D5138" s="2" t="str">
        <f t="shared" si="79"/>
        <v>OK</v>
      </c>
    </row>
    <row r="5139" spans="1:4" x14ac:dyDescent="0.2">
      <c r="A5139" s="5">
        <v>5078</v>
      </c>
      <c r="B5139" s="138">
        <f>'Revenues 9-14'!C129</f>
        <v>120836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2782061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36042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38812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31997</v>
      </c>
      <c r="D5167" s="2" t="str">
        <f t="shared" si="79"/>
        <v>Error?</v>
      </c>
    </row>
    <row r="5168" spans="1:4" x14ac:dyDescent="0.2">
      <c r="A5168" s="5">
        <v>5107</v>
      </c>
      <c r="B5168" s="138">
        <f>'Revenues 9-14'!C148</f>
        <v>49123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322925</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159488</v>
      </c>
      <c r="D5194" s="2" t="str">
        <f t="shared" si="80"/>
        <v>Error?</v>
      </c>
    </row>
    <row r="5195" spans="1:5" x14ac:dyDescent="0.2">
      <c r="A5195" s="10">
        <v>5134</v>
      </c>
      <c r="D5195" s="2" t="str">
        <f t="shared" si="80"/>
        <v>OK</v>
      </c>
    </row>
    <row r="5196" spans="1:5" x14ac:dyDescent="0.2">
      <c r="A5196" s="5">
        <v>5135</v>
      </c>
      <c r="B5196" s="138">
        <f>'Revenues 9-14'!C159</f>
        <v>1861630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5565131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16166283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1638141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733498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124401</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2496040</v>
      </c>
      <c r="C5246" s="2" t="s">
        <v>572</v>
      </c>
      <c r="D5246" s="2" t="str">
        <f t="shared" si="80"/>
        <v>Error?</v>
      </c>
    </row>
    <row r="5247" spans="1:4" x14ac:dyDescent="0.2">
      <c r="A5247" s="5">
        <v>5186</v>
      </c>
      <c r="B5247" s="138">
        <f>'Revenues 9-14'!C200</f>
        <v>2116402</v>
      </c>
      <c r="D5247" s="2" t="str">
        <f t="shared" ref="D5247:D5310" si="81">IF(ISBLANK(B5247),"OK",IF(A5247-B5247=0,"OK","Error?"))</f>
        <v>Error?</v>
      </c>
    </row>
    <row r="5248" spans="1:4" x14ac:dyDescent="0.2">
      <c r="A5248" s="5">
        <v>5187</v>
      </c>
      <c r="B5248" s="138">
        <f>'Revenues 9-14'!C201</f>
        <v>77317</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37155</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2230874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57345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1221694</v>
      </c>
      <c r="D5278" s="2" t="str">
        <f t="shared" si="81"/>
        <v>Error?</v>
      </c>
    </row>
    <row r="5279" spans="1:4" x14ac:dyDescent="0.2">
      <c r="A5279" s="5">
        <v>5218</v>
      </c>
      <c r="B5279" s="138">
        <f>'Revenues 9-14'!C214</f>
        <v>271991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1551030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130270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7592573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7592573</v>
      </c>
      <c r="C5326" s="2" t="s">
        <v>572</v>
      </c>
      <c r="D5326" s="2" t="str">
        <f t="shared" si="82"/>
        <v>Error?</v>
      </c>
    </row>
    <row r="5327" spans="1:5" x14ac:dyDescent="0.2">
      <c r="A5327" s="5">
        <v>5266</v>
      </c>
      <c r="B5327" s="138">
        <f>'Revenues 9-14'!C268</f>
        <v>50115750</v>
      </c>
      <c r="C5327" s="2" t="s">
        <v>572</v>
      </c>
      <c r="D5327" s="2" t="str">
        <f t="shared" si="82"/>
        <v>Error?</v>
      </c>
    </row>
    <row r="5328" spans="1:5" x14ac:dyDescent="0.2">
      <c r="A5328" s="5">
        <v>5267</v>
      </c>
      <c r="B5328" s="138">
        <f>'Revenues 9-14'!D5</f>
        <v>3341869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3341869</v>
      </c>
      <c r="C5334" s="2" t="s">
        <v>572</v>
      </c>
      <c r="D5334" s="2" t="str">
        <f t="shared" si="82"/>
        <v>Error?</v>
      </c>
    </row>
    <row r="5335" spans="1:4" x14ac:dyDescent="0.2">
      <c r="A5335" s="5">
        <v>5274</v>
      </c>
      <c r="B5335" s="138">
        <f>'Revenues 9-14'!D14</f>
        <v>8259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8259</v>
      </c>
      <c r="C5339" s="2" t="s">
        <v>572</v>
      </c>
      <c r="D5339" s="2" t="str">
        <f t="shared" si="82"/>
        <v>Error?</v>
      </c>
    </row>
    <row r="5340" spans="1:4" x14ac:dyDescent="0.2">
      <c r="A5340" s="5">
        <v>5279</v>
      </c>
      <c r="B5340" s="138">
        <f>'Revenues 9-14'!D65</f>
        <v>14189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14189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43130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74444</v>
      </c>
      <c r="D5354" s="2" t="str">
        <f t="shared" si="82"/>
        <v>Error?</v>
      </c>
    </row>
    <row r="5355" spans="1:4" x14ac:dyDescent="0.2">
      <c r="A5355" s="5">
        <v>5294</v>
      </c>
      <c r="B5355" s="138">
        <f>'Revenues 9-14'!D108</f>
        <v>117574</v>
      </c>
      <c r="C5355" s="2" t="s">
        <v>572</v>
      </c>
      <c r="D5355" s="2" t="str">
        <f t="shared" si="82"/>
        <v>Error?</v>
      </c>
    </row>
    <row r="5356" spans="1:4" x14ac:dyDescent="0.2">
      <c r="A5356" s="5">
        <v>5295</v>
      </c>
      <c r="B5356" s="138">
        <f>'Revenues 9-14'!D109</f>
        <v>3481891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3481891</v>
      </c>
      <c r="C5508" s="2" t="s">
        <v>572</v>
      </c>
      <c r="D5508" s="2" t="str">
        <f t="shared" si="85"/>
        <v>Error?</v>
      </c>
    </row>
    <row r="5509" spans="1:4" x14ac:dyDescent="0.2">
      <c r="A5509" s="5">
        <v>5448</v>
      </c>
      <c r="B5509" s="138">
        <f>'Revenues 9-14'!E5</f>
        <v>2846285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2846285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10112</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10112</v>
      </c>
      <c r="C5518" s="2" t="s">
        <v>572</v>
      </c>
      <c r="D5518" s="2" t="str">
        <f t="shared" si="85"/>
        <v>Error?</v>
      </c>
    </row>
    <row r="5519" spans="1:4" x14ac:dyDescent="0.2">
      <c r="A5519" s="5">
        <v>5458</v>
      </c>
      <c r="B5519" s="138">
        <f>'Revenues 9-14'!E65</f>
        <v>32133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32133</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2888530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2888530</v>
      </c>
      <c r="C5552" s="2" t="s">
        <v>572</v>
      </c>
      <c r="D5552" s="2" t="str">
        <f t="shared" si="85"/>
        <v>Error?</v>
      </c>
    </row>
    <row r="5553" spans="1:4" x14ac:dyDescent="0.2">
      <c r="A5553" s="5">
        <v>5492</v>
      </c>
      <c r="B5553" s="138">
        <f>'Revenues 9-14'!F5</f>
        <v>1220117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1220117</v>
      </c>
      <c r="C5557" s="2" t="s">
        <v>572</v>
      </c>
      <c r="D5557" s="2" t="str">
        <f t="shared" si="85"/>
        <v>Error?</v>
      </c>
    </row>
    <row r="5558" spans="1:4" x14ac:dyDescent="0.2">
      <c r="A5558" s="5">
        <v>5497</v>
      </c>
      <c r="B5558" s="138">
        <f>'Revenues 9-14'!F14</f>
        <v>2573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2573</v>
      </c>
      <c r="C5562" s="2" t="s">
        <v>572</v>
      </c>
      <c r="D5562" s="2" t="str">
        <f t="shared" si="85"/>
        <v>Error?</v>
      </c>
    </row>
    <row r="5563" spans="1:4" x14ac:dyDescent="0.2">
      <c r="A5563" s="5">
        <v>5502</v>
      </c>
      <c r="B5563" s="138">
        <f>'Revenues 9-14'!F42</f>
        <v>12467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12467</v>
      </c>
      <c r="C5579" s="2" t="s">
        <v>572</v>
      </c>
      <c r="D5579" s="2" t="str">
        <f t="shared" si="86"/>
        <v>Error?</v>
      </c>
    </row>
    <row r="5580" spans="1:4" x14ac:dyDescent="0.2">
      <c r="A5580" s="5">
        <v>5519</v>
      </c>
      <c r="B5580" s="138">
        <f>'Revenues 9-14'!F65</f>
        <v>5824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5824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1240981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61611</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61611</v>
      </c>
      <c r="C5614" s="2" t="s">
        <v>572</v>
      </c>
      <c r="D5614" s="2" t="str">
        <f t="shared" si="86"/>
        <v>Error?</v>
      </c>
    </row>
    <row r="5615" spans="1:4" x14ac:dyDescent="0.2">
      <c r="A5615" s="5">
        <v>5554</v>
      </c>
      <c r="B5615" s="138">
        <f>'Revenues 9-14'!F152</f>
        <v>459863</v>
      </c>
      <c r="D5615" s="2" t="str">
        <f t="shared" si="86"/>
        <v>Error?</v>
      </c>
    </row>
    <row r="5616" spans="1:4" x14ac:dyDescent="0.2">
      <c r="A5616" s="10">
        <v>5555</v>
      </c>
      <c r="D5616" s="2" t="str">
        <f t="shared" si="86"/>
        <v>OK</v>
      </c>
    </row>
    <row r="5617" spans="1:5" x14ac:dyDescent="0.2">
      <c r="A5617" s="5">
        <v>5556</v>
      </c>
      <c r="B5617" s="138">
        <f>'Revenues 9-14'!F153</f>
        <v>387476</v>
      </c>
      <c r="D5617" s="2" t="str">
        <f t="shared" si="86"/>
        <v>Error?</v>
      </c>
    </row>
    <row r="5618" spans="1:5" x14ac:dyDescent="0.2">
      <c r="A5618" s="5">
        <v>5557</v>
      </c>
      <c r="B5618" s="138">
        <f>'Revenues 9-14'!F155</f>
        <v>847339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91476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1000593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1000593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7712</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9368</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73094</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73094</v>
      </c>
      <c r="C5719" s="2" t="s">
        <v>572</v>
      </c>
      <c r="D5719" s="2" t="str">
        <f t="shared" si="88"/>
        <v>Error?</v>
      </c>
    </row>
    <row r="5720" spans="1:4" x14ac:dyDescent="0.2">
      <c r="A5720" s="5">
        <v>5659</v>
      </c>
      <c r="B5720" s="138">
        <f>'Revenues 9-14'!F268</f>
        <v>2314668</v>
      </c>
      <c r="C5720" s="2" t="s">
        <v>572</v>
      </c>
      <c r="D5720" s="2" t="str">
        <f t="shared" si="88"/>
        <v>Error?</v>
      </c>
    </row>
    <row r="5721" spans="1:4" x14ac:dyDescent="0.2">
      <c r="A5721" s="5">
        <v>5660</v>
      </c>
      <c r="B5721" s="138">
        <f>'Revenues 9-14'!G5</f>
        <v>638421</v>
      </c>
      <c r="D5721" s="2" t="str">
        <f t="shared" si="88"/>
        <v>Error?</v>
      </c>
    </row>
    <row r="5722" spans="1:4" x14ac:dyDescent="0.2">
      <c r="A5722" s="5">
        <v>5661</v>
      </c>
      <c r="B5722" s="138">
        <f>'Revenues 9-14'!G7</f>
        <v>0</v>
      </c>
      <c r="D5722" s="2" t="str">
        <f t="shared" si="88"/>
        <v>Error?</v>
      </c>
    </row>
    <row r="5723" spans="1:4" x14ac:dyDescent="0.2">
      <c r="A5723" s="5">
        <v>5662</v>
      </c>
      <c r="B5723" s="138">
        <f>'Revenues 9-14'!G8</f>
        <v>715079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1353500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3208</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3208</v>
      </c>
      <c r="C5730" s="2" t="s">
        <v>572</v>
      </c>
      <c r="D5730" s="2" t="str">
        <f t="shared" si="88"/>
        <v>Error?</v>
      </c>
    </row>
    <row r="5731" spans="1:4" x14ac:dyDescent="0.2">
      <c r="A5731" s="5">
        <v>5670</v>
      </c>
      <c r="B5731" s="138">
        <f>'Revenues 9-14'!G65</f>
        <v>3673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3673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1360381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38278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38278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18321</v>
      </c>
      <c r="D5885" s="2" t="str">
        <f t="shared" si="90"/>
        <v>Error?</v>
      </c>
    </row>
    <row r="5886" spans="1:4" x14ac:dyDescent="0.2">
      <c r="A5886" s="5">
        <v>5825</v>
      </c>
      <c r="B5886" s="138">
        <f>'Revenues 9-14'!H108</f>
        <v>3534822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3573100</v>
      </c>
      <c r="C5915" s="2" t="s">
        <v>572</v>
      </c>
      <c r="D5915" s="2" t="str">
        <f t="shared" si="91"/>
        <v>Error?</v>
      </c>
    </row>
    <row r="5916" spans="1:4" x14ac:dyDescent="0.2">
      <c r="A5916" s="5">
        <v>5855</v>
      </c>
      <c r="B5916" s="138">
        <f>'Revenues 9-14'!I5</f>
        <v>711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711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17473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17473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18184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316896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316896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10675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10675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327571</v>
      </c>
      <c r="C6023" s="2" t="s">
        <v>572</v>
      </c>
      <c r="D6023" s="2" t="str">
        <f t="shared" si="93"/>
        <v>Error?</v>
      </c>
    </row>
    <row r="6024" spans="1:5" x14ac:dyDescent="0.2">
      <c r="A6024" s="5">
        <v>5963</v>
      </c>
      <c r="B6024" s="138">
        <f>'Revenues 9-14'!G109</f>
        <v>1360381</v>
      </c>
      <c r="C6024" s="2" t="s">
        <v>572</v>
      </c>
      <c r="D6024" s="2" t="str">
        <f t="shared" si="93"/>
        <v>Error?</v>
      </c>
    </row>
    <row r="6025" spans="1:5" x14ac:dyDescent="0.2">
      <c r="A6025" s="5">
        <v>5964</v>
      </c>
      <c r="B6025" s="138">
        <f>'Revenues 9-14'!H109</f>
        <v>3573100</v>
      </c>
      <c r="C6025" s="2" t="s">
        <v>572</v>
      </c>
      <c r="D6025" s="2" t="str">
        <f t="shared" si="93"/>
        <v>Error?</v>
      </c>
    </row>
    <row r="6026" spans="1:5" x14ac:dyDescent="0.2">
      <c r="A6026" s="5">
        <v>5965</v>
      </c>
      <c r="B6026" s="138">
        <f>'Revenues 9-14'!I109</f>
        <v>18184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327571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173766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3693.7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2624337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210330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7015000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53591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264</v>
      </c>
      <c r="D6123" s="2" t="str">
        <f t="shared" si="94"/>
        <v>Error?</v>
      </c>
      <c r="E6123" s="2" t="s">
        <v>190</v>
      </c>
    </row>
    <row r="6124" spans="1:5" x14ac:dyDescent="0.2">
      <c r="A6124">
        <v>6063</v>
      </c>
      <c r="B6124" s="138">
        <f>'Assets-Liab 5-6'!J13</f>
        <v>714443</v>
      </c>
      <c r="D6124" s="2" t="str">
        <f t="shared" si="94"/>
        <v>Error?</v>
      </c>
      <c r="E6124" s="2" t="s">
        <v>190</v>
      </c>
    </row>
    <row r="6125" spans="1:5" x14ac:dyDescent="0.2">
      <c r="A6125">
        <v>6064</v>
      </c>
      <c r="B6125" s="138">
        <f>'Assets-Liab 5-6'!C25</f>
        <v>240000</v>
      </c>
      <c r="D6125" s="2" t="str">
        <f t="shared" si="94"/>
        <v>Error?</v>
      </c>
      <c r="E6125" s="2" t="s">
        <v>190</v>
      </c>
    </row>
    <row r="6126" spans="1:5" x14ac:dyDescent="0.2">
      <c r="A6126">
        <v>6065</v>
      </c>
      <c r="B6126" s="138">
        <f>'Assets-Liab 5-6'!D25</f>
        <v>4800000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850000</v>
      </c>
      <c r="D6128" s="2" t="str">
        <f t="shared" si="94"/>
        <v>Error?</v>
      </c>
      <c r="E6128" s="2" t="s">
        <v>190</v>
      </c>
    </row>
    <row r="6129" spans="1:5" x14ac:dyDescent="0.2">
      <c r="A6129">
        <v>6068</v>
      </c>
      <c r="B6129" s="138">
        <f>'Assets-Liab 5-6'!G25</f>
        <v>1025000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100000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1141535</v>
      </c>
      <c r="D6142" s="2" t="str">
        <f t="shared" si="94"/>
        <v>Error?</v>
      </c>
      <c r="E6142" s="2" t="s">
        <v>190</v>
      </c>
    </row>
    <row r="6143" spans="1:5" x14ac:dyDescent="0.2">
      <c r="A6143">
        <v>6082</v>
      </c>
      <c r="B6143" s="138">
        <f>'Assets-Liab 5-6'!D27</f>
        <v>2074</v>
      </c>
      <c r="D6143" s="2" t="str">
        <f t="shared" ref="D6143:D6206" si="95">IF(ISBLANK(B6143),"OK",IF(A6143-B6143=0,"OK","Error?"))</f>
        <v>Error?</v>
      </c>
      <c r="E6143" s="2" t="s">
        <v>190</v>
      </c>
    </row>
    <row r="6144" spans="1:5" x14ac:dyDescent="0.2">
      <c r="A6144">
        <v>6083</v>
      </c>
      <c r="B6144" s="138">
        <f>'Assets-Liab 5-6'!E27</f>
        <v>161862</v>
      </c>
      <c r="D6144" s="2" t="str">
        <f t="shared" si="95"/>
        <v>Error?</v>
      </c>
      <c r="E6144" s="2" t="s">
        <v>190</v>
      </c>
    </row>
    <row r="6145" spans="1:5" x14ac:dyDescent="0.2">
      <c r="A6145">
        <v>6084</v>
      </c>
      <c r="B6145" s="138">
        <f>'Assets-Liab 5-6'!F27</f>
        <v>23168</v>
      </c>
      <c r="D6145" s="2" t="str">
        <f t="shared" si="95"/>
        <v>Error?</v>
      </c>
      <c r="E6145" s="2" t="s">
        <v>190</v>
      </c>
    </row>
    <row r="6146" spans="1:5" x14ac:dyDescent="0.2">
      <c r="A6146">
        <v>6085</v>
      </c>
      <c r="B6146" s="138">
        <f>'Assets-Liab 5-6'!G27</f>
        <v>197229</v>
      </c>
      <c r="D6146" s="2" t="str">
        <f t="shared" si="95"/>
        <v>Error?</v>
      </c>
      <c r="E6146" s="2" t="s">
        <v>190</v>
      </c>
    </row>
    <row r="6147" spans="1:5" x14ac:dyDescent="0.2">
      <c r="A6147">
        <v>6086</v>
      </c>
      <c r="B6147" s="138">
        <f>'Assets-Liab 5-6'!H27</f>
        <v>937012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346046</v>
      </c>
      <c r="D6149" s="2" t="str">
        <f t="shared" si="95"/>
        <v>Error?</v>
      </c>
      <c r="E6149" s="2" t="s">
        <v>190</v>
      </c>
    </row>
    <row r="6150" spans="1:5" x14ac:dyDescent="0.2">
      <c r="A6150">
        <v>6089</v>
      </c>
      <c r="B6150" s="138">
        <f>'Assets-Liab 5-6'!K27</f>
        <v>498011</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4673954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397701</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843747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-129304</v>
      </c>
      <c r="D6215" s="2" t="str">
        <f t="shared" si="96"/>
        <v>Error?</v>
      </c>
      <c r="E6215" s="2" t="s">
        <v>190</v>
      </c>
    </row>
    <row r="6216" spans="1:5" x14ac:dyDescent="0.2">
      <c r="A6216">
        <v>6155</v>
      </c>
      <c r="B6216" s="138">
        <f>'Assets-Liab 5-6'!J41</f>
        <v>714443</v>
      </c>
      <c r="D6216" s="2" t="str">
        <f t="shared" si="96"/>
        <v>Error?</v>
      </c>
      <c r="E6216" s="2" t="s">
        <v>190</v>
      </c>
    </row>
    <row r="6217" spans="1:5" x14ac:dyDescent="0.2">
      <c r="A6217">
        <v>6156</v>
      </c>
      <c r="B6217" s="138">
        <f>'Assets-Liab 5-6'!J4</f>
        <v>79261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634918</v>
      </c>
      <c r="D6219" s="2" t="str">
        <f t="shared" si="96"/>
        <v>Error?</v>
      </c>
      <c r="E6219" s="2" t="s">
        <v>190</v>
      </c>
    </row>
    <row r="6220" spans="1:5" x14ac:dyDescent="0.2">
      <c r="A6220">
        <v>6159</v>
      </c>
      <c r="B6220" s="138">
        <f>'Acct Summary 7-8'!J4</f>
        <v>662564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662564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662564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761738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761738</v>
      </c>
      <c r="D6229" s="2" t="str">
        <f t="shared" si="96"/>
        <v>Error?</v>
      </c>
      <c r="E6229" s="2" t="s">
        <v>190</v>
      </c>
    </row>
    <row r="6230" spans="1:5" x14ac:dyDescent="0.2">
      <c r="A6230">
        <v>6169</v>
      </c>
      <c r="B6230" s="138">
        <f>'Acct Summary 7-8'!J20</f>
        <v>-99174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-99174</v>
      </c>
      <c r="D6263" s="2" t="str">
        <f t="shared" si="96"/>
        <v>Error?</v>
      </c>
      <c r="E6263" s="2" t="s">
        <v>190</v>
      </c>
    </row>
    <row r="6264" spans="1:5" x14ac:dyDescent="0.2">
      <c r="A6264">
        <v>6203</v>
      </c>
      <c r="B6264" s="138">
        <f>'Acct Summary 7-8'!J79</f>
        <v>-30130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-129304</v>
      </c>
      <c r="D6266" s="2" t="str">
        <f t="shared" si="96"/>
        <v>Error?</v>
      </c>
      <c r="E6266" s="2" t="s">
        <v>190</v>
      </c>
    </row>
    <row r="6267" spans="1:5" x14ac:dyDescent="0.2">
      <c r="A6267">
        <v>6206</v>
      </c>
      <c r="B6267" s="138">
        <f>'Acct Summary 7-8'!C82</f>
        <v>-5816980</v>
      </c>
      <c r="D6267" s="2" t="str">
        <f t="shared" si="96"/>
        <v>Error?</v>
      </c>
      <c r="E6267" s="2" t="s">
        <v>190</v>
      </c>
    </row>
    <row r="6268" spans="1:5" x14ac:dyDescent="0.2">
      <c r="A6268">
        <v>6207</v>
      </c>
      <c r="B6268" s="138">
        <f>'Acct Summary 7-8'!D82</f>
        <v>-291948</v>
      </c>
      <c r="D6268" s="2" t="str">
        <f t="shared" si="96"/>
        <v>Error?</v>
      </c>
      <c r="E6268" s="2" t="s">
        <v>190</v>
      </c>
    </row>
    <row r="6269" spans="1:5" x14ac:dyDescent="0.2">
      <c r="A6269">
        <v>6208</v>
      </c>
      <c r="B6269" s="138">
        <f>'Acct Summary 7-8'!E82</f>
        <v>-3017287</v>
      </c>
      <c r="D6269" s="2" t="str">
        <f t="shared" si="96"/>
        <v>Error?</v>
      </c>
      <c r="E6269" s="2" t="s">
        <v>190</v>
      </c>
    </row>
    <row r="6270" spans="1:5" x14ac:dyDescent="0.2">
      <c r="A6270">
        <v>6209</v>
      </c>
      <c r="B6270" s="138">
        <f>'Acct Summary 7-8'!F82</f>
        <v>-206400</v>
      </c>
      <c r="D6270" s="2" t="str">
        <f t="shared" si="96"/>
        <v>Error?</v>
      </c>
      <c r="E6270" s="2" t="s">
        <v>190</v>
      </c>
    </row>
    <row r="6271" spans="1:5" x14ac:dyDescent="0.2">
      <c r="A6271">
        <v>6210</v>
      </c>
      <c r="B6271" s="138">
        <f>'Acct Summary 7-8'!G82</f>
        <v>-76630</v>
      </c>
      <c r="D6271" s="2" t="str">
        <f t="shared" ref="D6271:D6334" si="97">IF(ISBLANK(B6271),"OK",IF(A6271-B6271=0,"OK","Error?"))</f>
        <v>Error?</v>
      </c>
      <c r="E6271" s="2" t="s">
        <v>190</v>
      </c>
    </row>
    <row r="6272" spans="1:5" x14ac:dyDescent="0.2">
      <c r="A6272">
        <v>6211</v>
      </c>
      <c r="B6272" s="138">
        <f>'Acct Summary 7-8'!H82</f>
        <v>2028362</v>
      </c>
      <c r="D6272" s="2" t="str">
        <f t="shared" si="97"/>
        <v>Error?</v>
      </c>
      <c r="E6272" s="2" t="s">
        <v>190</v>
      </c>
    </row>
    <row r="6273" spans="1:5" x14ac:dyDescent="0.2">
      <c r="A6273">
        <v>6212</v>
      </c>
      <c r="B6273" s="138">
        <f>'Acct Summary 7-8'!I82</f>
        <v>711</v>
      </c>
      <c r="D6273" s="2" t="str">
        <f t="shared" si="97"/>
        <v>Error?</v>
      </c>
      <c r="E6273" s="2" t="s">
        <v>190</v>
      </c>
    </row>
    <row r="6274" spans="1:5" x14ac:dyDescent="0.2">
      <c r="A6274">
        <v>6213</v>
      </c>
      <c r="B6274" s="138">
        <f>'Acct Summary 7-8'!J82</f>
        <v>-99174</v>
      </c>
      <c r="D6274" s="2" t="str">
        <f t="shared" si="97"/>
        <v>Error?</v>
      </c>
      <c r="E6274" s="2" t="s">
        <v>190</v>
      </c>
    </row>
    <row r="6275" spans="1:5" x14ac:dyDescent="0.2">
      <c r="A6275">
        <v>6214</v>
      </c>
      <c r="B6275" s="138">
        <f>'Acct Summary 7-8'!K82</f>
        <v>-312560</v>
      </c>
      <c r="D6275" s="2" t="str">
        <f t="shared" si="97"/>
        <v>Error?</v>
      </c>
      <c r="E6275" s="2" t="s">
        <v>190</v>
      </c>
    </row>
    <row r="6276" spans="1:5" x14ac:dyDescent="0.2">
      <c r="A6276">
        <v>6215</v>
      </c>
      <c r="B6276" s="138">
        <f>'Acct Summary 7-8'!C83</f>
        <v>-0.55145379247841741</v>
      </c>
      <c r="D6276" s="2" t="str">
        <f t="shared" si="97"/>
        <v>Error?</v>
      </c>
      <c r="E6276" s="2" t="s">
        <v>190</v>
      </c>
    </row>
    <row r="6277" spans="1:5" x14ac:dyDescent="0.2">
      <c r="A6277">
        <v>6216</v>
      </c>
      <c r="B6277" s="138">
        <f>'Acct Summary 7-8'!D83</f>
        <v>0.10691532080126065</v>
      </c>
      <c r="D6277" s="2" t="str">
        <f t="shared" si="97"/>
        <v>Error?</v>
      </c>
      <c r="E6277" s="2" t="s">
        <v>190</v>
      </c>
    </row>
    <row r="6278" spans="1:5" x14ac:dyDescent="0.2">
      <c r="A6278">
        <v>6217</v>
      </c>
      <c r="B6278" s="138">
        <f>'Acct Summary 7-8'!E83</f>
        <v>-4.8633915101030292</v>
      </c>
      <c r="D6278" s="2" t="str">
        <f t="shared" si="97"/>
        <v>Error?</v>
      </c>
      <c r="E6278" s="2" t="s">
        <v>190</v>
      </c>
    </row>
    <row r="6279" spans="1:5" x14ac:dyDescent="0.2">
      <c r="A6279">
        <v>6218</v>
      </c>
      <c r="B6279" s="138">
        <f>'Acct Summary 7-8'!F83</f>
        <v>-7.0220800870955671</v>
      </c>
      <c r="D6279" s="2" t="str">
        <f t="shared" si="97"/>
        <v>Error?</v>
      </c>
      <c r="E6279" s="2" t="s">
        <v>190</v>
      </c>
    </row>
    <row r="6280" spans="1:5" x14ac:dyDescent="0.2">
      <c r="A6280">
        <v>6219</v>
      </c>
      <c r="B6280" s="138">
        <f>'Acct Summary 7-8'!G83</f>
        <v>0.27835695656280196</v>
      </c>
      <c r="D6280" s="2" t="str">
        <f t="shared" si="97"/>
        <v>Error?</v>
      </c>
      <c r="E6280" s="2" t="s">
        <v>190</v>
      </c>
    </row>
    <row r="6281" spans="1:5" x14ac:dyDescent="0.2">
      <c r="A6281">
        <v>6220</v>
      </c>
      <c r="B6281" s="138">
        <f>'Acct Summary 7-8'!H83</f>
        <v>0.2861203364219787</v>
      </c>
      <c r="D6281" s="2" t="str">
        <f t="shared" si="97"/>
        <v>Error?</v>
      </c>
      <c r="E6281" s="2" t="s">
        <v>190</v>
      </c>
    </row>
    <row r="6282" spans="1:5" x14ac:dyDescent="0.2">
      <c r="A6282">
        <v>6221</v>
      </c>
      <c r="B6282" s="138">
        <f>'Acct Summary 7-8'!I83</f>
        <v>1.0090061247097511E-4</v>
      </c>
      <c r="D6282" s="2" t="str">
        <f t="shared" si="97"/>
        <v>Error?</v>
      </c>
      <c r="E6282" s="2" t="s">
        <v>190</v>
      </c>
    </row>
    <row r="6283" spans="1:5" x14ac:dyDescent="0.2">
      <c r="A6283">
        <v>6222</v>
      </c>
      <c r="B6283" s="138">
        <f>'Acct Summary 7-8'!J83</f>
        <v>0.76698323331064777</v>
      </c>
      <c r="D6283" s="2" t="str">
        <f t="shared" si="97"/>
        <v>Error?</v>
      </c>
      <c r="E6283" s="2" t="s">
        <v>190</v>
      </c>
    </row>
    <row r="6284" spans="1:5" x14ac:dyDescent="0.2">
      <c r="A6284">
        <v>6223</v>
      </c>
      <c r="B6284" s="138">
        <f>'Acct Summary 7-8'!K83</f>
        <v>-0.73277832611636395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657904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657904</v>
      </c>
      <c r="D6301" s="2" t="str">
        <f t="shared" si="97"/>
        <v>Error?</v>
      </c>
      <c r="E6301" s="2" t="s">
        <v>190</v>
      </c>
    </row>
    <row r="6302" spans="1:5" x14ac:dyDescent="0.2">
      <c r="A6302">
        <v>6241</v>
      </c>
      <c r="B6302" s="138">
        <f>'Revenues 9-14'!J14</f>
        <v>1621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1621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295564</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3039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3039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9472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662564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2770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921671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1184061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122099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2223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2223</v>
      </c>
      <c r="D6940" s="2" t="str">
        <f t="shared" si="107"/>
        <v>Error?</v>
      </c>
    </row>
    <row r="6941" spans="1:4" x14ac:dyDescent="0.2">
      <c r="A6941">
        <v>6880</v>
      </c>
      <c r="B6941" s="138">
        <f>'Expenditures 15-22'!L52</f>
        <v>1280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112000</v>
      </c>
      <c r="D6981" s="2" t="str">
        <f t="shared" si="108"/>
        <v>Error?</v>
      </c>
    </row>
    <row r="6982" spans="1:4" x14ac:dyDescent="0.2">
      <c r="A6982">
        <v>6921</v>
      </c>
      <c r="B6982" s="138">
        <f>'Expenditures 15-22'!K85</f>
        <v>112000</v>
      </c>
      <c r="D6982" s="2" t="str">
        <f t="shared" si="108"/>
        <v>Error?</v>
      </c>
    </row>
    <row r="6983" spans="1:4" x14ac:dyDescent="0.2">
      <c r="A6983">
        <v>6922</v>
      </c>
      <c r="B6983" s="138">
        <f>'Expenditures 15-22'!H86</f>
        <v>54437</v>
      </c>
      <c r="D6983" s="2" t="str">
        <f t="shared" si="108"/>
        <v>Error?</v>
      </c>
    </row>
    <row r="6984" spans="1:4" x14ac:dyDescent="0.2">
      <c r="A6984">
        <v>6923</v>
      </c>
      <c r="B6984" s="138">
        <f>'Expenditures 15-22'!K86</f>
        <v>54437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166437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15874</v>
      </c>
      <c r="D7004" s="2" t="str">
        <f t="shared" si="108"/>
        <v>Error?</v>
      </c>
    </row>
    <row r="7005" spans="1:4" x14ac:dyDescent="0.2">
      <c r="A7005">
        <v>6944</v>
      </c>
      <c r="B7005" s="138">
        <f>'Expenditures 15-22'!K97</f>
        <v>15874</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15874</v>
      </c>
      <c r="D7012" s="2" t="str">
        <f t="shared" si="108"/>
        <v>Error?</v>
      </c>
    </row>
    <row r="7013" spans="1:4" x14ac:dyDescent="0.2">
      <c r="A7013">
        <v>6952</v>
      </c>
      <c r="B7013" s="138">
        <f>'Expenditures 15-22'!K100</f>
        <v>15874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761738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662564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3742</v>
      </c>
      <c r="D7079" s="2" t="str">
        <f t="shared" si="109"/>
        <v>Error?</v>
      </c>
    </row>
    <row r="7080" spans="1:4" x14ac:dyDescent="0.2">
      <c r="A7080">
        <v>7019</v>
      </c>
      <c r="B7080" s="138">
        <f>'Expenditures 15-22'!K226</f>
        <v>3742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14817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14817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417355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35886</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453241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23877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23877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25477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173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25650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244153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244153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725679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36059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761738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725679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36059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761738</v>
      </c>
      <c r="D7224" s="2" t="str">
        <f t="shared" si="111"/>
        <v>Error?</v>
      </c>
    </row>
    <row r="7225" spans="1:4" x14ac:dyDescent="0.2">
      <c r="A7225">
        <v>7164</v>
      </c>
      <c r="B7225" s="138">
        <f>'Expenditures 15-22'!K343</f>
        <v>-99174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205558</v>
      </c>
      <c r="D7246" s="2" t="str">
        <f t="shared" si="112"/>
        <v>Error?</v>
      </c>
    </row>
    <row r="7247" spans="1:4" x14ac:dyDescent="0.2">
      <c r="A7247">
        <f t="shared" si="113"/>
        <v>7186</v>
      </c>
      <c r="B7247" s="138">
        <f>'Expenditures 15-22'!E7</f>
        <v>20133</v>
      </c>
      <c r="D7247" s="2" t="str">
        <f t="shared" si="112"/>
        <v>Error?</v>
      </c>
    </row>
    <row r="7248" spans="1:4" x14ac:dyDescent="0.2">
      <c r="A7248">
        <f t="shared" si="113"/>
        <v>7187</v>
      </c>
      <c r="B7248" s="138">
        <f>'Expenditures 15-22'!F7</f>
        <v>18190</v>
      </c>
      <c r="D7248" s="2" t="str">
        <f t="shared" si="112"/>
        <v>Error?</v>
      </c>
    </row>
    <row r="7249" spans="1:4" x14ac:dyDescent="0.2">
      <c r="A7249">
        <f t="shared" si="113"/>
        <v>7188</v>
      </c>
      <c r="B7249" s="138">
        <f>'Expenditures 15-22'!G7</f>
        <v>18509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107343</v>
      </c>
      <c r="D7263" s="2" t="str">
        <f t="shared" si="112"/>
        <v>Error?</v>
      </c>
    </row>
    <row r="7264" spans="1:4" x14ac:dyDescent="0.2">
      <c r="A7264">
        <f t="shared" si="113"/>
        <v>7203</v>
      </c>
      <c r="B7264" s="138">
        <f>'Expenditures 15-22'!D17</f>
        <v>11380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3376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3086282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-1089981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30283</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3516501</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3546784</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360986</v>
      </c>
      <c r="D7724" s="2" t="str">
        <f t="shared" si="126"/>
        <v>Error?</v>
      </c>
      <c r="E7724" s="2" t="s">
        <v>826</v>
      </c>
      <c r="F7724" s="2"/>
    </row>
    <row r="7725" spans="1:6" x14ac:dyDescent="0.2">
      <c r="A7725">
        <v>7664</v>
      </c>
      <c r="B7725" s="138">
        <f>'Rest Tax Levies-Tort Im 25'!J19</f>
        <v>1015000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1375986</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1375986</v>
      </c>
      <c r="D7730" s="2" t="str">
        <f t="shared" si="126"/>
        <v>Error?</v>
      </c>
      <c r="E7730" s="2" t="s">
        <v>826</v>
      </c>
    </row>
    <row r="7731" spans="1:6" x14ac:dyDescent="0.2">
      <c r="A7731">
        <v>7670</v>
      </c>
      <c r="B7731" s="138">
        <f>'Revenues 9-14'!H103</f>
        <v>3516501</v>
      </c>
      <c r="D7731" s="2" t="str">
        <f t="shared" si="126"/>
        <v>Error?</v>
      </c>
      <c r="E7731" s="2" t="s">
        <v>826</v>
      </c>
    </row>
    <row r="7732" spans="1:6" x14ac:dyDescent="0.2">
      <c r="A7732">
        <v>7671</v>
      </c>
      <c r="B7732" s="138">
        <f>'Rest Tax Levies-Tort Im 25'!J24</f>
        <v>1080817</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1324316</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1080817</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5831572</v>
      </c>
      <c r="D7797" s="2" t="str">
        <f t="shared" si="127"/>
        <v>Error?</v>
      </c>
      <c r="E7797" s="4" t="s">
        <v>1899</v>
      </c>
    </row>
    <row r="7798" spans="1:5" x14ac:dyDescent="0.2">
      <c r="A7798">
        <v>7737</v>
      </c>
      <c r="B7798" s="138">
        <f>'Contracts Paid in CY 29'!F141</f>
        <v>50000</v>
      </c>
      <c r="D7798" s="2" t="str">
        <f t="shared" si="127"/>
        <v>Error?</v>
      </c>
      <c r="E7798" s="4" t="s">
        <v>1899</v>
      </c>
    </row>
    <row r="7799" spans="1:5" x14ac:dyDescent="0.2">
      <c r="A7799">
        <v>7738</v>
      </c>
      <c r="B7799" s="138">
        <f>'Contracts Paid in CY 29'!G141</f>
        <v>1262159</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O14" sqref="O1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1190</v>
      </c>
      <c r="B2" s="2407"/>
      <c r="C2" s="2407"/>
      <c r="D2" s="2407"/>
      <c r="E2" s="2407"/>
      <c r="F2" s="2407"/>
      <c r="G2" s="2407"/>
      <c r="H2" s="2407"/>
      <c r="I2" s="2407"/>
      <c r="J2" s="2407"/>
      <c r="K2" s="2407"/>
      <c r="L2" s="2407"/>
    </row>
    <row r="3" spans="1:29" ht="13.5" customHeight="1" x14ac:dyDescent="0.2">
      <c r="A3" s="2393" t="s">
        <v>1189</v>
      </c>
      <c r="B3" s="2393"/>
      <c r="C3" s="2393"/>
      <c r="D3" s="2393"/>
      <c r="E3" s="2393"/>
      <c r="F3" s="2393"/>
      <c r="G3" s="2393"/>
      <c r="H3" s="2393"/>
      <c r="I3" s="2393"/>
      <c r="J3" s="2393"/>
      <c r="K3" s="2393"/>
      <c r="L3" s="2393"/>
    </row>
    <row r="4" spans="1:29" ht="13.5" customHeight="1" x14ac:dyDescent="0.2">
      <c r="A4" s="2407" t="s">
        <v>1984</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7" t="str">
        <f>COVER!A17</f>
        <v>Urbana SD 116</v>
      </c>
      <c r="B7" s="2388"/>
      <c r="C7" s="2388"/>
      <c r="D7" s="2425"/>
      <c r="E7" s="2426">
        <f>COVER!A13</f>
        <v>9010116022</v>
      </c>
      <c r="F7" s="2427"/>
      <c r="G7" s="2394" t="str">
        <f>COVER!T23</f>
        <v>066-003844</v>
      </c>
      <c r="H7" s="2395"/>
      <c r="I7" s="2395"/>
      <c r="J7" s="2395"/>
      <c r="K7" s="2395"/>
      <c r="L7" s="2396"/>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7"/>
      <c r="B9" s="2398"/>
      <c r="C9" s="2398"/>
      <c r="D9" s="2398"/>
      <c r="E9" s="2398"/>
      <c r="F9" s="2399"/>
      <c r="G9" s="2400" t="str">
        <f>COVER!T13</f>
        <v>BKD, LLP</v>
      </c>
      <c r="H9" s="2401"/>
      <c r="I9" s="2401"/>
      <c r="J9" s="2401"/>
      <c r="K9" s="2401"/>
      <c r="L9" s="2402"/>
    </row>
    <row r="10" spans="1:29" ht="13.5" customHeight="1" x14ac:dyDescent="0.2">
      <c r="A10" s="2384" t="str">
        <f>COVER!A38</f>
        <v>Jennifer Ivory-Tatum</v>
      </c>
      <c r="B10" s="2385"/>
      <c r="C10" s="2385"/>
      <c r="D10" s="2385"/>
      <c r="E10" s="2385"/>
      <c r="F10" s="2386"/>
      <c r="G10" s="2400" t="str">
        <f>COVER!T17</f>
        <v>225 North Water Street, Suite 400</v>
      </c>
      <c r="H10" s="2413"/>
      <c r="I10" s="2413"/>
      <c r="J10" s="2413"/>
      <c r="K10" s="2413"/>
      <c r="L10" s="2414"/>
    </row>
    <row r="11" spans="1:29" ht="13.5" customHeight="1" x14ac:dyDescent="0.2">
      <c r="A11" s="1184" t="s">
        <v>1518</v>
      </c>
      <c r="B11" s="1185"/>
      <c r="C11" s="1186"/>
      <c r="D11" s="1191"/>
      <c r="E11" s="1186"/>
      <c r="F11" s="1190"/>
      <c r="G11" s="2400" t="str">
        <f>COVER!T19</f>
        <v>Decatur</v>
      </c>
      <c r="H11" s="2413"/>
      <c r="I11" s="2413"/>
      <c r="J11" s="2413"/>
      <c r="K11" s="2413"/>
      <c r="L11" s="2414"/>
    </row>
    <row r="12" spans="1:29" ht="13.5" customHeight="1" x14ac:dyDescent="0.2">
      <c r="A12" s="2418" t="s">
        <v>1517</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1519</v>
      </c>
      <c r="H13" s="2409"/>
      <c r="I13" s="2421" t="s">
        <v>2075</v>
      </c>
      <c r="J13" s="2422"/>
      <c r="K13" s="2422"/>
      <c r="L13" s="2423"/>
    </row>
    <row r="14" spans="1:29" ht="13.5" customHeight="1" x14ac:dyDescent="0.2">
      <c r="A14" s="2400" t="str">
        <f>COVER!A19</f>
        <v>205 North Race Street</v>
      </c>
      <c r="B14" s="2413"/>
      <c r="C14" s="2413"/>
      <c r="D14" s="2413"/>
      <c r="E14" s="2413"/>
      <c r="F14" s="2414"/>
      <c r="G14" s="1195" t="s">
        <v>1184</v>
      </c>
      <c r="H14" s="1193"/>
      <c r="I14" s="1193"/>
      <c r="J14" s="1193"/>
      <c r="K14" s="1193"/>
      <c r="L14" s="1194"/>
    </row>
    <row r="15" spans="1:29" ht="13.5" customHeight="1" x14ac:dyDescent="0.2">
      <c r="A15" s="2400" t="str">
        <f>COVER!A21</f>
        <v xml:space="preserve">Urbana </v>
      </c>
      <c r="B15" s="2413"/>
      <c r="C15" s="2413"/>
      <c r="D15" s="2413"/>
      <c r="E15" s="2413"/>
      <c r="F15" s="2414"/>
      <c r="G15" s="2410" t="str">
        <f>COVER!T15</f>
        <v>Heather Powell</v>
      </c>
      <c r="H15" s="2411"/>
      <c r="I15" s="2411"/>
      <c r="J15" s="2411"/>
      <c r="K15" s="2411"/>
      <c r="L15" s="2412"/>
    </row>
    <row r="16" spans="1:29" ht="12.2" customHeight="1" x14ac:dyDescent="0.2">
      <c r="A16" s="2390">
        <f>COVER!A25</f>
        <v>61801</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1183</v>
      </c>
      <c r="H17" s="1193"/>
      <c r="I17" s="1193"/>
      <c r="J17" s="1193"/>
      <c r="K17" s="1197" t="s">
        <v>1182</v>
      </c>
      <c r="L17" s="1190"/>
      <c r="M17" s="1183"/>
    </row>
    <row r="18" spans="1:13" ht="12.2" customHeight="1" x14ac:dyDescent="0.2">
      <c r="A18" s="2384"/>
      <c r="B18" s="2385"/>
      <c r="C18" s="2385"/>
      <c r="D18" s="2385"/>
      <c r="E18" s="2385"/>
      <c r="F18" s="2386"/>
      <c r="G18" s="2387" t="str">
        <f>COVER!T21</f>
        <v>217-429-2411</v>
      </c>
      <c r="H18" s="2388"/>
      <c r="I18" s="2388"/>
      <c r="J18" s="2388"/>
      <c r="K18" s="2387" t="str">
        <f>COVER!X21</f>
        <v>217-429-6109</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7"/>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hyperlinks>
    <hyperlink ref="I13" r:id="rId1" xr:uid="{00000000-0004-0000-1800-000000000000}"/>
  </hyperlinks>
  <pageMargins left="0.32" right="0.27" top="0.68" bottom="1" header="0.26" footer="0.5"/>
  <pageSetup firstPageNumber="35" fitToHeight="0" orientation="portrait" useFirstPageNumber="1" r:id="rId2"/>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Urbana SD 116</v>
      </c>
      <c r="B1" s="2424"/>
      <c r="C1" s="2424"/>
      <c r="D1" s="2424"/>
    </row>
    <row r="2" spans="1:11" s="1212" customFormat="1" ht="12.75" x14ac:dyDescent="0.2">
      <c r="A2" s="2429">
        <f>'Single Audit Cover'!E7</f>
        <v>9010116022</v>
      </c>
      <c r="B2" s="2430"/>
      <c r="C2" s="2430"/>
      <c r="D2" s="2430"/>
    </row>
    <row r="3" spans="1:11" s="1212" customFormat="1" ht="12.75" x14ac:dyDescent="0.2">
      <c r="A3" s="2428" t="s">
        <v>1512</v>
      </c>
      <c r="B3" s="2424"/>
      <c r="C3" s="2424"/>
      <c r="D3" s="2424"/>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D32" sqref="D3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Urbana SD 116</v>
      </c>
      <c r="B1" s="2432"/>
      <c r="C1" s="2432"/>
      <c r="D1" s="2432"/>
      <c r="E1" s="2432"/>
    </row>
    <row r="2" spans="1:5" x14ac:dyDescent="0.2">
      <c r="A2" s="2433">
        <f>'Single Audit Cover'!E7</f>
        <v>9010116022</v>
      </c>
      <c r="B2" s="2433"/>
      <c r="C2" s="2433"/>
      <c r="D2" s="2433"/>
      <c r="E2" s="2433"/>
    </row>
    <row r="3" spans="1:5" ht="4.5" customHeight="1" x14ac:dyDescent="0.2"/>
    <row r="4" spans="1:5" x14ac:dyDescent="0.2">
      <c r="A4" s="2432" t="s">
        <v>1244</v>
      </c>
      <c r="B4" s="2432"/>
      <c r="C4" s="2432"/>
      <c r="D4" s="2432"/>
      <c r="E4" s="2432"/>
    </row>
    <row r="5" spans="1:5" x14ac:dyDescent="0.2">
      <c r="A5" s="2435" t="str">
        <f>'Single Audit Cover'!A4</f>
        <v>Year Ending June 30, 2019</v>
      </c>
      <c r="B5" s="2435"/>
      <c r="C5" s="2435"/>
      <c r="D5" s="2435"/>
      <c r="E5" s="2435"/>
    </row>
    <row r="6" spans="1:5" x14ac:dyDescent="0.2">
      <c r="A6" s="2432" t="s">
        <v>1243</v>
      </c>
      <c r="B6" s="2432"/>
      <c r="C6" s="2432"/>
      <c r="D6" s="2432"/>
      <c r="E6" s="2432"/>
    </row>
    <row r="8" spans="1:5" x14ac:dyDescent="0.2">
      <c r="A8" s="1257" t="s">
        <v>1242</v>
      </c>
    </row>
    <row r="10" spans="1:5" x14ac:dyDescent="0.2">
      <c r="A10" s="1258" t="s">
        <v>1241</v>
      </c>
      <c r="B10" s="1259" t="s">
        <v>1240</v>
      </c>
      <c r="C10" s="1259"/>
      <c r="D10" s="1260">
        <f>SUM('Acct Summary 7-8'!C7:K7)</f>
        <v>7665667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173766</v>
      </c>
    </row>
    <row r="15" spans="1:5" x14ac:dyDescent="0.2">
      <c r="A15" s="1258"/>
      <c r="B15" s="1259"/>
      <c r="C15" s="1259"/>
    </row>
    <row r="16" spans="1:5" x14ac:dyDescent="0.2">
      <c r="A16" s="1258" t="s">
        <v>1839</v>
      </c>
      <c r="B16" s="1259"/>
      <c r="C16" s="1259"/>
    </row>
    <row r="17" spans="1:4" x14ac:dyDescent="0.2">
      <c r="A17" s="1258" t="s">
        <v>2056</v>
      </c>
      <c r="B17" s="1259" t="s">
        <v>1235</v>
      </c>
      <c r="C17" s="1259"/>
      <c r="D17" s="1261">
        <f>-SUM('Revenues 9-14'!C264:D264,'Revenues 9-14'!F264:G264)</f>
        <v>-242569</v>
      </c>
    </row>
    <row r="19" spans="1:4" ht="13.5" thickBot="1" x14ac:dyDescent="0.25">
      <c r="A19" s="1262" t="s">
        <v>1234</v>
      </c>
      <c r="D19" s="1263">
        <f>SUM(D10:D17)</f>
        <v>7596864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1232</v>
      </c>
      <c r="D32" s="1260">
        <f>SUM(D19:D30)</f>
        <v>7596864</v>
      </c>
    </row>
    <row r="33" spans="1:4" x14ac:dyDescent="0.2">
      <c r="D33" s="1266"/>
    </row>
    <row r="34" spans="1:4" x14ac:dyDescent="0.2">
      <c r="A34" s="317" t="s">
        <v>1231</v>
      </c>
    </row>
    <row r="35" spans="1:4" x14ac:dyDescent="0.2">
      <c r="A35" s="317" t="s">
        <v>1230</v>
      </c>
      <c r="B35" s="1255" t="s">
        <v>1229</v>
      </c>
      <c r="D35" s="1267">
        <v>8602226</v>
      </c>
    </row>
    <row r="37" spans="1:4" x14ac:dyDescent="0.2">
      <c r="A37" s="1257" t="s">
        <v>1228</v>
      </c>
    </row>
    <row r="39" spans="1:4" ht="13.35" customHeight="1" x14ac:dyDescent="0.2">
      <c r="A39" s="1264" t="s">
        <v>1227</v>
      </c>
    </row>
    <row r="40" spans="1:4" x14ac:dyDescent="0.2">
      <c r="A40" s="2431" t="s">
        <v>2169</v>
      </c>
      <c r="B40" s="2431"/>
      <c r="D40" s="1265">
        <v>-1005362</v>
      </c>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1226</v>
      </c>
      <c r="C47" s="1269"/>
      <c r="D47" s="1270">
        <f>SUM(D35:D45)</f>
        <v>7596864</v>
      </c>
    </row>
    <row r="49" spans="2:4" x14ac:dyDescent="0.2">
      <c r="B49" s="1269" t="s">
        <v>1225</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3"/>
  <sheetViews>
    <sheetView showGridLines="0" topLeftCell="A16" zoomScaleNormal="100" workbookViewId="0">
      <selection activeCell="I14" sqref="I14:I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Urbana SD 116</v>
      </c>
      <c r="C1" s="2436"/>
      <c r="D1" s="2436"/>
      <c r="E1" s="2436"/>
      <c r="F1" s="2436"/>
      <c r="G1" s="2436"/>
      <c r="H1" s="2436"/>
      <c r="I1" s="2436"/>
      <c r="J1" s="2436"/>
      <c r="K1" s="2436"/>
      <c r="L1" s="2436"/>
      <c r="M1" s="2436"/>
    </row>
    <row r="2" spans="2:14" ht="15" x14ac:dyDescent="0.2">
      <c r="B2" s="2437">
        <f>'Single Audit Cover'!E7</f>
        <v>9010116022</v>
      </c>
      <c r="C2" s="2437"/>
      <c r="D2" s="2437"/>
      <c r="E2" s="2437"/>
      <c r="F2" s="2437"/>
      <c r="G2" s="2437"/>
      <c r="H2" s="2437"/>
      <c r="I2" s="2437"/>
      <c r="J2" s="2437"/>
      <c r="K2" s="2437"/>
      <c r="L2" s="2437"/>
      <c r="M2" s="2437"/>
      <c r="N2" s="1299"/>
    </row>
    <row r="3" spans="2:14" ht="15" x14ac:dyDescent="0.2">
      <c r="B3" s="2438" t="s">
        <v>1218</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1985</v>
      </c>
      <c r="K8" s="1316" t="s">
        <v>1260</v>
      </c>
      <c r="L8" s="1317" t="s">
        <v>1256</v>
      </c>
      <c r="M8" s="1318" t="s">
        <v>30</v>
      </c>
    </row>
    <row r="9" spans="2:14" ht="14.25" x14ac:dyDescent="0.2">
      <c r="B9" s="1322" t="s">
        <v>1258</v>
      </c>
      <c r="C9" s="1310" t="s">
        <v>1731</v>
      </c>
      <c r="D9" s="1311" t="s">
        <v>1732</v>
      </c>
      <c r="E9" s="1319" t="s">
        <v>1835</v>
      </c>
      <c r="F9" s="1320" t="s">
        <v>1985</v>
      </c>
      <c r="G9" s="1321" t="s">
        <v>1835</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2079</v>
      </c>
      <c r="C11" s="1335"/>
      <c r="D11" s="1336"/>
      <c r="E11" s="1337"/>
      <c r="F11" s="1337"/>
      <c r="G11" s="1337"/>
      <c r="H11" s="1337"/>
      <c r="I11" s="1337"/>
      <c r="J11" s="1337"/>
      <c r="K11" s="1337"/>
      <c r="L11" s="1337">
        <f>+G11+I11+K11</f>
        <v>0</v>
      </c>
      <c r="M11" s="1337"/>
    </row>
    <row r="12" spans="2:14" ht="20.100000000000001" customHeight="1" x14ac:dyDescent="0.2">
      <c r="B12" s="1334" t="s">
        <v>2080</v>
      </c>
      <c r="C12" s="1338"/>
      <c r="D12" s="1339"/>
      <c r="E12" s="1340"/>
      <c r="F12" s="1340"/>
      <c r="G12" s="1340"/>
      <c r="H12" s="1340"/>
      <c r="I12" s="1340"/>
      <c r="J12" s="1340"/>
      <c r="K12" s="1340"/>
      <c r="L12" s="1337">
        <f t="shared" ref="L12:L28"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2081</v>
      </c>
      <c r="C14" s="1338">
        <v>10.555</v>
      </c>
      <c r="D14" s="1339"/>
      <c r="E14" s="1340">
        <v>110358</v>
      </c>
      <c r="F14" s="1340">
        <v>121296</v>
      </c>
      <c r="G14" s="1340">
        <v>110358</v>
      </c>
      <c r="H14" s="1340"/>
      <c r="I14" s="1340">
        <v>121296</v>
      </c>
      <c r="J14" s="1340"/>
      <c r="K14" s="1340"/>
      <c r="L14" s="1337">
        <f t="shared" si="0"/>
        <v>231654</v>
      </c>
      <c r="M14" s="1340" t="s">
        <v>2090</v>
      </c>
    </row>
    <row r="15" spans="2:14" ht="20.100000000000001" customHeight="1" x14ac:dyDescent="0.2">
      <c r="B15" s="1334" t="s">
        <v>2082</v>
      </c>
      <c r="C15" s="1338">
        <v>10.555</v>
      </c>
      <c r="D15" s="1339"/>
      <c r="E15" s="1340">
        <v>45257</v>
      </c>
      <c r="F15" s="1340">
        <v>52470</v>
      </c>
      <c r="G15" s="1340">
        <v>45257</v>
      </c>
      <c r="H15" s="1340"/>
      <c r="I15" s="1340">
        <v>52470</v>
      </c>
      <c r="J15" s="1340"/>
      <c r="K15" s="1340"/>
      <c r="L15" s="1337">
        <f t="shared" si="0"/>
        <v>97727</v>
      </c>
      <c r="M15" s="1340" t="s">
        <v>2090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2083</v>
      </c>
      <c r="C17" s="1338"/>
      <c r="D17" s="1339"/>
      <c r="E17" s="1340"/>
      <c r="F17" s="1340"/>
      <c r="G17" s="1340"/>
      <c r="H17" s="1340"/>
      <c r="I17" s="1340"/>
      <c r="J17" s="1340"/>
      <c r="K17" s="1340"/>
      <c r="L17" s="1337">
        <f t="shared" si="0"/>
        <v>0</v>
      </c>
      <c r="M17" s="1340"/>
    </row>
    <row r="18" spans="2:14" ht="20.100000000000001" customHeight="1" x14ac:dyDescent="0.2">
      <c r="B18" s="1334" t="s">
        <v>2084</v>
      </c>
      <c r="C18" s="1338">
        <v>10.555</v>
      </c>
      <c r="D18" s="1339" t="s">
        <v>2091</v>
      </c>
      <c r="E18" s="1340">
        <v>1318017</v>
      </c>
      <c r="F18" s="1340">
        <v>291253</v>
      </c>
      <c r="G18" s="1340">
        <v>1318017</v>
      </c>
      <c r="H18" s="1340"/>
      <c r="I18" s="1340">
        <v>291253</v>
      </c>
      <c r="J18" s="1340"/>
      <c r="K18" s="1340"/>
      <c r="L18" s="1337">
        <f t="shared" si="0"/>
        <v>1609270</v>
      </c>
      <c r="M18" s="1340" t="s">
        <v>2090</v>
      </c>
    </row>
    <row r="19" spans="2:14" ht="20.100000000000001" customHeight="1" x14ac:dyDescent="0.2">
      <c r="B19" s="1334"/>
      <c r="C19" s="1338">
        <v>10.555</v>
      </c>
      <c r="D19" s="1339" t="s">
        <v>2092</v>
      </c>
      <c r="E19" s="1340"/>
      <c r="F19" s="1340">
        <v>1317603</v>
      </c>
      <c r="G19" s="1340"/>
      <c r="H19" s="1340"/>
      <c r="I19" s="1340">
        <v>1317603</v>
      </c>
      <c r="J19" s="1340"/>
      <c r="K19" s="1340"/>
      <c r="L19" s="1337">
        <f t="shared" si="0"/>
        <v>1317603</v>
      </c>
      <c r="M19" s="1340" t="s">
        <v>2090</v>
      </c>
    </row>
    <row r="20" spans="2:14" ht="20.100000000000001" customHeight="1" x14ac:dyDescent="0.2">
      <c r="B20" s="1334" t="s">
        <v>2085</v>
      </c>
      <c r="C20" s="1338">
        <v>10.553000000000001</v>
      </c>
      <c r="D20" s="1339" t="s">
        <v>2093</v>
      </c>
      <c r="E20" s="1340">
        <v>593795</v>
      </c>
      <c r="F20" s="1340">
        <v>131628</v>
      </c>
      <c r="G20" s="1340">
        <v>593795</v>
      </c>
      <c r="H20" s="1340"/>
      <c r="I20" s="1340">
        <v>131628</v>
      </c>
      <c r="J20" s="1340"/>
      <c r="K20" s="1340"/>
      <c r="L20" s="1337">
        <f t="shared" si="0"/>
        <v>725423</v>
      </c>
      <c r="M20" s="1340" t="s">
        <v>2090</v>
      </c>
    </row>
    <row r="21" spans="2:14" ht="20.100000000000001" customHeight="1" x14ac:dyDescent="0.2">
      <c r="B21" s="1334"/>
      <c r="C21" s="1338">
        <v>10.553000000000001</v>
      </c>
      <c r="D21" s="1339" t="s">
        <v>2094</v>
      </c>
      <c r="E21" s="1340"/>
      <c r="F21" s="1340">
        <v>601624</v>
      </c>
      <c r="G21" s="1340"/>
      <c r="H21" s="1340"/>
      <c r="I21" s="1340">
        <v>601624</v>
      </c>
      <c r="J21" s="1340"/>
      <c r="K21" s="1340"/>
      <c r="L21" s="1337">
        <f t="shared" si="0"/>
        <v>601624</v>
      </c>
      <c r="M21" s="1340" t="s">
        <v>2090</v>
      </c>
    </row>
    <row r="22" spans="2:14" ht="20.100000000000001" customHeight="1" x14ac:dyDescent="0.2">
      <c r="B22" s="1334" t="s">
        <v>2086</v>
      </c>
      <c r="C22" s="1338"/>
      <c r="D22" s="1339"/>
      <c r="E22" s="1340">
        <f>E21+E20+E19+E18+E15+E14</f>
        <v>2067427</v>
      </c>
      <c r="F22" s="1340">
        <f>F14+F15+F18+F19+F20+F21</f>
        <v>2515874</v>
      </c>
      <c r="G22" s="1340">
        <f>G14+G15+G18+G19+G20+G21</f>
        <v>2067427</v>
      </c>
      <c r="H22" s="1340"/>
      <c r="I22" s="1340">
        <f>I14+I15+I18+I19+I20+I21</f>
        <v>2515874</v>
      </c>
      <c r="J22" s="1340"/>
      <c r="K22" s="1340"/>
      <c r="L22" s="1337">
        <f t="shared" si="0"/>
        <v>4583301</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2087</v>
      </c>
      <c r="C24" s="1338">
        <v>10.558</v>
      </c>
      <c r="D24" s="1339" t="s">
        <v>2095</v>
      </c>
      <c r="E24" s="1340">
        <v>110553</v>
      </c>
      <c r="F24" s="1340">
        <v>35052</v>
      </c>
      <c r="G24" s="1340">
        <v>110553</v>
      </c>
      <c r="H24" s="1340"/>
      <c r="I24" s="1340">
        <v>35052</v>
      </c>
      <c r="J24" s="1340"/>
      <c r="K24" s="1340"/>
      <c r="L24" s="1337">
        <f t="shared" si="0"/>
        <v>145605</v>
      </c>
      <c r="M24" s="1340" t="s">
        <v>2090</v>
      </c>
    </row>
    <row r="25" spans="2:14" ht="20.100000000000001" customHeight="1" x14ac:dyDescent="0.2">
      <c r="B25" s="1334"/>
      <c r="C25" s="1338"/>
      <c r="D25" s="1339" t="s">
        <v>2096</v>
      </c>
      <c r="E25" s="1340"/>
      <c r="F25" s="1340">
        <v>99697</v>
      </c>
      <c r="G25" s="1340"/>
      <c r="H25" s="1340"/>
      <c r="I25" s="1340">
        <v>99697</v>
      </c>
      <c r="J25" s="1340"/>
      <c r="K25" s="1340"/>
      <c r="L25" s="1337">
        <f t="shared" si="0"/>
        <v>99697</v>
      </c>
      <c r="M25" s="1340" t="s">
        <v>2090</v>
      </c>
    </row>
    <row r="26" spans="2:14" ht="20.100000000000001" customHeight="1" x14ac:dyDescent="0.2">
      <c r="B26" s="1334"/>
      <c r="C26" s="1338"/>
      <c r="D26" s="1339"/>
      <c r="E26" s="1340"/>
      <c r="F26" s="1340"/>
      <c r="G26" s="1340"/>
      <c r="H26" s="1340"/>
      <c r="I26" s="1340"/>
      <c r="J26" s="1340"/>
      <c r="K26" s="1340"/>
      <c r="L26" s="1337">
        <f>+G26+I26+K26</f>
        <v>0</v>
      </c>
      <c r="M26" s="1340"/>
    </row>
    <row r="27" spans="2:14" ht="20.100000000000001" customHeight="1" x14ac:dyDescent="0.2">
      <c r="B27" s="1334" t="s">
        <v>2088</v>
      </c>
      <c r="C27" s="1338">
        <v>10.579000000000001</v>
      </c>
      <c r="D27" s="1339" t="s">
        <v>2097</v>
      </c>
      <c r="E27" s="1340">
        <v>37847</v>
      </c>
      <c r="F27" s="1938"/>
      <c r="G27" s="1340">
        <v>37847</v>
      </c>
      <c r="H27" s="1938"/>
      <c r="I27" s="1938"/>
      <c r="J27" s="1340"/>
      <c r="K27" s="1340"/>
      <c r="L27" s="1337">
        <f>+G27+I27+K27</f>
        <v>37847</v>
      </c>
      <c r="M27" s="1340" t="s">
        <v>2090</v>
      </c>
    </row>
    <row r="28" spans="2:14" ht="20.100000000000001" customHeight="1" x14ac:dyDescent="0.2">
      <c r="B28" s="1334" t="s">
        <v>2089</v>
      </c>
      <c r="C28" s="1338"/>
      <c r="D28" s="1339"/>
      <c r="E28" s="1340">
        <f>E27+E25+E24+E22</f>
        <v>2215827</v>
      </c>
      <c r="F28" s="1340">
        <f>F22+F24+F25+F27</f>
        <v>2650623</v>
      </c>
      <c r="G28" s="1340">
        <f>G22+G24+G25+G27</f>
        <v>2215827</v>
      </c>
      <c r="H28" s="1340"/>
      <c r="I28" s="1340">
        <f>I22+I24+I25+I27</f>
        <v>2650623</v>
      </c>
      <c r="J28" s="1340"/>
      <c r="K28" s="1340"/>
      <c r="L28" s="1337">
        <f t="shared" si="0"/>
        <v>4866450</v>
      </c>
      <c r="M28" s="1340"/>
      <c r="N28" s="1341"/>
    </row>
    <row r="29" spans="2:14" ht="12.75" customHeight="1" x14ac:dyDescent="0.2">
      <c r="B29" s="1342"/>
      <c r="C29" s="1343"/>
      <c r="D29" s="1344"/>
      <c r="E29" s="1345"/>
      <c r="F29" s="1345"/>
      <c r="G29" s="1345"/>
      <c r="H29" s="1345"/>
      <c r="I29" s="1345"/>
      <c r="J29" s="1345"/>
      <c r="K29" s="1345"/>
      <c r="L29" s="1345"/>
      <c r="M29" s="1345"/>
      <c r="N29" s="1341"/>
    </row>
    <row r="30" spans="2:14" x14ac:dyDescent="0.2">
      <c r="B30" s="1254"/>
      <c r="C30" s="1346"/>
      <c r="D30" s="1347"/>
      <c r="E30" s="1254"/>
      <c r="F30" s="1254"/>
      <c r="G30" s="1247"/>
      <c r="H30" s="1247"/>
      <c r="I30" s="1247"/>
      <c r="J30" s="1247"/>
      <c r="K30" s="1247"/>
      <c r="L30" s="1247"/>
      <c r="M30" s="1254"/>
      <c r="N30" s="1341"/>
    </row>
    <row r="31" spans="2:14" ht="13.5" customHeight="1" x14ac:dyDescent="0.2">
      <c r="B31" s="1279" t="s">
        <v>1733</v>
      </c>
      <c r="C31" s="1346"/>
      <c r="D31" s="1347"/>
      <c r="E31" s="1254"/>
      <c r="F31" s="1254"/>
      <c r="G31" s="1247"/>
      <c r="H31" s="1247"/>
      <c r="I31" s="1247"/>
      <c r="J31" s="1247"/>
      <c r="K31" s="1247"/>
      <c r="L31" s="1247"/>
      <c r="M31" s="1254"/>
      <c r="N31" s="1341"/>
    </row>
    <row r="32" spans="2:14" ht="8.25" customHeight="1" x14ac:dyDescent="0.2">
      <c r="B32" s="1279"/>
      <c r="C32" s="1346"/>
      <c r="D32" s="1347"/>
      <c r="E32" s="1254"/>
      <c r="F32" s="1254"/>
      <c r="G32" s="1247"/>
      <c r="H32" s="1247"/>
      <c r="I32" s="1247"/>
      <c r="J32" s="1247"/>
      <c r="K32" s="1247"/>
      <c r="L32" s="1247"/>
      <c r="M32" s="1254"/>
      <c r="N32" s="1341"/>
    </row>
    <row r="33" spans="2:13" x14ac:dyDescent="0.2">
      <c r="B33" s="1348" t="s">
        <v>1836</v>
      </c>
      <c r="C33" s="1349"/>
      <c r="D33" s="1350"/>
      <c r="E33" s="1351"/>
      <c r="F33" s="1351"/>
      <c r="G33" s="1351"/>
      <c r="H33" s="1351"/>
      <c r="I33" s="317"/>
      <c r="J33" s="317"/>
    </row>
    <row r="34" spans="2:13" x14ac:dyDescent="0.2">
      <c r="B34" s="1274"/>
      <c r="C34" s="1352"/>
      <c r="D34" s="1353"/>
      <c r="E34" s="1275"/>
      <c r="F34" s="1275"/>
      <c r="G34" s="317"/>
      <c r="H34" s="317"/>
      <c r="I34" s="317"/>
      <c r="J34" s="317"/>
    </row>
    <row r="35" spans="2:13" ht="13.5" customHeight="1" x14ac:dyDescent="0.2">
      <c r="B35" s="1273" t="s">
        <v>1245</v>
      </c>
      <c r="G35" s="317"/>
      <c r="H35" s="317"/>
      <c r="I35" s="317"/>
      <c r="J35" s="317"/>
    </row>
    <row r="36" spans="2:13" ht="13.5" customHeight="1" x14ac:dyDescent="0.2">
      <c r="B36" s="1356"/>
      <c r="C36" s="1357"/>
      <c r="D36" s="1358"/>
      <c r="E36" s="1294"/>
      <c r="F36" s="1294"/>
      <c r="G36" s="1294"/>
      <c r="H36" s="1294"/>
      <c r="I36" s="1294"/>
      <c r="J36" s="1294"/>
      <c r="K36" s="1359"/>
      <c r="L36" s="1359"/>
      <c r="M36" s="1294"/>
    </row>
    <row r="37" spans="2:13" ht="9.6" customHeight="1" x14ac:dyDescent="0.2">
      <c r="B37" s="1360"/>
      <c r="G37" s="317"/>
      <c r="H37" s="317"/>
      <c r="I37" s="317"/>
      <c r="J37" s="317"/>
    </row>
    <row r="38" spans="2:13" ht="11.25" customHeight="1" x14ac:dyDescent="0.2">
      <c r="B38" s="1361" t="s">
        <v>1734</v>
      </c>
      <c r="C38" s="1362"/>
      <c r="D38" s="1362"/>
      <c r="E38" s="1362"/>
      <c r="F38" s="1362"/>
      <c r="G38" s="1362"/>
      <c r="H38" s="1362"/>
      <c r="I38" s="1363"/>
      <c r="J38" s="1363"/>
      <c r="K38" s="1363"/>
      <c r="L38" s="1363"/>
      <c r="M38" s="1363"/>
    </row>
    <row r="39" spans="2:13" ht="11.25" customHeight="1" x14ac:dyDescent="0.2">
      <c r="B39" s="1364" t="s">
        <v>1583</v>
      </c>
      <c r="C39" s="1363"/>
      <c r="D39" s="1363"/>
      <c r="E39" s="1363"/>
      <c r="F39" s="1363"/>
      <c r="G39" s="1363"/>
      <c r="H39" s="1363"/>
      <c r="I39" s="1363"/>
      <c r="J39" s="1363"/>
      <c r="K39" s="1363"/>
      <c r="L39" s="1363"/>
      <c r="M39" s="1363"/>
    </row>
    <row r="40" spans="2:13" ht="3.95" customHeight="1" x14ac:dyDescent="0.2">
      <c r="B40" s="1364"/>
      <c r="C40" s="1363"/>
      <c r="D40" s="1363"/>
      <c r="E40" s="1363"/>
      <c r="F40" s="1363"/>
      <c r="G40" s="1363"/>
      <c r="H40" s="1363"/>
      <c r="I40" s="1363"/>
      <c r="J40" s="1363"/>
      <c r="K40" s="1363"/>
      <c r="L40" s="1363"/>
      <c r="M40" s="1363"/>
    </row>
    <row r="41" spans="2:13" ht="11.25" customHeight="1" x14ac:dyDescent="0.2">
      <c r="B41" s="1361" t="s">
        <v>1735</v>
      </c>
      <c r="C41" s="1363"/>
      <c r="D41" s="1363"/>
      <c r="E41" s="1363"/>
      <c r="F41" s="1363"/>
      <c r="G41" s="1363"/>
      <c r="H41" s="1363"/>
      <c r="I41" s="1363"/>
      <c r="J41" s="1363"/>
      <c r="K41" s="1363"/>
      <c r="L41" s="1363"/>
      <c r="M41" s="1363"/>
    </row>
    <row r="42" spans="2:13" ht="11.25" customHeight="1" x14ac:dyDescent="0.2">
      <c r="B42" s="1297" t="s">
        <v>1584</v>
      </c>
      <c r="C42" s="1365"/>
      <c r="D42" s="1366"/>
      <c r="E42" s="1297"/>
      <c r="F42" s="1297"/>
      <c r="G42" s="1297"/>
      <c r="H42" s="1297"/>
      <c r="I42" s="1297"/>
      <c r="J42" s="1297"/>
      <c r="K42" s="1367"/>
      <c r="L42" s="1367"/>
      <c r="M42" s="1297"/>
    </row>
    <row r="43" spans="2:13" ht="3.95" customHeight="1" x14ac:dyDescent="0.2">
      <c r="B43" s="1297"/>
      <c r="C43" s="1365"/>
      <c r="D43" s="1366"/>
      <c r="E43" s="1297"/>
      <c r="F43" s="1297"/>
      <c r="G43" s="1297"/>
      <c r="H43" s="1297"/>
      <c r="I43" s="1297"/>
      <c r="J43" s="1297"/>
      <c r="K43" s="1367"/>
      <c r="L43" s="1367"/>
      <c r="M43" s="1297"/>
    </row>
    <row r="44" spans="2:13" ht="11.25" customHeight="1" x14ac:dyDescent="0.2">
      <c r="B44" s="1368" t="s">
        <v>1736</v>
      </c>
      <c r="C44" s="1365"/>
      <c r="D44" s="1366"/>
      <c r="E44" s="1297"/>
      <c r="F44" s="1297"/>
      <c r="G44" s="1297"/>
      <c r="H44" s="1297"/>
      <c r="I44" s="1297"/>
      <c r="J44" s="1297"/>
      <c r="K44" s="1367"/>
      <c r="L44" s="1367"/>
      <c r="M44" s="1297"/>
    </row>
    <row r="45" spans="2:13" ht="3.95" customHeight="1" x14ac:dyDescent="0.2">
      <c r="B45" s="1368"/>
      <c r="C45" s="1365"/>
      <c r="D45" s="1366"/>
      <c r="E45" s="1297"/>
      <c r="F45" s="1297"/>
      <c r="G45" s="1297"/>
      <c r="H45" s="1297"/>
      <c r="I45" s="1297"/>
      <c r="J45" s="1297"/>
      <c r="K45" s="1367"/>
      <c r="L45" s="1367"/>
      <c r="M45" s="1297"/>
    </row>
    <row r="46" spans="2:13" ht="11.25" customHeight="1" x14ac:dyDescent="0.2">
      <c r="B46" s="1369" t="s">
        <v>1737</v>
      </c>
      <c r="C46" s="1365"/>
      <c r="D46" s="1366"/>
      <c r="E46" s="1297"/>
      <c r="F46" s="1297"/>
      <c r="G46" s="1297"/>
      <c r="H46" s="1297"/>
      <c r="I46" s="1297"/>
      <c r="J46" s="1297"/>
      <c r="K46" s="1367"/>
      <c r="L46" s="1367"/>
      <c r="M46" s="1297"/>
    </row>
    <row r="47" spans="2:13" ht="11.25" customHeight="1" x14ac:dyDescent="0.2">
      <c r="B47" s="1297" t="s">
        <v>1585</v>
      </c>
      <c r="G47" s="317"/>
      <c r="H47" s="317"/>
      <c r="I47" s="317"/>
      <c r="J47" s="317"/>
    </row>
    <row r="48" spans="2:13" ht="11.1" customHeight="1" x14ac:dyDescent="0.2">
      <c r="B48" s="1297"/>
      <c r="G48" s="317"/>
      <c r="H48" s="317"/>
      <c r="I48" s="317"/>
      <c r="J48" s="317"/>
    </row>
    <row r="49" spans="2:13" ht="11.1" customHeight="1" x14ac:dyDescent="0.2">
      <c r="B49" s="1297"/>
      <c r="G49" s="317"/>
      <c r="H49" s="317"/>
      <c r="I49" s="317"/>
      <c r="J49" s="317"/>
    </row>
    <row r="50" spans="2:13" ht="13.5" customHeight="1" x14ac:dyDescent="0.2">
      <c r="M50" s="1370"/>
    </row>
    <row r="51" spans="2:13" ht="13.5" customHeight="1" x14ac:dyDescent="0.2">
      <c r="M51" s="1370"/>
    </row>
    <row r="52" spans="2:13" ht="13.5" customHeight="1" x14ac:dyDescent="0.2">
      <c r="M52" s="1370"/>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Urbana SD 116</v>
      </c>
      <c r="C1" s="2436"/>
      <c r="D1" s="2436"/>
      <c r="E1" s="2436"/>
      <c r="F1" s="2436"/>
      <c r="G1" s="2436"/>
      <c r="H1" s="2436"/>
      <c r="I1" s="2436"/>
      <c r="J1" s="2436"/>
      <c r="K1" s="2436"/>
      <c r="L1" s="2436"/>
      <c r="M1" s="2436"/>
    </row>
    <row r="2" spans="2:14" ht="15" x14ac:dyDescent="0.2">
      <c r="B2" s="2437">
        <f>'Single Audit Cover'!E7</f>
        <v>9010116022</v>
      </c>
      <c r="C2" s="2437"/>
      <c r="D2" s="2437"/>
      <c r="E2" s="2437"/>
      <c r="F2" s="2437"/>
      <c r="G2" s="2437"/>
      <c r="H2" s="2437"/>
      <c r="I2" s="2437"/>
      <c r="J2" s="2437"/>
      <c r="K2" s="2437"/>
      <c r="L2" s="2437"/>
      <c r="M2" s="2437"/>
      <c r="N2" s="1299"/>
    </row>
    <row r="3" spans="2:14" ht="15" x14ac:dyDescent="0.2">
      <c r="B3" s="2438" t="s">
        <v>1218</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1985</v>
      </c>
      <c r="K8" s="1316" t="s">
        <v>1260</v>
      </c>
      <c r="L8" s="1317" t="s">
        <v>1256</v>
      </c>
      <c r="M8" s="1318" t="s">
        <v>30</v>
      </c>
    </row>
    <row r="9" spans="2:14" ht="14.25" x14ac:dyDescent="0.2">
      <c r="B9" s="1322" t="s">
        <v>1258</v>
      </c>
      <c r="C9" s="1310" t="s">
        <v>1731</v>
      </c>
      <c r="D9" s="1311" t="s">
        <v>1732</v>
      </c>
      <c r="E9" s="1319" t="s">
        <v>1835</v>
      </c>
      <c r="F9" s="1320" t="s">
        <v>1985</v>
      </c>
      <c r="G9" s="1321" t="s">
        <v>1835</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f>+G11+I11+K11</f>
        <v>0</v>
      </c>
      <c r="M11" s="1337"/>
    </row>
    <row r="12" spans="2:14" ht="20.100000000000001" customHeight="1" x14ac:dyDescent="0.2">
      <c r="B12" s="1334" t="s">
        <v>2099</v>
      </c>
      <c r="C12" s="1338"/>
      <c r="D12" s="1339"/>
      <c r="E12" s="1340"/>
      <c r="F12" s="1340"/>
      <c r="G12" s="1340"/>
      <c r="H12" s="1340"/>
      <c r="I12" s="1340"/>
      <c r="J12" s="1340"/>
      <c r="K12" s="1340"/>
      <c r="L12" s="1337">
        <f t="shared" ref="L12:L27" si="0">+G12+I12+K12</f>
        <v>0</v>
      </c>
      <c r="M12" s="1340"/>
    </row>
    <row r="13" spans="2:14" ht="20.100000000000001" customHeight="1" x14ac:dyDescent="0.2">
      <c r="B13" s="1334" t="s">
        <v>2100</v>
      </c>
      <c r="C13" s="1338">
        <v>17.259</v>
      </c>
      <c r="D13" s="1339" t="s">
        <v>2102</v>
      </c>
      <c r="E13" s="1340">
        <v>115723</v>
      </c>
      <c r="F13" s="1938">
        <v>40531</v>
      </c>
      <c r="G13" s="1340">
        <v>156254</v>
      </c>
      <c r="H13" s="1340"/>
      <c r="I13" s="1938"/>
      <c r="J13" s="1340"/>
      <c r="K13" s="1340"/>
      <c r="L13" s="1337">
        <f t="shared" si="0"/>
        <v>156254</v>
      </c>
      <c r="M13" s="1340">
        <v>156254</v>
      </c>
    </row>
    <row r="14" spans="2:14" ht="20.100000000000001" customHeight="1" x14ac:dyDescent="0.2">
      <c r="B14" s="1334"/>
      <c r="C14" s="1338">
        <v>17.259</v>
      </c>
      <c r="D14" s="1339" t="s">
        <v>2103</v>
      </c>
      <c r="E14" s="1340"/>
      <c r="F14" s="1938">
        <v>120885</v>
      </c>
      <c r="G14" s="1340"/>
      <c r="H14" s="1340"/>
      <c r="I14" s="1938">
        <v>156254</v>
      </c>
      <c r="J14" s="1340"/>
      <c r="K14" s="1340"/>
      <c r="L14" s="1337">
        <f t="shared" si="0"/>
        <v>156254</v>
      </c>
      <c r="M14" s="1938">
        <v>156254</v>
      </c>
    </row>
    <row r="15" spans="2:14" ht="20.100000000000001" customHeight="1" x14ac:dyDescent="0.2">
      <c r="B15" s="1334" t="s">
        <v>2101</v>
      </c>
      <c r="C15" s="1338"/>
      <c r="D15" s="1339"/>
      <c r="E15" s="1340">
        <f>E13+E14</f>
        <v>115723</v>
      </c>
      <c r="F15" s="1340">
        <f>F13+F14</f>
        <v>161416</v>
      </c>
      <c r="G15" s="1340">
        <f>G13+G14</f>
        <v>156254</v>
      </c>
      <c r="H15" s="1340"/>
      <c r="I15" s="1340">
        <f>I13+I14</f>
        <v>156254</v>
      </c>
      <c r="J15" s="1340"/>
      <c r="K15" s="1340"/>
      <c r="L15" s="1337">
        <f t="shared" si="0"/>
        <v>312508</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2104</v>
      </c>
      <c r="C17" s="1338"/>
      <c r="D17" s="1339"/>
      <c r="E17" s="1340"/>
      <c r="F17" s="1340"/>
      <c r="G17" s="1340"/>
      <c r="H17" s="1340"/>
      <c r="I17" s="1340"/>
      <c r="J17" s="1340"/>
      <c r="K17" s="1340"/>
      <c r="L17" s="1337">
        <f t="shared" si="0"/>
        <v>0</v>
      </c>
      <c r="M17" s="1340"/>
    </row>
    <row r="18" spans="2:14" ht="20.100000000000001" customHeight="1" x14ac:dyDescent="0.2">
      <c r="B18" s="1334" t="s">
        <v>2105</v>
      </c>
      <c r="C18" s="1338"/>
      <c r="D18" s="1339"/>
      <c r="E18" s="1340"/>
      <c r="F18" s="1340"/>
      <c r="G18" s="1340"/>
      <c r="H18" s="1340"/>
      <c r="I18" s="1340"/>
      <c r="J18" s="1340"/>
      <c r="K18" s="1340"/>
      <c r="L18" s="1337">
        <f t="shared" si="0"/>
        <v>0</v>
      </c>
      <c r="M18" s="1340"/>
    </row>
    <row r="19" spans="2:14" ht="20.100000000000001" customHeight="1" x14ac:dyDescent="0.2">
      <c r="B19" s="1334" t="s">
        <v>2106</v>
      </c>
      <c r="C19" s="1338" t="s">
        <v>2107</v>
      </c>
      <c r="D19" s="1339" t="s">
        <v>2108</v>
      </c>
      <c r="E19" s="1938">
        <v>111509</v>
      </c>
      <c r="F19" s="1938">
        <v>48111</v>
      </c>
      <c r="G19" s="1340">
        <v>159620</v>
      </c>
      <c r="H19" s="1340"/>
      <c r="I19" s="1938"/>
      <c r="J19" s="1340"/>
      <c r="K19" s="1340"/>
      <c r="L19" s="1337">
        <f t="shared" si="0"/>
        <v>159620</v>
      </c>
      <c r="M19" s="1340">
        <v>159620</v>
      </c>
    </row>
    <row r="20" spans="2:14" ht="20.100000000000001" customHeight="1" x14ac:dyDescent="0.2">
      <c r="B20" s="1334"/>
      <c r="C20" s="1338" t="s">
        <v>2107</v>
      </c>
      <c r="D20" s="1339" t="s">
        <v>2109</v>
      </c>
      <c r="E20" s="1340"/>
      <c r="F20" s="1938">
        <v>59883</v>
      </c>
      <c r="G20" s="1340"/>
      <c r="H20" s="1340"/>
      <c r="I20" s="1938">
        <v>130270</v>
      </c>
      <c r="J20" s="1340"/>
      <c r="K20" s="1340"/>
      <c r="L20" s="1337">
        <f t="shared" si="0"/>
        <v>130270</v>
      </c>
      <c r="M20" s="1938">
        <v>130270</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2080</v>
      </c>
      <c r="C22" s="1338"/>
      <c r="D22" s="1339"/>
      <c r="E22" s="1340"/>
      <c r="F22" s="1340"/>
      <c r="G22" s="1340"/>
      <c r="H22" s="1340"/>
      <c r="I22" s="1340"/>
      <c r="J22" s="1340"/>
      <c r="K22" s="1340"/>
      <c r="L22" s="1337">
        <f t="shared" si="0"/>
        <v>0</v>
      </c>
      <c r="M22" s="1340"/>
    </row>
    <row r="23" spans="2:14" ht="20.100000000000001" customHeight="1" x14ac:dyDescent="0.2">
      <c r="B23" s="1334" t="s">
        <v>2110</v>
      </c>
      <c r="C23" s="1338" t="s">
        <v>2112</v>
      </c>
      <c r="D23" s="1339" t="s">
        <v>2113</v>
      </c>
      <c r="E23" s="1340">
        <v>1291696</v>
      </c>
      <c r="F23" s="1340">
        <v>736137</v>
      </c>
      <c r="G23" s="1340">
        <v>1837461</v>
      </c>
      <c r="H23" s="1340"/>
      <c r="I23" s="1340">
        <f>2027833-1837461</f>
        <v>190372</v>
      </c>
      <c r="J23" s="1340"/>
      <c r="K23" s="1340"/>
      <c r="L23" s="1337">
        <f t="shared" si="0"/>
        <v>2027833</v>
      </c>
      <c r="M23" s="1340">
        <v>2423377</v>
      </c>
    </row>
    <row r="24" spans="2:14" ht="20.100000000000001" customHeight="1" x14ac:dyDescent="0.2">
      <c r="B24" s="1334"/>
      <c r="C24" s="1338" t="s">
        <v>2112</v>
      </c>
      <c r="D24" s="1339" t="s">
        <v>2114</v>
      </c>
      <c r="E24" s="1340"/>
      <c r="F24" s="1340">
        <v>1938321</v>
      </c>
      <c r="G24" s="1340"/>
      <c r="H24" s="1340"/>
      <c r="I24" s="1340">
        <v>2124114</v>
      </c>
      <c r="J24" s="1340"/>
      <c r="K24" s="1340"/>
      <c r="L24" s="1337">
        <f t="shared" si="0"/>
        <v>2124114</v>
      </c>
      <c r="M24" s="1340">
        <v>2346221</v>
      </c>
    </row>
    <row r="25" spans="2:14" ht="20.100000000000001" customHeight="1" x14ac:dyDescent="0.2">
      <c r="B25" s="1334" t="s">
        <v>2111</v>
      </c>
      <c r="C25" s="1338" t="s">
        <v>2112</v>
      </c>
      <c r="D25" s="1339" t="s">
        <v>2115</v>
      </c>
      <c r="E25" s="1340">
        <v>44068</v>
      </c>
      <c r="F25" s="1340">
        <v>49069</v>
      </c>
      <c r="G25" s="1340">
        <v>72956</v>
      </c>
      <c r="H25" s="1340"/>
      <c r="I25" s="1340">
        <f>93137-72956</f>
        <v>20181</v>
      </c>
      <c r="J25" s="1340"/>
      <c r="K25" s="1340"/>
      <c r="L25" s="1337">
        <f t="shared" si="0"/>
        <v>93137</v>
      </c>
      <c r="M25" s="1340">
        <v>173771</v>
      </c>
    </row>
    <row r="26" spans="2:14" ht="20.100000000000001" customHeight="1" x14ac:dyDescent="0.2">
      <c r="B26" s="1334"/>
      <c r="C26" s="1338" t="s">
        <v>2112</v>
      </c>
      <c r="D26" s="1339" t="s">
        <v>2116</v>
      </c>
      <c r="E26" s="1340"/>
      <c r="F26" s="1340">
        <v>56555</v>
      </c>
      <c r="G26" s="1340"/>
      <c r="H26" s="1340"/>
      <c r="I26" s="1340">
        <v>77317</v>
      </c>
      <c r="J26" s="1340"/>
      <c r="K26" s="1340"/>
      <c r="L26" s="1337">
        <f t="shared" si="0"/>
        <v>77317</v>
      </c>
      <c r="M26" s="1340">
        <v>110870</v>
      </c>
    </row>
    <row r="27" spans="2:14" ht="20.100000000000001" customHeight="1" x14ac:dyDescent="0.2">
      <c r="B27" s="1334" t="s">
        <v>399</v>
      </c>
      <c r="C27" s="1338"/>
      <c r="D27" s="1339"/>
      <c r="E27" s="1340">
        <f>E23+E24+E25+E26</f>
        <v>1335764</v>
      </c>
      <c r="F27" s="1340">
        <f>F23+F24+F25+F26</f>
        <v>2780082</v>
      </c>
      <c r="G27" s="1340">
        <f>G23+G24+G25+G26</f>
        <v>1910417</v>
      </c>
      <c r="H27" s="1340"/>
      <c r="I27" s="1340">
        <f>I23+I24+I25+I26</f>
        <v>2411984</v>
      </c>
      <c r="J27" s="1340"/>
      <c r="K27" s="1340"/>
      <c r="L27" s="1337">
        <f t="shared" si="0"/>
        <v>4322401</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3"/>
  <sheetViews>
    <sheetView showGridLines="0" zoomScaleNormal="100" workbookViewId="0">
      <selection activeCell="E28" sqref="E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Urbana SD 116</v>
      </c>
      <c r="C1" s="2436"/>
      <c r="D1" s="2436"/>
      <c r="E1" s="2436"/>
      <c r="F1" s="2436"/>
      <c r="G1" s="2436"/>
      <c r="H1" s="2436"/>
      <c r="I1" s="2436"/>
      <c r="J1" s="2436"/>
      <c r="K1" s="2436"/>
      <c r="L1" s="2436"/>
      <c r="M1" s="2436"/>
    </row>
    <row r="2" spans="2:14" ht="15" x14ac:dyDescent="0.2">
      <c r="B2" s="2437">
        <f>'Single Audit Cover'!E7</f>
        <v>9010116022</v>
      </c>
      <c r="C2" s="2437"/>
      <c r="D2" s="2437"/>
      <c r="E2" s="2437"/>
      <c r="F2" s="2437"/>
      <c r="G2" s="2437"/>
      <c r="H2" s="2437"/>
      <c r="I2" s="2437"/>
      <c r="J2" s="2437"/>
      <c r="K2" s="2437"/>
      <c r="L2" s="2437"/>
      <c r="M2" s="2437"/>
      <c r="N2" s="1299"/>
    </row>
    <row r="3" spans="2:14" ht="15" x14ac:dyDescent="0.2">
      <c r="B3" s="2438" t="s">
        <v>1218</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1985</v>
      </c>
      <c r="K8" s="1316" t="s">
        <v>1260</v>
      </c>
      <c r="L8" s="1317" t="s">
        <v>1256</v>
      </c>
      <c r="M8" s="1318" t="s">
        <v>30</v>
      </c>
    </row>
    <row r="9" spans="2:14" ht="14.25" x14ac:dyDescent="0.2">
      <c r="B9" s="1322" t="s">
        <v>1258</v>
      </c>
      <c r="C9" s="1310" t="s">
        <v>1731</v>
      </c>
      <c r="D9" s="1311" t="s">
        <v>1732</v>
      </c>
      <c r="E9" s="1319" t="s">
        <v>1835</v>
      </c>
      <c r="F9" s="1320" t="s">
        <v>1985</v>
      </c>
      <c r="G9" s="1321" t="s">
        <v>1835</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2133</v>
      </c>
      <c r="C11" s="1335"/>
      <c r="D11" s="1336"/>
      <c r="E11" s="1337"/>
      <c r="F11" s="1337"/>
      <c r="G11" s="1337"/>
      <c r="H11" s="1337"/>
      <c r="I11" s="1337"/>
      <c r="J11" s="1337"/>
      <c r="K11" s="1337"/>
      <c r="L11" s="1337">
        <f>+G11+I11+K11</f>
        <v>0</v>
      </c>
      <c r="M11" s="1337"/>
    </row>
    <row r="12" spans="2:14" ht="20.100000000000001" customHeight="1" x14ac:dyDescent="0.2">
      <c r="B12" s="1334" t="s">
        <v>2156</v>
      </c>
      <c r="C12" s="1335" t="s">
        <v>2112</v>
      </c>
      <c r="D12" s="1336" t="s">
        <v>2157</v>
      </c>
      <c r="E12" s="1337"/>
      <c r="F12" s="1337">
        <v>2305</v>
      </c>
      <c r="G12" s="1337"/>
      <c r="H12" s="1337"/>
      <c r="I12" s="1337">
        <v>126014</v>
      </c>
      <c r="J12" s="1337"/>
      <c r="K12" s="1337"/>
      <c r="L12" s="1337">
        <f>G12+I12+K12</f>
        <v>126014</v>
      </c>
      <c r="M12" s="1337">
        <v>382532</v>
      </c>
    </row>
    <row r="13" spans="2:14" ht="20.100000000000001" customHeight="1" x14ac:dyDescent="0.2">
      <c r="B13" s="1334" t="s">
        <v>2121</v>
      </c>
      <c r="C13" s="1338" t="s">
        <v>2122</v>
      </c>
      <c r="D13" s="1339" t="s">
        <v>2125</v>
      </c>
      <c r="E13" s="1340">
        <v>17285</v>
      </c>
      <c r="F13" s="1340">
        <v>22871</v>
      </c>
      <c r="G13" s="1340">
        <v>40156</v>
      </c>
      <c r="H13" s="1340"/>
      <c r="I13" s="1340"/>
      <c r="J13" s="1340"/>
      <c r="K13" s="1340"/>
      <c r="L13" s="1337">
        <f t="shared" ref="L13:L28" si="0">+G13+I13+K13</f>
        <v>40156</v>
      </c>
      <c r="M13" s="1340">
        <v>55184</v>
      </c>
    </row>
    <row r="14" spans="2:14" ht="20.100000000000001" customHeight="1" x14ac:dyDescent="0.2">
      <c r="B14" s="1334"/>
      <c r="C14" s="1338"/>
      <c r="D14" s="1339" t="s">
        <v>2126</v>
      </c>
      <c r="E14" s="1340"/>
      <c r="F14" s="1340">
        <v>14423</v>
      </c>
      <c r="G14" s="1340"/>
      <c r="H14" s="1340"/>
      <c r="I14" s="1340">
        <v>37155</v>
      </c>
      <c r="J14" s="1340"/>
      <c r="K14" s="1340"/>
      <c r="L14" s="1337">
        <f t="shared" si="0"/>
        <v>37155</v>
      </c>
      <c r="M14" s="1340">
        <v>53184</v>
      </c>
    </row>
    <row r="15" spans="2:14" ht="20.100000000000001" customHeight="1" x14ac:dyDescent="0.2">
      <c r="B15" s="1334"/>
      <c r="C15" s="1338"/>
      <c r="D15" s="1339"/>
      <c r="E15" s="1340"/>
      <c r="F15" s="1340"/>
      <c r="G15" s="1340"/>
      <c r="H15" s="1340"/>
      <c r="I15" s="1340"/>
      <c r="J15" s="1340"/>
      <c r="K15" s="1340"/>
      <c r="L15" s="1337">
        <f t="shared" si="0"/>
        <v>0</v>
      </c>
      <c r="M15" s="1340"/>
    </row>
    <row r="16" spans="2:14" ht="20.100000000000001" customHeight="1" x14ac:dyDescent="0.2">
      <c r="B16" s="1334" t="s">
        <v>2120</v>
      </c>
      <c r="C16" s="1338" t="s">
        <v>2123</v>
      </c>
      <c r="D16" s="1339" t="s">
        <v>2127</v>
      </c>
      <c r="E16" s="1340">
        <v>46603</v>
      </c>
      <c r="F16" s="1340">
        <v>13140</v>
      </c>
      <c r="G16" s="1340">
        <v>54739</v>
      </c>
      <c r="H16" s="1340"/>
      <c r="I16" s="1340">
        <f>59743-54739</f>
        <v>5004</v>
      </c>
      <c r="J16" s="1340"/>
      <c r="K16" s="1340"/>
      <c r="L16" s="1337">
        <f t="shared" si="0"/>
        <v>59743</v>
      </c>
      <c r="M16" s="1340">
        <v>63865</v>
      </c>
    </row>
    <row r="17" spans="2:14" ht="20.100000000000001" customHeight="1" x14ac:dyDescent="0.2">
      <c r="B17" s="1334"/>
      <c r="C17" s="1338" t="s">
        <v>2123</v>
      </c>
      <c r="D17" s="1339" t="s">
        <v>2128</v>
      </c>
      <c r="E17" s="1340"/>
      <c r="F17" s="1340">
        <v>24919</v>
      </c>
      <c r="G17" s="1340"/>
      <c r="H17" s="1340"/>
      <c r="I17" s="1340">
        <v>57345</v>
      </c>
      <c r="J17" s="1340"/>
      <c r="K17" s="1340"/>
      <c r="L17" s="1337">
        <f t="shared" si="0"/>
        <v>57345</v>
      </c>
      <c r="M17" s="1340">
        <v>79726</v>
      </c>
    </row>
    <row r="18" spans="2:14" ht="20.100000000000001" customHeight="1" x14ac:dyDescent="0.2">
      <c r="B18" s="1334" t="s">
        <v>2117</v>
      </c>
      <c r="C18" s="1338" t="s">
        <v>2124</v>
      </c>
      <c r="D18" s="1339" t="s">
        <v>2129</v>
      </c>
      <c r="E18" s="1340">
        <v>892571</v>
      </c>
      <c r="F18" s="1340">
        <v>326747</v>
      </c>
      <c r="G18" s="1340">
        <v>1167831</v>
      </c>
      <c r="H18" s="1340"/>
      <c r="I18" s="1340">
        <f>1219318-1167831</f>
        <v>51487</v>
      </c>
      <c r="J18" s="1340"/>
      <c r="K18" s="1340"/>
      <c r="L18" s="1337">
        <f t="shared" si="0"/>
        <v>1219318</v>
      </c>
      <c r="M18" s="1340">
        <v>1468373</v>
      </c>
    </row>
    <row r="19" spans="2:14" ht="20.100000000000001" customHeight="1" x14ac:dyDescent="0.2">
      <c r="B19" s="1334"/>
      <c r="C19" s="1338" t="s">
        <v>2124</v>
      </c>
      <c r="D19" s="1339" t="s">
        <v>2130</v>
      </c>
      <c r="E19" s="1340"/>
      <c r="F19" s="1340">
        <v>1098879</v>
      </c>
      <c r="G19" s="1340"/>
      <c r="H19" s="1340"/>
      <c r="I19" s="1340">
        <v>1098879</v>
      </c>
      <c r="J19" s="1340"/>
      <c r="K19" s="1340"/>
      <c r="L19" s="1337">
        <f t="shared" si="0"/>
        <v>1098879</v>
      </c>
      <c r="M19" s="1340">
        <v>1442477</v>
      </c>
    </row>
    <row r="20" spans="2:14" ht="20.100000000000001" customHeight="1" x14ac:dyDescent="0.2">
      <c r="B20" s="1334" t="s">
        <v>2118</v>
      </c>
      <c r="C20" s="1338" t="s">
        <v>2124</v>
      </c>
      <c r="D20" s="1339" t="s">
        <v>2131</v>
      </c>
      <c r="E20" s="1340">
        <v>144443</v>
      </c>
      <c r="F20" s="1340">
        <v>133299</v>
      </c>
      <c r="G20" s="1340">
        <v>144443</v>
      </c>
      <c r="H20" s="1340"/>
      <c r="I20" s="1340">
        <v>133299</v>
      </c>
      <c r="J20" s="1340"/>
      <c r="K20" s="1340"/>
      <c r="L20" s="1337">
        <f t="shared" si="0"/>
        <v>277742</v>
      </c>
      <c r="M20" s="1340" t="s">
        <v>2090</v>
      </c>
    </row>
    <row r="21" spans="2:14" ht="20.100000000000001" customHeight="1" x14ac:dyDescent="0.2">
      <c r="B21" s="1334"/>
      <c r="C21" s="1338" t="s">
        <v>2124</v>
      </c>
      <c r="D21" s="1339" t="s">
        <v>2132</v>
      </c>
      <c r="E21" s="1340"/>
      <c r="F21" s="1340">
        <v>172932</v>
      </c>
      <c r="G21" s="1340"/>
      <c r="H21" s="1340"/>
      <c r="I21" s="1340">
        <v>172832</v>
      </c>
      <c r="J21" s="1340"/>
      <c r="K21" s="1340"/>
      <c r="L21" s="1337">
        <f t="shared" si="0"/>
        <v>172832</v>
      </c>
      <c r="M21" s="1340" t="s">
        <v>2090</v>
      </c>
    </row>
    <row r="22" spans="2:14" ht="20.100000000000001" customHeight="1" x14ac:dyDescent="0.2">
      <c r="B22" s="1334" t="s">
        <v>2119</v>
      </c>
      <c r="C22" s="1338"/>
      <c r="D22" s="1339"/>
      <c r="E22" s="1340">
        <f>E16+E17+E18+E19+E20+E21</f>
        <v>1083617</v>
      </c>
      <c r="F22" s="1340">
        <f>F16+F17+F18+F19+F20+F21</f>
        <v>1769916</v>
      </c>
      <c r="G22" s="1340">
        <f>G16+G17+G18+G19+G20+G21</f>
        <v>1367013</v>
      </c>
      <c r="H22" s="1340"/>
      <c r="I22" s="1340">
        <f>I16+I17+I18+I19+I20+I21</f>
        <v>1518846</v>
      </c>
      <c r="J22" s="1340"/>
      <c r="K22" s="1340"/>
      <c r="L22" s="1337">
        <f t="shared" si="0"/>
        <v>2885859</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2134</v>
      </c>
      <c r="C24" s="1338" t="s">
        <v>2136</v>
      </c>
      <c r="D24" s="1339" t="s">
        <v>2137</v>
      </c>
      <c r="E24" s="1340">
        <v>60231</v>
      </c>
      <c r="F24" s="1340">
        <v>4467</v>
      </c>
      <c r="G24" s="1340">
        <v>64656</v>
      </c>
      <c r="H24" s="1340"/>
      <c r="I24" s="1340">
        <f>64698-64656</f>
        <v>42</v>
      </c>
      <c r="J24" s="1340"/>
      <c r="K24" s="1340"/>
      <c r="L24" s="1337">
        <f t="shared" si="0"/>
        <v>64698</v>
      </c>
      <c r="M24" s="1340">
        <v>71576</v>
      </c>
    </row>
    <row r="25" spans="2:14" ht="20.100000000000001" customHeight="1" x14ac:dyDescent="0.2">
      <c r="B25" s="1334"/>
      <c r="C25" s="1338" t="s">
        <v>2136</v>
      </c>
      <c r="D25" s="1339" t="s">
        <v>2138</v>
      </c>
      <c r="E25" s="1340"/>
      <c r="F25" s="1340">
        <v>26661</v>
      </c>
      <c r="G25" s="1340"/>
      <c r="H25" s="1340"/>
      <c r="I25" s="1340">
        <v>36396</v>
      </c>
      <c r="J25" s="1340"/>
      <c r="K25" s="1340"/>
      <c r="L25" s="1337">
        <f t="shared" si="0"/>
        <v>36396</v>
      </c>
      <c r="M25" s="1340">
        <v>74378</v>
      </c>
    </row>
    <row r="26" spans="2:14" ht="20.100000000000001" customHeight="1" x14ac:dyDescent="0.2">
      <c r="B26" s="1334" t="s">
        <v>2135</v>
      </c>
      <c r="C26" s="1338" t="s">
        <v>2136</v>
      </c>
      <c r="D26" s="1339" t="s">
        <v>2139</v>
      </c>
      <c r="E26" s="1340">
        <v>7069</v>
      </c>
      <c r="F26" s="1340">
        <v>22344</v>
      </c>
      <c r="G26" s="1340">
        <v>29413</v>
      </c>
      <c r="H26" s="1340"/>
      <c r="I26" s="1340"/>
      <c r="J26" s="1340"/>
      <c r="K26" s="1340"/>
      <c r="L26" s="1337">
        <f t="shared" si="0"/>
        <v>29413</v>
      </c>
      <c r="M26" s="1340">
        <v>38764</v>
      </c>
    </row>
    <row r="27" spans="2:14" ht="20.100000000000001" customHeight="1" x14ac:dyDescent="0.2">
      <c r="B27" s="1334"/>
      <c r="C27" s="1338"/>
      <c r="D27" s="1339"/>
      <c r="E27" s="1340"/>
      <c r="F27" s="1340"/>
      <c r="G27" s="1340"/>
      <c r="H27" s="1340"/>
      <c r="I27" s="1340"/>
      <c r="J27" s="1340"/>
      <c r="K27" s="1340"/>
      <c r="L27" s="1337">
        <f t="shared" si="0"/>
        <v>0</v>
      </c>
      <c r="M27" s="1340"/>
    </row>
    <row r="28" spans="2:14" ht="20.100000000000001" customHeight="1" x14ac:dyDescent="0.2">
      <c r="B28" s="1334"/>
      <c r="C28" s="1338"/>
      <c r="D28" s="1339"/>
      <c r="E28" s="1340"/>
      <c r="F28" s="1340"/>
      <c r="G28" s="1340"/>
      <c r="H28" s="1340"/>
      <c r="I28" s="1340"/>
      <c r="J28" s="1340"/>
      <c r="K28" s="1340"/>
      <c r="L28" s="1337">
        <f t="shared" si="0"/>
        <v>0</v>
      </c>
      <c r="M28" s="1340"/>
      <c r="N28" s="1341"/>
    </row>
    <row r="29" spans="2:14" ht="12.75" customHeight="1" x14ac:dyDescent="0.2">
      <c r="B29" s="1342"/>
      <c r="C29" s="1343"/>
      <c r="D29" s="1344"/>
      <c r="E29" s="1345"/>
      <c r="F29" s="1345"/>
      <c r="G29" s="1345"/>
      <c r="H29" s="1345"/>
      <c r="I29" s="1345"/>
      <c r="J29" s="1345"/>
      <c r="K29" s="1345"/>
      <c r="L29" s="1345"/>
      <c r="M29" s="1345"/>
      <c r="N29" s="1341"/>
    </row>
    <row r="30" spans="2:14" x14ac:dyDescent="0.2">
      <c r="B30" s="1254"/>
      <c r="C30" s="1346"/>
      <c r="D30" s="1347"/>
      <c r="E30" s="1254"/>
      <c r="F30" s="1254"/>
      <c r="G30" s="1247"/>
      <c r="H30" s="1247"/>
      <c r="I30" s="1247"/>
      <c r="J30" s="1247"/>
      <c r="K30" s="1247"/>
      <c r="L30" s="1247"/>
      <c r="M30" s="1254"/>
      <c r="N30" s="1341"/>
    </row>
    <row r="31" spans="2:14" ht="13.5" customHeight="1" x14ac:dyDescent="0.2">
      <c r="B31" s="1279" t="s">
        <v>1733</v>
      </c>
      <c r="C31" s="1346"/>
      <c r="D31" s="1347"/>
      <c r="E31" s="1254"/>
      <c r="F31" s="1254"/>
      <c r="G31" s="1247"/>
      <c r="H31" s="1247"/>
      <c r="I31" s="1247"/>
      <c r="J31" s="1247"/>
      <c r="K31" s="1247"/>
      <c r="L31" s="1247"/>
      <c r="M31" s="1254"/>
      <c r="N31" s="1341"/>
    </row>
    <row r="32" spans="2:14" ht="8.25" customHeight="1" x14ac:dyDescent="0.2">
      <c r="B32" s="1279"/>
      <c r="C32" s="1346"/>
      <c r="D32" s="1347"/>
      <c r="E32" s="1254"/>
      <c r="F32" s="1254"/>
      <c r="G32" s="1247"/>
      <c r="H32" s="1247"/>
      <c r="I32" s="1247"/>
      <c r="J32" s="1247"/>
      <c r="K32" s="1247"/>
      <c r="L32" s="1247"/>
      <c r="M32" s="1254"/>
      <c r="N32" s="1341"/>
    </row>
    <row r="33" spans="2:13" x14ac:dyDescent="0.2">
      <c r="B33" s="1348" t="s">
        <v>1836</v>
      </c>
      <c r="C33" s="1349"/>
      <c r="D33" s="1350"/>
      <c r="E33" s="1351"/>
      <c r="F33" s="1351"/>
      <c r="G33" s="1351"/>
      <c r="H33" s="1351"/>
      <c r="I33" s="317"/>
      <c r="J33" s="317"/>
    </row>
    <row r="34" spans="2:13" x14ac:dyDescent="0.2">
      <c r="B34" s="1274"/>
      <c r="C34" s="1352"/>
      <c r="D34" s="1353"/>
      <c r="E34" s="1275"/>
      <c r="F34" s="1275"/>
      <c r="G34" s="317"/>
      <c r="H34" s="317"/>
      <c r="I34" s="317"/>
      <c r="J34" s="317"/>
    </row>
    <row r="35" spans="2:13" ht="13.5" customHeight="1" x14ac:dyDescent="0.2">
      <c r="B35" s="1273" t="s">
        <v>1245</v>
      </c>
      <c r="G35" s="317"/>
      <c r="H35" s="317"/>
      <c r="I35" s="317"/>
      <c r="J35" s="317"/>
    </row>
    <row r="36" spans="2:13" ht="13.5" customHeight="1" x14ac:dyDescent="0.2">
      <c r="B36" s="1356"/>
      <c r="C36" s="1357"/>
      <c r="D36" s="1358"/>
      <c r="E36" s="1294"/>
      <c r="F36" s="1294"/>
      <c r="G36" s="1294"/>
      <c r="H36" s="1294"/>
      <c r="I36" s="1294"/>
      <c r="J36" s="1294"/>
      <c r="K36" s="1359"/>
      <c r="L36" s="1359"/>
      <c r="M36" s="1294"/>
    </row>
    <row r="37" spans="2:13" ht="9.6" customHeight="1" x14ac:dyDescent="0.2">
      <c r="B37" s="1360"/>
      <c r="G37" s="317"/>
      <c r="H37" s="317"/>
      <c r="I37" s="317"/>
      <c r="J37" s="317"/>
    </row>
    <row r="38" spans="2:13" ht="11.25" customHeight="1" x14ac:dyDescent="0.2">
      <c r="B38" s="1361" t="s">
        <v>1734</v>
      </c>
      <c r="C38" s="1362"/>
      <c r="D38" s="1362"/>
      <c r="E38" s="1362"/>
      <c r="F38" s="1362"/>
      <c r="G38" s="1362"/>
      <c r="H38" s="1362"/>
      <c r="I38" s="1363"/>
      <c r="J38" s="1363"/>
      <c r="K38" s="1363"/>
      <c r="L38" s="1363"/>
      <c r="M38" s="1363"/>
    </row>
    <row r="39" spans="2:13" ht="11.25" customHeight="1" x14ac:dyDescent="0.2">
      <c r="B39" s="1364" t="s">
        <v>1583</v>
      </c>
      <c r="C39" s="1363"/>
      <c r="D39" s="1363"/>
      <c r="E39" s="1363"/>
      <c r="F39" s="1363"/>
      <c r="G39" s="1363"/>
      <c r="H39" s="1363"/>
      <c r="I39" s="1363"/>
      <c r="J39" s="1363"/>
      <c r="K39" s="1363"/>
      <c r="L39" s="1363"/>
      <c r="M39" s="1363"/>
    </row>
    <row r="40" spans="2:13" ht="3.95" customHeight="1" x14ac:dyDescent="0.2">
      <c r="B40" s="1364"/>
      <c r="C40" s="1363"/>
      <c r="D40" s="1363"/>
      <c r="E40" s="1363"/>
      <c r="F40" s="1363"/>
      <c r="G40" s="1363"/>
      <c r="H40" s="1363"/>
      <c r="I40" s="1363"/>
      <c r="J40" s="1363"/>
      <c r="K40" s="1363"/>
      <c r="L40" s="1363"/>
      <c r="M40" s="1363"/>
    </row>
    <row r="41" spans="2:13" ht="11.25" customHeight="1" x14ac:dyDescent="0.2">
      <c r="B41" s="1361" t="s">
        <v>1735</v>
      </c>
      <c r="C41" s="1363"/>
      <c r="D41" s="1363"/>
      <c r="E41" s="1363"/>
      <c r="F41" s="1363"/>
      <c r="G41" s="1363"/>
      <c r="H41" s="1363"/>
      <c r="I41" s="1363"/>
      <c r="J41" s="1363"/>
      <c r="K41" s="1363"/>
      <c r="L41" s="1363"/>
      <c r="M41" s="1363"/>
    </row>
    <row r="42" spans="2:13" ht="11.25" customHeight="1" x14ac:dyDescent="0.2">
      <c r="B42" s="1297" t="s">
        <v>1584</v>
      </c>
      <c r="C42" s="1365"/>
      <c r="D42" s="1366"/>
      <c r="E42" s="1297"/>
      <c r="F42" s="1297"/>
      <c r="G42" s="1297"/>
      <c r="H42" s="1297"/>
      <c r="I42" s="1297"/>
      <c r="J42" s="1297"/>
      <c r="K42" s="1367"/>
      <c r="L42" s="1367"/>
      <c r="M42" s="1297"/>
    </row>
    <row r="43" spans="2:13" ht="3.95" customHeight="1" x14ac:dyDescent="0.2">
      <c r="B43" s="1297"/>
      <c r="C43" s="1365"/>
      <c r="D43" s="1366"/>
      <c r="E43" s="1297"/>
      <c r="F43" s="1297"/>
      <c r="G43" s="1297"/>
      <c r="H43" s="1297"/>
      <c r="I43" s="1297"/>
      <c r="J43" s="1297"/>
      <c r="K43" s="1367"/>
      <c r="L43" s="1367"/>
      <c r="M43" s="1297"/>
    </row>
    <row r="44" spans="2:13" ht="11.25" customHeight="1" x14ac:dyDescent="0.2">
      <c r="B44" s="1368" t="s">
        <v>1736</v>
      </c>
      <c r="C44" s="1365"/>
      <c r="D44" s="1366"/>
      <c r="E44" s="1297"/>
      <c r="F44" s="1297"/>
      <c r="G44" s="1297"/>
      <c r="H44" s="1297"/>
      <c r="I44" s="1297"/>
      <c r="J44" s="1297"/>
      <c r="K44" s="1367"/>
      <c r="L44" s="1367"/>
      <c r="M44" s="1297"/>
    </row>
    <row r="45" spans="2:13" ht="3.95" customHeight="1" x14ac:dyDescent="0.2">
      <c r="B45" s="1368"/>
      <c r="C45" s="1365"/>
      <c r="D45" s="1366"/>
      <c r="E45" s="1297"/>
      <c r="F45" s="1297"/>
      <c r="G45" s="1297"/>
      <c r="H45" s="1297"/>
      <c r="I45" s="1297"/>
      <c r="J45" s="1297"/>
      <c r="K45" s="1367"/>
      <c r="L45" s="1367"/>
      <c r="M45" s="1297"/>
    </row>
    <row r="46" spans="2:13" ht="11.25" customHeight="1" x14ac:dyDescent="0.2">
      <c r="B46" s="1369" t="s">
        <v>1737</v>
      </c>
      <c r="C46" s="1365"/>
      <c r="D46" s="1366"/>
      <c r="E46" s="1297"/>
      <c r="F46" s="1297"/>
      <c r="G46" s="1297"/>
      <c r="H46" s="1297"/>
      <c r="I46" s="1297"/>
      <c r="J46" s="1297"/>
      <c r="K46" s="1367"/>
      <c r="L46" s="1367"/>
      <c r="M46" s="1297"/>
    </row>
    <row r="47" spans="2:13" ht="11.25" customHeight="1" x14ac:dyDescent="0.2">
      <c r="B47" s="1297" t="s">
        <v>1585</v>
      </c>
      <c r="G47" s="317"/>
      <c r="H47" s="317"/>
      <c r="I47" s="317"/>
      <c r="J47" s="317"/>
    </row>
    <row r="48" spans="2:13" ht="11.1" customHeight="1" x14ac:dyDescent="0.2">
      <c r="B48" s="1297"/>
      <c r="G48" s="317"/>
      <c r="H48" s="317"/>
      <c r="I48" s="317"/>
      <c r="J48" s="317"/>
    </row>
    <row r="49" spans="2:13" ht="11.1" customHeight="1" x14ac:dyDescent="0.2">
      <c r="B49" s="1297"/>
      <c r="G49" s="317"/>
      <c r="H49" s="317"/>
      <c r="I49" s="317"/>
      <c r="J49" s="317"/>
    </row>
    <row r="50" spans="2:13" ht="13.5" customHeight="1" x14ac:dyDescent="0.2">
      <c r="M50" s="1370"/>
    </row>
    <row r="51" spans="2:13" ht="13.5" customHeight="1" x14ac:dyDescent="0.2">
      <c r="M51" s="1370"/>
    </row>
    <row r="52" spans="2:13" ht="13.5" customHeight="1" x14ac:dyDescent="0.2">
      <c r="M52" s="1370"/>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F22" sqref="F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Urbana SD 116</v>
      </c>
      <c r="C1" s="2436"/>
      <c r="D1" s="2436"/>
      <c r="E1" s="2436"/>
      <c r="F1" s="2436"/>
      <c r="G1" s="2436"/>
      <c r="H1" s="2436"/>
      <c r="I1" s="2436"/>
      <c r="J1" s="2436"/>
      <c r="K1" s="2436"/>
      <c r="L1" s="2436"/>
      <c r="M1" s="2436"/>
    </row>
    <row r="2" spans="2:14" ht="15" x14ac:dyDescent="0.2">
      <c r="B2" s="2437">
        <f>'Single Audit Cover'!E7</f>
        <v>9010116022</v>
      </c>
      <c r="C2" s="2437"/>
      <c r="D2" s="2437"/>
      <c r="E2" s="2437"/>
      <c r="F2" s="2437"/>
      <c r="G2" s="2437"/>
      <c r="H2" s="2437"/>
      <c r="I2" s="2437"/>
      <c r="J2" s="2437"/>
      <c r="K2" s="2437"/>
      <c r="L2" s="2437"/>
      <c r="M2" s="2437"/>
      <c r="N2" s="1299"/>
    </row>
    <row r="3" spans="2:14" ht="15" x14ac:dyDescent="0.2">
      <c r="B3" s="2438" t="s">
        <v>1218</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1985</v>
      </c>
      <c r="K8" s="1316" t="s">
        <v>1260</v>
      </c>
      <c r="L8" s="1317" t="s">
        <v>1256</v>
      </c>
      <c r="M8" s="1318" t="s">
        <v>30</v>
      </c>
    </row>
    <row r="9" spans="2:14" ht="14.25" x14ac:dyDescent="0.2">
      <c r="B9" s="1322" t="s">
        <v>1258</v>
      </c>
      <c r="C9" s="1310" t="s">
        <v>1731</v>
      </c>
      <c r="D9" s="1311" t="s">
        <v>1732</v>
      </c>
      <c r="E9" s="1319" t="s">
        <v>1835</v>
      </c>
      <c r="F9" s="1320" t="s">
        <v>1985</v>
      </c>
      <c r="G9" s="1321" t="s">
        <v>1835</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2140</v>
      </c>
      <c r="C11" s="1335"/>
      <c r="D11" s="1336"/>
      <c r="E11" s="1337"/>
      <c r="F11" s="1337"/>
      <c r="G11" s="1337"/>
      <c r="H11" s="1337"/>
      <c r="I11" s="1337"/>
      <c r="J11" s="1337"/>
      <c r="K11" s="1337"/>
      <c r="L11" s="1337">
        <f>+G11+I11+K11</f>
        <v>0</v>
      </c>
      <c r="M11" s="1337"/>
    </row>
    <row r="12" spans="2:14" ht="20.100000000000001" customHeight="1" x14ac:dyDescent="0.2">
      <c r="B12" s="1334" t="s">
        <v>2141</v>
      </c>
      <c r="C12" s="1338" t="s">
        <v>2144</v>
      </c>
      <c r="D12" s="1339" t="s">
        <v>2146</v>
      </c>
      <c r="E12" s="1340">
        <v>134257</v>
      </c>
      <c r="F12" s="1340">
        <v>193278</v>
      </c>
      <c r="G12" s="1340">
        <v>327535</v>
      </c>
      <c r="H12" s="1340"/>
      <c r="I12" s="1340"/>
      <c r="J12" s="1340"/>
      <c r="K12" s="1340"/>
      <c r="L12" s="1337">
        <f t="shared" ref="L12:L27" si="0">+G12+I12+K12</f>
        <v>327535</v>
      </c>
      <c r="M12" s="1340">
        <v>348704</v>
      </c>
    </row>
    <row r="13" spans="2:14" ht="20.100000000000001" customHeight="1" x14ac:dyDescent="0.2">
      <c r="B13" s="1334"/>
      <c r="C13" s="1338" t="s">
        <v>2144</v>
      </c>
      <c r="D13" s="1339" t="s">
        <v>2147</v>
      </c>
      <c r="E13" s="1340"/>
      <c r="F13" s="1340">
        <v>163555</v>
      </c>
      <c r="G13" s="1340"/>
      <c r="H13" s="1340"/>
      <c r="I13" s="1340">
        <v>189055</v>
      </c>
      <c r="J13" s="1340"/>
      <c r="K13" s="1340"/>
      <c r="L13" s="1337">
        <f t="shared" si="0"/>
        <v>189055</v>
      </c>
      <c r="M13" s="1340">
        <v>211749</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2142</v>
      </c>
      <c r="C15" s="1338" t="s">
        <v>2145</v>
      </c>
      <c r="D15" s="1339" t="s">
        <v>2148</v>
      </c>
      <c r="E15" s="1340">
        <v>306308</v>
      </c>
      <c r="F15" s="1340">
        <v>271464</v>
      </c>
      <c r="G15" s="1340">
        <v>519083</v>
      </c>
      <c r="H15" s="1340"/>
      <c r="I15" s="1340">
        <f>577772-519083</f>
        <v>58689</v>
      </c>
      <c r="J15" s="1340"/>
      <c r="K15" s="1340"/>
      <c r="L15" s="1337">
        <f t="shared" si="0"/>
        <v>577772</v>
      </c>
      <c r="M15" s="1340">
        <v>660000</v>
      </c>
    </row>
    <row r="16" spans="2:14" ht="20.100000000000001" customHeight="1" x14ac:dyDescent="0.2">
      <c r="B16" s="1334"/>
      <c r="C16" s="1338" t="s">
        <v>2145</v>
      </c>
      <c r="D16" s="1339" t="s">
        <v>2149</v>
      </c>
      <c r="E16" s="1340"/>
      <c r="F16" s="1340">
        <v>309946</v>
      </c>
      <c r="G16" s="1340"/>
      <c r="H16" s="1340"/>
      <c r="I16" s="1340">
        <f>240546+114000+168170</f>
        <v>522716</v>
      </c>
      <c r="J16" s="1340"/>
      <c r="K16" s="1340"/>
      <c r="L16" s="1337">
        <f t="shared" si="0"/>
        <v>522716</v>
      </c>
      <c r="M16" s="1340">
        <v>660000</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2143</v>
      </c>
      <c r="C18" s="1338"/>
      <c r="D18" s="1339"/>
      <c r="E18" s="1340">
        <f>E16+E15+E13+E12+' SEFA (3)'!E27+' SEFA (3)'!E26+' SEFA (3)'!E25+' SEFA (3)'!E24+' SEFA (3)'!E22+' SEFA (3)'!E14+' SEFA (3)'!E13+' SEFA (2)'!E27+' SEFA (2)'!E20+' SEFA (2)'!E19+' SEFA (3)'!E12</f>
        <v>3056040</v>
      </c>
      <c r="F18" s="1340">
        <f>F16+F15+F13+F12+' SEFA (3)'!F27+' SEFA (3)'!F26+' SEFA (3)'!F25+' SEFA (3)'!F24+' SEFA (3)'!F22+' SEFA (3)'!F14+' SEFA (3)'!F13+' SEFA (2)'!F27+' SEFA (2)'!F20+' SEFA (2)'!F19+' SEFA (3)'!F12</f>
        <v>5689306</v>
      </c>
      <c r="G18" s="1340">
        <f>G16+G15+G13+G12+' SEFA (3)'!G27+' SEFA (3)'!G26+' SEFA (3)'!G25+' SEFA (3)'!G24+' SEFA (3)'!G22+' SEFA (3)'!G14+' SEFA (3)'!G13+' SEFA (2)'!G27+' SEFA (2)'!G20+' SEFA (2)'!G19</f>
        <v>4417893</v>
      </c>
      <c r="H18" s="1340"/>
      <c r="I18" s="1340">
        <f>I16+I15+I13+I12+' SEFA (3)'!I27+' SEFA (3)'!I26+' SEFA (3)'!I25+' SEFA (3)'!I24+' SEFA (3)'!I22+' SEFA (3)'!I14+' SEFA (3)'!I13+' SEFA (2)'!I27+' SEFA (2)'!I20+' SEFA (2)'!I19+' SEFA (3)'!I12</f>
        <v>5031167</v>
      </c>
      <c r="J18" s="1340"/>
      <c r="K18" s="1340"/>
      <c r="L18" s="1337">
        <f t="shared" si="0"/>
        <v>9449060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2150</v>
      </c>
      <c r="C20" s="1338"/>
      <c r="D20" s="1339"/>
      <c r="E20" s="1340"/>
      <c r="F20" s="1340"/>
      <c r="G20" s="1340"/>
      <c r="H20" s="1340"/>
      <c r="I20" s="1340"/>
      <c r="J20" s="1340"/>
      <c r="K20" s="1340"/>
      <c r="L20" s="1337">
        <f t="shared" si="0"/>
        <v>0</v>
      </c>
      <c r="M20" s="1340"/>
    </row>
    <row r="21" spans="2:14" ht="20.100000000000001" customHeight="1" x14ac:dyDescent="0.2">
      <c r="B21" s="1334" t="s">
        <v>2151</v>
      </c>
      <c r="C21" s="1338"/>
      <c r="D21" s="1339"/>
      <c r="E21" s="1340"/>
      <c r="F21" s="1340"/>
      <c r="G21" s="1340"/>
      <c r="H21" s="1340"/>
      <c r="I21" s="1340"/>
      <c r="J21" s="1340"/>
      <c r="K21" s="1340"/>
      <c r="L21" s="1337">
        <f t="shared" si="0"/>
        <v>0</v>
      </c>
      <c r="M21" s="1340"/>
    </row>
    <row r="22" spans="2:14" ht="20.100000000000001" customHeight="1" x14ac:dyDescent="0.2">
      <c r="B22" s="1334" t="s">
        <v>2152</v>
      </c>
      <c r="C22" s="1338">
        <v>93.778000000000006</v>
      </c>
      <c r="D22" s="1339" t="s">
        <v>2155</v>
      </c>
      <c r="E22" s="1340"/>
      <c r="F22" s="1938">
        <f>83736+17145</f>
        <v>100881</v>
      </c>
      <c r="G22" s="1340"/>
      <c r="H22" s="1340"/>
      <c r="I22" s="1938">
        <v>100881</v>
      </c>
      <c r="J22" s="1340"/>
      <c r="K22" s="1340"/>
      <c r="L22" s="1337">
        <f t="shared" si="0"/>
        <v>100881</v>
      </c>
      <c r="M22" s="1340" t="s">
        <v>2090</v>
      </c>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2153</v>
      </c>
      <c r="C24" s="1338"/>
      <c r="D24" s="1339"/>
      <c r="E24" s="1340">
        <f>E22</f>
        <v>0</v>
      </c>
      <c r="F24" s="1340">
        <f>F22</f>
        <v>100881</v>
      </c>
      <c r="G24" s="1340">
        <f>G22</f>
        <v>0</v>
      </c>
      <c r="H24" s="1340"/>
      <c r="I24" s="1340">
        <f>I22</f>
        <v>100881</v>
      </c>
      <c r="J24" s="1340"/>
      <c r="K24" s="1340"/>
      <c r="L24" s="1337">
        <f t="shared" si="0"/>
        <v>100881</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2154</v>
      </c>
      <c r="C26" s="1338"/>
      <c r="D26" s="1339"/>
      <c r="E26" s="1340">
        <f>E24+E18+' SEFA (2)'!E15+' SEFA'!E28</f>
        <v>5387590</v>
      </c>
      <c r="F26" s="1340">
        <f>F24+F18+' SEFA (2)'!F15+' SEFA'!F28</f>
        <v>8602226</v>
      </c>
      <c r="G26" s="1340">
        <f>G24+G18+' SEFA (2)'!G15+' SEFA'!G28</f>
        <v>6789974</v>
      </c>
      <c r="H26" s="1340"/>
      <c r="I26" s="1340">
        <f>I24+I18+' SEFA (2)'!I15+' SEFA'!I28</f>
        <v>7938925</v>
      </c>
      <c r="J26" s="1340"/>
      <c r="K26" s="1340"/>
      <c r="L26" s="1337">
        <f t="shared" si="0"/>
        <v>14728899</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10"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Urbana SD 116</v>
      </c>
      <c r="B1" s="2441"/>
      <c r="C1" s="2441"/>
      <c r="D1" s="2441"/>
      <c r="E1" s="2441"/>
      <c r="F1" s="2441"/>
    </row>
    <row r="2" spans="1:7" ht="13.5" customHeight="1" x14ac:dyDescent="0.2">
      <c r="A2" s="2437">
        <f>'Single Audit Cover'!E7</f>
        <v>9010116022</v>
      </c>
      <c r="B2" s="2437"/>
      <c r="C2" s="2437"/>
      <c r="D2" s="2437"/>
      <c r="E2" s="2437"/>
      <c r="F2" s="2437"/>
      <c r="G2" s="1272"/>
    </row>
    <row r="3" spans="1:7" ht="15.75" customHeight="1" x14ac:dyDescent="0.2">
      <c r="A3" s="2442" t="s">
        <v>1270</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1727</v>
      </c>
      <c r="C6" s="317"/>
      <c r="D6" s="317"/>
    </row>
    <row r="7" spans="1:7" ht="60.95" customHeight="1" x14ac:dyDescent="0.2">
      <c r="A7" s="2440" t="s">
        <v>2076</v>
      </c>
      <c r="B7" s="2440"/>
      <c r="C7" s="2440"/>
      <c r="D7" s="2440"/>
      <c r="E7" s="2440"/>
      <c r="F7" s="2440"/>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0" t="s">
        <v>2212</v>
      </c>
      <c r="B13" s="2440"/>
      <c r="C13" s="2440"/>
      <c r="D13" s="2440"/>
      <c r="E13" s="2440"/>
      <c r="F13" s="2440"/>
    </row>
    <row r="14" spans="1:7" ht="9.75" customHeight="1" x14ac:dyDescent="0.2">
      <c r="C14" s="1257"/>
      <c r="D14" s="1257"/>
    </row>
    <row r="15" spans="1:7" ht="13.5" customHeight="1" x14ac:dyDescent="0.2">
      <c r="C15" s="1846" t="s">
        <v>1269</v>
      </c>
      <c r="D15" s="2445" t="s">
        <v>1268</v>
      </c>
      <c r="E15" s="2445"/>
      <c r="F15" s="2445"/>
    </row>
    <row r="16" spans="1:7" ht="13.5" customHeight="1" x14ac:dyDescent="0.2">
      <c r="A16" s="1279"/>
      <c r="B16" s="1273" t="s">
        <v>1267</v>
      </c>
      <c r="C16" s="1846" t="s">
        <v>1266</v>
      </c>
      <c r="D16" s="2446" t="s">
        <v>1587</v>
      </c>
      <c r="E16" s="2446"/>
      <c r="F16" s="2446"/>
    </row>
    <row r="17" spans="1:6" ht="20.45" customHeight="1" x14ac:dyDescent="0.2">
      <c r="A17" s="1280"/>
      <c r="B17" s="1281" t="s">
        <v>2077</v>
      </c>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8" t="s">
        <v>2078</v>
      </c>
      <c r="B32" s="2448"/>
      <c r="C32" s="2448"/>
      <c r="D32" s="2448"/>
      <c r="E32" s="2448"/>
      <c r="F32" s="2448"/>
    </row>
    <row r="33" spans="1:6" ht="13.5" customHeight="1" x14ac:dyDescent="0.2">
      <c r="A33" s="328" t="s">
        <v>1433</v>
      </c>
      <c r="B33" s="328"/>
      <c r="C33" s="1285">
        <v>173766</v>
      </c>
      <c r="D33" s="1903"/>
      <c r="E33" s="1283"/>
    </row>
    <row r="34" spans="1:6" ht="13.5" customHeight="1" x14ac:dyDescent="0.2">
      <c r="A34" s="328" t="s">
        <v>1834</v>
      </c>
      <c r="B34" s="328"/>
      <c r="C34" s="1286">
        <v>0</v>
      </c>
      <c r="D34" s="1903" t="s">
        <v>1588</v>
      </c>
      <c r="E34" s="2449">
        <f>+C33+C34</f>
        <v>173766</v>
      </c>
      <c r="F34" s="2450"/>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t="s">
        <v>382</v>
      </c>
      <c r="D38" s="1903"/>
      <c r="E38" s="1283"/>
    </row>
    <row r="39" spans="1:6" ht="14.25" customHeight="1" x14ac:dyDescent="0.2">
      <c r="A39" s="328"/>
      <c r="B39" s="328" t="s">
        <v>1435</v>
      </c>
      <c r="C39" s="1289" t="s">
        <v>382</v>
      </c>
      <c r="D39" s="1903"/>
      <c r="E39" s="1283"/>
    </row>
    <row r="40" spans="1:6" ht="14.25" customHeight="1" x14ac:dyDescent="0.2">
      <c r="A40" s="328"/>
      <c r="B40" s="328" t="s">
        <v>1436</v>
      </c>
      <c r="C40" s="1289" t="s">
        <v>382</v>
      </c>
      <c r="D40" s="1903"/>
      <c r="E40" s="1283"/>
    </row>
    <row r="41" spans="1:6" ht="14.25" customHeight="1" x14ac:dyDescent="0.2">
      <c r="A41" s="328"/>
      <c r="B41" s="328" t="s">
        <v>1437</v>
      </c>
      <c r="C41" s="1289" t="s">
        <v>382</v>
      </c>
      <c r="D41" s="1903"/>
      <c r="E41" s="1283"/>
    </row>
    <row r="42" spans="1:6" ht="14.25" customHeight="1" x14ac:dyDescent="0.2">
      <c r="A42" s="328" t="s">
        <v>1438</v>
      </c>
      <c r="B42" s="328"/>
      <c r="C42" s="1901" t="s">
        <v>382</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1589</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7" t="s">
        <v>1550</v>
      </c>
      <c r="C51" s="2447"/>
      <c r="D51" s="2447"/>
    </row>
    <row r="52" spans="1:5" ht="14.25" customHeight="1" x14ac:dyDescent="0.2">
      <c r="A52" s="1298"/>
      <c r="B52" s="2447"/>
      <c r="C52" s="2447"/>
      <c r="D52" s="244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activeCell="G40" sqref="G40:I4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Urbana SD 116</v>
      </c>
      <c r="C1" s="2457"/>
      <c r="D1" s="2457"/>
      <c r="E1" s="2457"/>
      <c r="F1" s="2457"/>
      <c r="G1" s="2457"/>
      <c r="H1" s="2457"/>
      <c r="I1" s="2457"/>
      <c r="J1" s="1406"/>
    </row>
    <row r="2" spans="2:10" s="317" customFormat="1" ht="12.75" customHeight="1" x14ac:dyDescent="0.2">
      <c r="B2" s="2458">
        <f>'Single Audit Cover'!E7</f>
        <v>9010116022</v>
      </c>
      <c r="C2" s="2459"/>
      <c r="D2" s="2459"/>
      <c r="E2" s="2459"/>
      <c r="F2" s="2459"/>
      <c r="G2" s="2459"/>
      <c r="H2" s="2459"/>
      <c r="I2" s="2459"/>
      <c r="J2" s="1406"/>
    </row>
    <row r="3" spans="2:10" s="317" customFormat="1" ht="12.75" customHeight="1" x14ac:dyDescent="0.2">
      <c r="B3" s="2460" t="s">
        <v>1284</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1283</v>
      </c>
      <c r="C7" s="2461"/>
      <c r="D7" s="2461"/>
      <c r="E7" s="2461"/>
      <c r="F7" s="2461"/>
      <c r="G7" s="2461"/>
      <c r="H7" s="2461"/>
      <c r="I7" s="2461"/>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2" t="s">
        <v>2170</v>
      </c>
      <c r="D11" s="2462"/>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3" t="s">
        <v>2171</v>
      </c>
      <c r="E29" s="2463"/>
      <c r="F29" s="2463"/>
      <c r="G29" s="2463"/>
      <c r="H29" s="2463"/>
      <c r="I29" s="2463"/>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64" t="s">
        <v>1747</v>
      </c>
      <c r="D37" s="2465"/>
      <c r="E37" s="2465"/>
      <c r="F37" s="2466"/>
      <c r="G37" s="2464" t="s">
        <v>1591</v>
      </c>
      <c r="H37" s="2465"/>
      <c r="I37" s="2466"/>
    </row>
    <row r="38" spans="2:9" ht="16.5" customHeight="1" x14ac:dyDescent="0.2">
      <c r="B38" s="1428" t="s">
        <v>2172</v>
      </c>
      <c r="C38" s="2452" t="s">
        <v>2173</v>
      </c>
      <c r="D38" s="2453"/>
      <c r="E38" s="2453"/>
      <c r="F38" s="2454"/>
      <c r="G38" s="2467">
        <v>1518846</v>
      </c>
      <c r="H38" s="2468"/>
      <c r="I38" s="2469"/>
    </row>
    <row r="39" spans="2:9" ht="16.5" customHeight="1" x14ac:dyDescent="0.2">
      <c r="B39" s="1428" t="s">
        <v>2112</v>
      </c>
      <c r="C39" s="2452" t="s">
        <v>917</v>
      </c>
      <c r="D39" s="2453"/>
      <c r="E39" s="2453"/>
      <c r="F39" s="2454"/>
      <c r="G39" s="2455">
        <v>2537998</v>
      </c>
      <c r="H39" s="2455"/>
      <c r="I39" s="2455"/>
    </row>
    <row r="40" spans="2:9" ht="16.5" customHeight="1" x14ac:dyDescent="0.2">
      <c r="B40" s="1428" t="s">
        <v>2144</v>
      </c>
      <c r="C40" s="2452" t="s">
        <v>2174</v>
      </c>
      <c r="D40" s="2453"/>
      <c r="E40" s="2453"/>
      <c r="F40" s="2454"/>
      <c r="G40" s="2455">
        <v>189055</v>
      </c>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70" t="s">
        <v>1592</v>
      </c>
      <c r="D43" s="2471"/>
      <c r="E43" s="2471"/>
      <c r="F43" s="2472"/>
      <c r="G43" s="2473">
        <f>SUM(G38:I42)</f>
        <v>4245899</v>
      </c>
      <c r="H43" s="2473"/>
      <c r="I43" s="2473"/>
    </row>
    <row r="44" spans="2:9" ht="12.75" customHeight="1" x14ac:dyDescent="0.2"/>
    <row r="45" spans="2:9" ht="12.75" customHeight="1" x14ac:dyDescent="0.2">
      <c r="B45" s="1419" t="s">
        <v>2059</v>
      </c>
      <c r="D45" s="2474">
        <v>7938925</v>
      </c>
      <c r="E45" s="2475"/>
    </row>
    <row r="46" spans="2:9" ht="5.25" customHeight="1" x14ac:dyDescent="0.2">
      <c r="B46" s="1429"/>
      <c r="D46" s="1430"/>
      <c r="E46" s="1431"/>
    </row>
    <row r="47" spans="2:9" ht="12.75" customHeight="1" x14ac:dyDescent="0.2">
      <c r="B47" s="1297" t="s">
        <v>1593</v>
      </c>
      <c r="C47" s="1297"/>
      <c r="D47" s="1432">
        <f>+G43/D45</f>
        <v>0.53482039444887064</v>
      </c>
      <c r="E47" s="1433"/>
      <c r="F47" s="1434"/>
      <c r="I47" s="1435"/>
    </row>
    <row r="48" spans="2:9" ht="9.9499999999999993" customHeight="1" x14ac:dyDescent="0.2"/>
    <row r="49" spans="1:9" x14ac:dyDescent="0.2">
      <c r="B49" s="1365" t="s">
        <v>1272</v>
      </c>
      <c r="C49" s="1279"/>
      <c r="D49" s="1279"/>
      <c r="E49" s="2476">
        <v>750000</v>
      </c>
      <c r="F49" s="2476"/>
      <c r="G49" s="2476"/>
      <c r="H49" s="322"/>
    </row>
    <row r="51" spans="1:9" ht="13.5" customHeight="1" x14ac:dyDescent="0.2">
      <c r="B51" s="1365" t="s">
        <v>1271</v>
      </c>
      <c r="C51" s="1279"/>
      <c r="E51" s="1422"/>
      <c r="F51" s="1297" t="s">
        <v>884</v>
      </c>
      <c r="G51" s="1422" t="s">
        <v>2060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Urbana SD 116</v>
      </c>
      <c r="C1" s="2456"/>
      <c r="D1" s="2456"/>
      <c r="E1" s="2456"/>
      <c r="F1" s="2456"/>
      <c r="G1" s="2456"/>
      <c r="H1" s="2456"/>
      <c r="I1" s="2456"/>
      <c r="J1" s="2456"/>
      <c r="K1" s="2456"/>
      <c r="L1" s="1371"/>
      <c r="M1" s="1371"/>
    </row>
    <row r="2" spans="1:13" ht="12" customHeight="1" x14ac:dyDescent="0.2">
      <c r="B2" s="2458">
        <f>'Single Audit Cover'!E7</f>
        <v>9010116022</v>
      </c>
      <c r="C2" s="2458"/>
      <c r="D2" s="2458"/>
      <c r="E2" s="2458"/>
      <c r="F2" s="2458"/>
      <c r="G2" s="2458"/>
      <c r="H2" s="2458"/>
      <c r="I2" s="2458"/>
      <c r="J2" s="2458"/>
      <c r="K2" s="2458"/>
      <c r="L2" s="1372"/>
      <c r="M2" s="1373"/>
    </row>
    <row r="3" spans="1:13" ht="10.35" customHeight="1" x14ac:dyDescent="0.2">
      <c r="B3" s="2479" t="s">
        <v>1284</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1295</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1986</v>
      </c>
      <c r="D10" s="1383" t="s">
        <v>2077</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Urbana SD 116</v>
      </c>
      <c r="C1" s="2483"/>
      <c r="D1" s="2483"/>
      <c r="E1" s="2483"/>
      <c r="F1" s="2483"/>
      <c r="G1" s="2483"/>
      <c r="H1" s="2483"/>
      <c r="I1" s="2483"/>
      <c r="J1" s="2483"/>
      <c r="K1" s="2483"/>
      <c r="L1" s="1449"/>
    </row>
    <row r="2" spans="1:12" ht="12.75" customHeight="1" x14ac:dyDescent="0.2">
      <c r="B2" s="2484">
        <f>'Single Audit Cover'!E7</f>
        <v>9010116022</v>
      </c>
      <c r="C2" s="2484"/>
      <c r="D2" s="2484"/>
      <c r="E2" s="2484"/>
      <c r="F2" s="2484"/>
      <c r="G2" s="2484"/>
      <c r="H2" s="2484"/>
      <c r="I2" s="2484"/>
      <c r="J2" s="2484"/>
      <c r="K2" s="2484"/>
      <c r="L2" s="1450"/>
    </row>
    <row r="3" spans="1:12" ht="12.75" customHeight="1" x14ac:dyDescent="0.2">
      <c r="B3" s="2479" t="s">
        <v>1284</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1168</v>
      </c>
      <c r="C5" s="1257"/>
      <c r="L5" s="322"/>
    </row>
    <row r="6" spans="1:12" ht="30.75" customHeight="1" x14ac:dyDescent="0.2">
      <c r="A6" s="322"/>
      <c r="B6" s="2485" t="s">
        <v>1307</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1986</v>
      </c>
      <c r="D8" s="1452" t="s">
        <v>2077</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6"/>
      <c r="E14" s="2486"/>
      <c r="F14" s="2486"/>
      <c r="H14" s="1459" t="s">
        <v>1302</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7"/>
      <c r="E16" s="2487"/>
      <c r="F16" s="2487"/>
      <c r="G16" s="2487"/>
      <c r="H16" s="2487"/>
      <c r="I16" s="2487"/>
      <c r="J16" s="2487"/>
      <c r="K16" s="2487"/>
      <c r="L16" s="322"/>
    </row>
    <row r="17" spans="2:12" ht="13.5" customHeight="1" x14ac:dyDescent="0.2">
      <c r="B17" s="1384" t="s">
        <v>1300</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Urbana SD 116</v>
      </c>
      <c r="C1" s="2456"/>
      <c r="D1" s="2456"/>
      <c r="E1" s="1469"/>
    </row>
    <row r="2" spans="2:5" s="1279" customFormat="1" ht="12.75" customHeight="1" x14ac:dyDescent="0.2">
      <c r="B2" s="2458">
        <f>'Single Audit Cover'!E7</f>
        <v>9010116022</v>
      </c>
      <c r="C2" s="2458"/>
      <c r="D2" s="2458"/>
      <c r="E2" s="1470"/>
    </row>
    <row r="3" spans="2:5" ht="12.75" customHeight="1" x14ac:dyDescent="0.2">
      <c r="B3" s="2479" t="s">
        <v>1762</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2077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http://purl.org/dc/terms/"/>
    <ds:schemaRef ds:uri="http://schemas.openxmlformats.org/package/2006/metadata/core-properties"/>
    <ds:schemaRef ds:uri="6ce3111e-7420-4802-b50a-75d4e9a0b980"/>
    <ds:schemaRef ds:uri="http://purl.org/dc/elements/1.1/"/>
    <ds:schemaRef ds:uri="http://schemas.microsoft.com/office/2006/documentManagement/types"/>
    <ds:schemaRef ds:uri="http://schemas.microsoft.com/office/infopath/2007/PartnerControls"/>
    <ds:schemaRef ds:uri="http://schemas.microsoft.com/office/2006/metadata/propertie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2019-10-09T20:59:14Z</cp:lastPrinted>
  <dcterms:created xsi:type="dcterms:W3CDTF">2003-10-29T19:06:34Z</dcterms:created>
  <dcterms:modified xsi:type="dcterms:W3CDTF">2019-11-21T19:02:50Z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{E24C1B57-053B-4B73-B860-6EBC681C58FF}</vt:lpwstr>
  </property>
</Properties>
</file>