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932BE5D-240A-4EA3-AB69-C5C7698D5A68}"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68" i="5"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E27" i="108"/>
  <c r="G27" i="108"/>
  <c r="F31" i="108"/>
  <c r="F36" i="108"/>
  <c r="G28" i="108"/>
  <c r="E30" i="108"/>
  <c r="G30"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33" i="118"/>
  <c r="D22" i="37"/>
  <c r="J22" i="37"/>
  <c r="D24" i="37"/>
  <c r="B4270" i="106" s="1"/>
  <c r="D4270" i="106" s="1"/>
  <c r="L5" i="11"/>
  <c r="B2056" i="106" s="1"/>
  <c r="D2056" i="106" s="1"/>
  <c r="B5752" i="106"/>
  <c r="D5752" i="106" s="1"/>
  <c r="D17" i="7"/>
  <c r="B4104" i="106" s="1"/>
  <c r="D4104" i="106" s="1"/>
  <c r="F27" i="108" l="1"/>
  <c r="I210" i="29"/>
  <c r="B7071" i="106" s="1"/>
  <c r="D7071" i="106" s="1"/>
  <c r="F36" i="34"/>
  <c r="D9" i="7"/>
  <c r="B1767" i="106" s="1"/>
  <c r="D1767" i="106" s="1"/>
  <c r="C342" i="29"/>
  <c r="B7216" i="106" s="1"/>
  <c r="D7216" i="106" s="1"/>
  <c r="J77" i="4"/>
  <c r="B6262" i="106" s="1"/>
  <c r="D6262" i="106" s="1"/>
  <c r="H365" i="29"/>
  <c r="B7242" i="106" s="1"/>
  <c r="D7242" i="106" s="1"/>
  <c r="B7231" i="106"/>
  <c r="D7231" i="106" s="1"/>
  <c r="F77" i="4"/>
  <c r="B3255" i="106" s="1"/>
  <c r="D3255" i="106" s="1"/>
  <c r="B2836" i="106"/>
  <c r="D2836" i="106" s="1"/>
  <c r="L13" i="11"/>
  <c r="B2060" i="106" s="1"/>
  <c r="D2060" i="106" s="1"/>
  <c r="B1126" i="106"/>
  <c r="D1126" i="106" s="1"/>
  <c r="J367" i="29"/>
  <c r="B7245" i="106" s="1"/>
  <c r="D7245" i="106" s="1"/>
  <c r="B7235" i="106"/>
  <c r="D7235" i="106" s="1"/>
  <c r="D37" i="108"/>
  <c r="D41" i="108" s="1"/>
  <c r="E43" i="108" s="1"/>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J41" i="3"/>
  <c r="B6216" i="106" s="1"/>
  <c r="D6216" i="106" s="1"/>
  <c r="K184" i="29"/>
  <c r="F13" i="4" s="1"/>
  <c r="B2596" i="106" s="1"/>
  <c r="D2596" i="106" s="1"/>
  <c r="G210" i="29"/>
  <c r="G15" i="145"/>
  <c r="H28" i="118"/>
  <c r="E28" i="108"/>
  <c r="H342" i="29"/>
  <c r="B7221" i="106" s="1"/>
  <c r="D7221" i="106" s="1"/>
  <c r="J129" i="29"/>
  <c r="B7038" i="106" s="1"/>
  <c r="D7038" i="106" s="1"/>
  <c r="K41" i="3"/>
  <c r="H29" i="118"/>
  <c r="K28" i="118" s="1"/>
  <c r="O27" i="118" s="1"/>
  <c r="O29" i="118" s="1"/>
  <c r="F14" i="4"/>
  <c r="B2597" i="106" s="1"/>
  <c r="D2597" i="106" s="1"/>
  <c r="L22" i="37"/>
  <c r="G29" i="108"/>
  <c r="D6103" i="106"/>
  <c r="B1308" i="106"/>
  <c r="D1308" i="106" s="1"/>
  <c r="E174" i="29"/>
  <c r="B1309" i="106" s="1"/>
  <c r="D1309" i="106" s="1"/>
  <c r="E29" i="108"/>
  <c r="B3254" i="106"/>
  <c r="D3254" i="106" s="1"/>
  <c r="I24" i="12"/>
  <c r="B3649" i="106"/>
  <c r="D3649" i="106" s="1"/>
  <c r="G367" i="29"/>
  <c r="D5" i="4"/>
  <c r="B3406" i="106" s="1"/>
  <c r="D3406" i="106" s="1"/>
  <c r="L312" i="29"/>
  <c r="I342" i="29"/>
  <c r="B7222" i="106" s="1"/>
  <c r="D7222" i="106" s="1"/>
  <c r="K350" i="29"/>
  <c r="F21" i="8"/>
  <c r="K24" i="12"/>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17" i="106" l="1"/>
  <c r="D1317" i="106" s="1"/>
  <c r="F41" i="108"/>
  <c r="G43" i="108" s="1"/>
  <c r="C114" i="29"/>
  <c r="B757" i="106" s="1"/>
  <c r="D757" i="106" s="1"/>
  <c r="B5527" i="106"/>
  <c r="D5527" i="106" s="1"/>
  <c r="N23" i="3"/>
  <c r="B284" i="106" s="1"/>
  <c r="D284" i="106" s="1"/>
  <c r="F174" i="34"/>
  <c r="J16" i="4"/>
  <c r="B6226" i="106" s="1"/>
  <c r="D6226" i="106" s="1"/>
  <c r="L16" i="11"/>
  <c r="B2061" i="106" s="1"/>
  <c r="D2061" i="106" s="1"/>
  <c r="G6" i="4"/>
  <c r="B2604" i="106" s="1"/>
  <c r="D2604" i="106" s="1"/>
  <c r="B3568" i="106"/>
  <c r="D3568" i="106" s="1"/>
  <c r="D52" i="36"/>
  <c r="B7215" i="106"/>
  <c r="D7215" i="106" s="1"/>
  <c r="H151" i="29"/>
  <c r="B1273" i="106" s="1"/>
  <c r="D1273" i="106" s="1"/>
  <c r="B1381" i="106"/>
  <c r="D1381" i="106" s="1"/>
  <c r="J151" i="29"/>
  <c r="B7052" i="106" s="1"/>
  <c r="D7052" i="106" s="1"/>
  <c r="C151" i="29"/>
  <c r="B1226" i="106" s="1"/>
  <c r="D1226" i="106" s="1"/>
  <c r="K365" i="29"/>
  <c r="D7253" i="106"/>
  <c r="L114" i="29"/>
  <c r="B1996" i="106"/>
  <c r="D1996" i="106" s="1"/>
  <c r="I26" i="12"/>
  <c r="B7741" i="106" s="1"/>
  <c r="D7741" i="106" s="1"/>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20" i="4" l="1"/>
  <c r="B6230" i="106" s="1"/>
  <c r="D6230" i="106" s="1"/>
  <c r="B6227" i="106"/>
  <c r="D6227" i="106" s="1"/>
  <c r="D8" i="146"/>
  <c r="K17" i="4"/>
  <c r="B3575" i="106" s="1"/>
  <c r="D357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K19" i="4"/>
  <c r="B4144" i="106" s="1"/>
  <c r="D4144" i="106" s="1"/>
  <c r="K20" i="4"/>
  <c r="B3576" i="106" s="1"/>
  <c r="D3576" i="106"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K78" i="4" l="1"/>
  <c r="B3588" i="106" s="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<sst xmlns="http://schemas.openxmlformats.org/spreadsheetml/2006/main" count="5068" uniqueCount="2091">
  <si>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</si>
  <si>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</si>
  <si>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</si>
  <si>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</si>
  <si>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</si>
  <si>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</si>
  <si>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</si>
  <si>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</si>
  <si>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</si>
  <si>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</si>
  <si>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</si>
  <si>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</si>
  <si>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</si>
  <si>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</si>
  <si>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</si>
  <si>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</si>
  <si>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</si>
  <si>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</si>
  <si>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</si>
  <si>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</si>
  <si>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</si>
  <si>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</si>
  <si>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</si>
  <si>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</si>
  <si>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</si>
  <si>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</si>
  <si>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</si>
  <si>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</si>
  <si>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</si>
  <si>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</si>
  <si>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</si>
  <si>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</si>
  <si>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</si>
  <si>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</si>
  <si>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</si>
  <si>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</si>
  <si>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</si>
  <si>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</si>
  <si>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</si>
  <si>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</si>
  <si>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</si>
  <si>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</si>
  <si>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</si>
  <si>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</si>
  <si>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</si>
  <si>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</si>
  <si>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</si>
  <si>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</si>
  <si>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</si>
  <si>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</si>
  <si>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</si>
  <si>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</si>
  <si>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</si>
  <si>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</si>
  <si>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</si>
  <si>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</si>
  <si>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</si>
  <si>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</si>
  <si>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</si>
  <si>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</si>
  <si>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</si>
  <si>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</si>
  <si>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</si>
  <si>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</si>
  <si>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</si>
  <si>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</si>
  <si>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</si>
  <si>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</si>
  <si>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</si>
  <si>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</si>
  <si>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</si>
  <si>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</si>
  <si>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</si>
  <si>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</si>
  <si>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</si>
  <si>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</si>
  <si>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</si>
  <si>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</si>
  <si>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</si>
  <si>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</si>
  <si>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</si>
  <si>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</si>
  <si>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</si>
  <si>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</si>
  <si>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</si>
  <si>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</si>
  <si>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</si>
  <si>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</si>
  <si>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</si>
  <si>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</si>
  <si>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</si>
  <si>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</si>
  <si>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</si>
  <si>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</si>
  <si>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</si>
  <si>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</si>
  <si>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</si>
  <si>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</si>
  <si>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</si>
  <si>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</si>
  <si>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</si>
  <si>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</si>
  <si>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</si>
  <si>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</si>
  <si>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</si>
  <si>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</si>
  <si>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</si>
  <si>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</si>
  <si>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</si>
  <si>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</si>
  <si>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</si>
  <si>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</si>
  <si>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</si>
  <si>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</si>
  <si>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</si>
  <si>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</si>
  <si>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</si>
  <si>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</si>
  <si>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</si>
  <si>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</si>
  <si>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</si>
  <si>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</si>
  <si>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</si>
  <si>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</si>
  <si>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</si>
  <si>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</si>
  <si>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</si>
  <si>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</si>
  <si>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</si>
  <si>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</si>
  <si>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</si>
  <si>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</si>
  <si>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</si>
  <si>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</si>
  <si>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</si>
  <si>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</si>
  <si>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</si>
  <si>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</si>
  <si>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</si>
  <si>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</si>
  <si>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</si>
  <si>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</si>
  <si>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</si>
  <si>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</si>
  <si>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</si>
  <si>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</si>
  <si>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</si>
  <si>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</si>
  <si>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</si>
  <si>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</si>
  <si>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</si>
  <si>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</si>
  <si>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</si>
  <si>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</si>
  <si>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</si>
  <si>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</si>
  <si>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</si>
  <si>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</si>
  <si>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</si>
  <si>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</si>
  <si>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</si>
  <si>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</si>
  <si>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</si>
  <si>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</si>
  <si>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</si>
  <si>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</si>
  <si>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</si>
  <si>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</si>
  <si>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</si>
  <si>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</si>
  <si>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</si>
  <si>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</si>
  <si>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</si>
  <si>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</si>
  <si>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</si>
  <si>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</si>
  <si>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</si>
  <si>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</si>
  <si>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</si>
  <si>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</si>
  <si>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</si>
  <si>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</si>
  <si>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</si>
  <si>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</si>
  <si>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</si>
  <si>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</si>
  <si>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</si>
  <si>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</si>
  <si>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</si>
  <si>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</si>
  <si>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</si>
  <si>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</si>
  <si>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</si>
  <si>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</si>
  <si>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</si>
  <si>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</si>
  <si>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</si>
  <si>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</si>
  <si>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</si>
  <si>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</si>
  <si>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</si>
  <si>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</si>
  <si>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</si>
  <si>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</si>
  <si>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</si>
  <si>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</si>
  <si>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</si>
  <si>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</si>
  <si>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</si>
  <si>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</si>
  <si>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</si>
  <si>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</si>
  <si>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</si>
  <si>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</si>
  <si>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</si>
  <si>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</si>
  <si>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</si>
  <si>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</si>
  <si>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</si>
  <si>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</si>
  <si>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</si>
  <si>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</si>
  <si>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</si>
  <si>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</si>
  <si>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</si>
  <si>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</si>
  <si>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</si>
  <si>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</si>
  <si>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</si>
  <si>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</si>
  <si>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</si>
  <si>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</si>
  <si>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</si>
  <si>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</si>
  <si>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</si>
  <si>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</si>
  <si>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</si>
  <si>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</si>
  <si>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</si>
  <si>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</si>
  <si>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</si>
  <si>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</si>
  <si>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</si>
  <si>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</si>
  <si>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</si>
  <si>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</si>
  <si>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</si>
  <si>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</si>
  <si>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</si>
  <si>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</si>
  <si>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</si>
  <si>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</si>
  <si>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</si>
  <si>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</si>
  <si>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</si>
  <si>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</si>
  <si>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</si>
  <si>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</si>
  <si>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</si>
  <si>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</si>
  <si>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</si>
  <si>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</si>
  <si>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</si>
  <si>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</si>
  <si>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</si>
  <si>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</si>
  <si>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</si>
  <si>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</si>
  <si>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</si>
  <si>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</si>
  <si>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</si>
  <si>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</si>
  <si>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</si>
  <si>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</si>
  <si>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</si>
  <si>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</si>
  <si>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</si>
  <si>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</si>
  <si>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</si>
  <si>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</si>
  <si>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</si>
  <si>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</si>
  <si>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</si>
  <si>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</si>
  <si>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</si>
  <si>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</si>
  <si>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</si>
  <si>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</si>
  <si>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</si>
  <si>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</si>
  <si>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</si>
  <si>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</si>
  <si>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</si>
  <si>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</si>
  <si>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</si>
  <si>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</si>
  <si>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</si>
  <si>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</si>
  <si>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</si>
  <si>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</si>
  <si>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</si>
  <si>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</si>
  <si>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</si>
  <si>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</si>
  <si>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</si>
  <si>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</si>
  <si>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</si>
  <si>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</si>
  <si>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</si>
  <si>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</si>
  <si>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</si>
  <si>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</si>
  <si>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</si>
  <si>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</si>
  <si>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</si>
  <si>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</si>
  <si>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</si>
  <si>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</si>
  <si>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</si>
  <si>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</si>
  <si>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</si>
  <si>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</si>
  <si>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</si>
  <si>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</si>
  <si>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</si>
  <si>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</si>
  <si>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</si>
  <si>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</si>
  <si>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</si>
  <si>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</si>
  <si>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</si>
  <si>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</si>
  <si>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</si>
  <si>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</si>
  <si>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</si>
  <si>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</si>
  <si>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</si>
  <si>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</si>
  <si>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</si>
  <si>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</si>
  <si>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</si>
  <si>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</si>
  <si>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</si>
  <si>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</si>
  <si>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</si>
  <si>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</si>
  <si>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</si>
  <si>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</si>
  <si>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</si>
  <si>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</si>
  <si>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</si>
  <si>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</si>
  <si>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</si>
  <si>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</si>
  <si>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</si>
  <si>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</si>
  <si>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</si>
  <si>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</si>
  <si>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</si>
  <si>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</si>
  <si>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</si>
  <si>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</si>
  <si>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</si>
  <si>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</si>
  <si>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</si>
  <si>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</si>
  <si>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</si>
  <si>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</si>
  <si>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</si>
  <si>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</si>
  <si>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</si>
  <si>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</si>
  <si>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</si>
  <si>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</si>
  <si>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</si>
  <si>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</si>
  <si>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</si>
  <si>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</si>
  <si>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</si>
  <si>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</si>
  <si>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</si>
  <si>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</si>
  <si>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</si>
  <si>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</si>
  <si>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</si>
  <si>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</si>
  <si>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</si>
  <si>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</si>
  <si>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</si>
  <si>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</si>
  <si>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</si>
  <si>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</si>
  <si>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</si>
  <si>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</si>
  <si>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</si>
  <si>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</si>
  <si>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</si>
  <si>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</si>
  <si>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</si>
  <si>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</si>
  <si>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</si>
  <si>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</si>
  <si>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</si>
  <si>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</si>
  <si>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</si>
  <si>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</si>
  <si>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</si>
  <si>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</si>
  <si>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</si>
  <si>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</si>
  <si>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</si>
  <si>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</si>
  <si>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</si>
  <si>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</si>
  <si>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</si>
  <si>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</si>
  <si>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</si>
  <si>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</si>
  <si>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</si>
  <si>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</si>
  <si>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</si>
  <si>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</si>
  <si>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</si>
  <si>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</si>
  <si>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</si>
  <si>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</si>
  <si>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</si>
  <si>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</si>
  <si>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</si>
  <si>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</si>
  <si>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</si>
  <si>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</si>
  <si>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</si>
  <si>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</si>
  <si>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</si>
  <si>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</si>
  <si>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</si>
  <si>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</si>
  <si>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</si>
  <si>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</si>
  <si>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</si>
  <si>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</si>
  <si>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</si>
  <si>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</si>
  <si>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</si>
  <si>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</si>
  <si>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</si>
  <si>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</si>
  <si>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</si>
  <si>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</si>
  <si>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</si>
  <si>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</si>
  <si>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</si>
  <si>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</si>
  <si>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</si>
  <si>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</si>
  <si>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</si>
  <si>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</si>
  <si>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</si>
  <si>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</si>
  <si>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</si>
  <si>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</si>
  <si>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</si>
  <si>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</si>
  <si>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</si>
  <si>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</si>
  <si>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</si>
  <si>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</si>
  <si>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</si>
  <si>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</si>
  <si>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</si>
  <si>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</si>
  <si>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</si>
  <si>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</si>
  <si>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</si>
  <si>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</si>
  <si>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</si>
  <si>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</si>
  <si>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</si>
  <si>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</si>
  <si>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</si>
  <si>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</si>
  <si>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</si>
  <si>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</si>
  <si>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</si>
  <si>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</si>
  <si>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</si>
  <si>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</si>
  <si>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</si>
  <si>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</si>
  <si>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</si>
  <si>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</si>
  <si>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</si>
  <si>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</si>
  <si>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</si>
  <si>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</si>
  <si>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</si>
  <si>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</si>
  <si>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</si>
  <si>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</si>
  <si>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</si>
  <si>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</si>
  <si>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</si>
  <si>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</si>
  <si>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</si>
  <si>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</si>
  <si>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</si>
  <si>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</si>
  <si>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</si>
  <si>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</si>
  <si>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</si>
  <si>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</si>
  <si>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</si>
  <si>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</si>
  <si>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</si>
  <si>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</si>
  <si>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</si>
  <si>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</si>
  <si>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</si>
  <si>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</si>
  <si>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</si>
  <si>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</si>
  <si>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</si>
  <si>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</si>
  <si>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</si>
  <si>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</si>
  <si>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</si>
  <si>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</si>
  <si>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</si>
  <si>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</si>
  <si>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</si>
  <si>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</si>
  <si>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</si>
  <si>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</si>
  <si>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</si>
  <si>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</si>
  <si>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</si>
  <si>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</si>
  <si>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</si>
  <si>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</si>
  <si>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</si>
  <si>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</si>
  <si>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</si>
  <si>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</si>
  <si>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</si>
  <si>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</si>
  <si>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</si>
  <si>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</si>
  <si>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</si>
  <si>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</si>
  <si>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</si>
  <si>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</si>
  <si>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</si>
  <si>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</si>
  <si>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</si>
  <si>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</si>
  <si>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</si>
  <si>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</si>
  <si>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</si>
  <si>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</si>
  <si>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</si>
  <si>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</si>
  <si>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</si>
  <si>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</si>
  <si>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</si>
  <si>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</si>
  <si>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</si>
  <si>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</si>
  <si>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</si>
  <si>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</si>
  <si>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</si>
  <si>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</si>
  <si>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</si>
  <si>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</si>
  <si>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</si>
  <si>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</si>
  <si>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</si>
  <si>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</si>
  <si>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</si>
  <si>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</si>
  <si>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</si>
  <si>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</si>
  <si>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</si>
  <si>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</si>
  <si>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</si>
  <si>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</si>
  <si>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</si>
  <si>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</si>
  <si>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</si>
  <si>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</si>
  <si>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</si>
  <si>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</si>
  <si>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</si>
  <si>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</si>
  <si>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</si>
  <si>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</si>
  <si>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</si>
  <si>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</si>
  <si>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</si>
  <si>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</si>
  <si>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</si>
  <si>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</si>
  <si>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</si>
  <si>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</si>
  <si>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</si>
  <si>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</si>
  <si>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</si>
  <si>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</si>
  <si>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</si>
  <si>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</si>
  <si>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</si>
  <si>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</si>
  <si>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</si>
  <si>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</si>
  <si>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</si>
  <si>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</si>
  <si>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</si>
  <si>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</si>
  <si>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</si>
  <si>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</si>
  <si>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</si>
  <si>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</si>
  <si>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</si>
  <si>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</si>
  <si>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</si>
  <si>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</si>
  <si>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</si>
  <si>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</si>
  <si>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</si>
  <si>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</si>
  <si>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</si>
  <si>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</si>
  <si>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</si>
  <si>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</si>
  <si>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</si>
  <si>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</si>
  <si>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</si>
  <si>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</si>
  <si>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</si>
  <si>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</si>
  <si>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</si>
  <si>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</si>
  <si>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</si>
  <si>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</si>
  <si>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</si>
  <si>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</si>
  <si>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</si>
  <si>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</si>
  <si>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</si>
  <si>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</si>
  <si>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</si>
  <si>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</si>
  <si>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</si>
  <si>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</si>
  <si>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</si>
  <si>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</si>
  <si>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</si>
  <si>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</si>
  <si>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</si>
  <si>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</si>
  <si>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</si>
  <si>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</si>
  <si>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</si>
  <si>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</si>
  <si>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</si>
  <si>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</si>
  <si>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</si>
  <si>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</si>
  <si>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</si>
  <si>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</si>
  <si>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</si>
  <si>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</si>
  <si>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</si>
  <si>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</si>
  <si>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</si>
  <si>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</si>
  <si>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</si>
  <si>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</si>
  <si>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</si>
  <si>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</si>
  <si>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</si>
  <si>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</si>
  <si>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</si>
  <si>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</si>
  <si>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</si>
  <si>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</si>
  <si>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</si>
  <si>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</si>
  <si>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</si>
  <si>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</si>
  <si>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</si>
  <si>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</si>
  <si>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</si>
  <si>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</si>
  <si>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</si>
  <si>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</si>
  <si>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</si>
  <si>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</si>
  <si>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</si>
  <si>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</si>
  <si>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</si>
  <si>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</si>
  <si>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</si>
  <si>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</si>
  <si>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</si>
  <si>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</si>
  <si>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</si>
  <si>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</si>
  <si>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</si>
  <si>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</si>
  <si>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</si>
  <si>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</si>
  <si>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</si>
  <si>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</si>
  <si>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</si>
  <si>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</si>
  <si>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</si>
  <si>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</si>
  <si>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</si>
  <si>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</si>
  <si>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</si>
  <si>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</si>
  <si>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</si>
  <si>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</si>
  <si>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</si>
  <si>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</si>
  <si>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</si>
  <si>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</si>
  <si>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</si>
  <si>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</si>
  <si>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</si>
  <si>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</si>
  <si>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</si>
  <si>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</si>
  <si>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</si>
  <si>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</si>
  <si>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</si>
  <si>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</si>
  <si>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</si>
  <si>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</si>
  <si>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</si>
  <si>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</si>
  <si>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</si>
  <si>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</si>
  <si>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</si>
  <si>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</si>
  <si>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</si>
  <si>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</si>
  <si>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</si>
  <si>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</si>
  <si>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</si>
  <si>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</si>
  <si>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</si>
  <si>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</si>
  <si>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</si>
  <si>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</si>
  <si>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</si>
  <si>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</si>
  <si>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</si>
  <si>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</si>
  <si>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</si>
  <si>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</si>
  <si>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</si>
  <si>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</si>
  <si>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</si>
  <si>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</si>
  <si>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</si>
  <si>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</si>
  <si>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</si>
  <si>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</si>
  <si>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</si>
  <si>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</si>
  <si>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</si>
  <si>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</si>
  <si>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</si>
  <si>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</si>
  <si>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</si>
  <si>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</si>
  <si>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</si>
  <si>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</si>
  <si>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</si>
  <si>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</si>
  <si>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</si>
  <si>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</si>
  <si>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</si>
  <si>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</si>
  <si>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</si>
  <si>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</si>
  <si>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</si>
  <si>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</si>
  <si>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</si>
  <si>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</si>
  <si>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</si>
  <si>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</si>
  <si>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</si>
  <si>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</si>
  <si>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</si>
  <si>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</si>
  <si>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</si>
  <si>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</si>
  <si>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</si>
  <si>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</si>
  <si>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</si>
  <si>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</si>
  <si>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</si>
  <si>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</si>
  <si>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</si>
  <si>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</si>
  <si>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</si>
  <si>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</si>
  <si>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</si>
  <si>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</si>
  <si>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</si>
  <si>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</si>
  <si>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</si>
  <si>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</si>
  <si>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</si>
  <si>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</si>
  <si>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</si>
  <si>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</si>
  <si>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</si>
  <si>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</si>
  <si>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</si>
  <si>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</si>
  <si>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</si>
  <si>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</si>
  <si>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</si>
  <si>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</si>
  <si>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</si>
  <si>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</si>
  <si>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</si>
  <si>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</si>
  <si>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</si>
  <si>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</si>
  <si>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</si>
  <si>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</si>
  <si>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</si>
  <si>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</si>
  <si>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</si>
  <si>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</si>
  <si>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</si>
  <si>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</si>
  <si>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</si>
  <si>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</si>
  <si>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</si>
  <si>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</si>
  <si>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</si>
  <si>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</si>
  <si>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</si>
  <si>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</si>
  <si>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</si>
  <si>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</si>
  <si>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</si>
  <si>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</si>
  <si>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</si>
  <si>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</si>
  <si>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</si>
  <si>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</si>
  <si>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</si>
  <si>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</si>
  <si>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</si>
  <si>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</si>
  <si>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</si>
  <si>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</si>
  <si>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</si>
  <si>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</si>
  <si>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</si>
  <si>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</si>
  <si>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</si>
  <si>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</si>
  <si>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</si>
  <si>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</si>
  <si>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</si>
  <si>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</si>
  <si>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</si>
  <si>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</si>
  <si>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</si>
  <si>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</si>
  <si>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</si>
  <si>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</si>
  <si>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</si>
  <si>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</si>
  <si>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</si>
  <si>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</si>
  <si>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</si>
  <si>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</si>
  <si>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</si>
  <si>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</si>
  <si>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</si>
  <si>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</si>
  <si>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</si>
  <si>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</si>
  <si>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</si>
  <si>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</si>
  <si>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</si>
  <si>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</si>
  <si>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</si>
  <si>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</si>
  <si>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</si>
  <si>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</si>
  <si>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</si>
  <si>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</si>
  <si>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</si>
  <si>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</si>
  <si>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</si>
  <si>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</si>
  <si>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</si>
  <si>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</si>
  <si>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</si>
  <si>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</si>
  <si>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</si>
  <si>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</si>
  <si>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</si>
  <si>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</si>
  <si>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</si>
  <si>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</si>
  <si>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</si>
  <si>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</si>
  <si>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</si>
  <si>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</si>
  <si>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</si>
  <si>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</si>
  <si>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</si>
  <si>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</si>
  <si>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</si>
  <si>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</si>
  <si>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</si>
  <si>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</si>
  <si>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</si>
  <si>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</si>
  <si>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</si>
  <si>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</si>
  <si>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</si>
  <si>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</si>
  <si>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</si>
  <si>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</si>
  <si>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</si>
  <si>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</si>
  <si>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</si>
  <si>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</si>
  <si>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</si>
  <si>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</si>
  <si>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</si>
  <si>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</si>
  <si>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</si>
  <si>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</si>
  <si>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</si>
  <si>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</si>
  <si>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</si>
  <si>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</si>
  <si>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</si>
  <si>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</si>
  <si>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</si>
  <si>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</si>
  <si>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</si>
  <si>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</si>
  <si>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</si>
  <si>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</si>
  <si>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</si>
  <si>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</si>
  <si>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</si>
  <si>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</si>
  <si>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</si>
  <si>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</si>
  <si>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</si>
  <si>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</si>
  <si>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</si>
  <si>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</si>
  <si>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</si>
  <si>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</si>
  <si>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</si>
  <si>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</si>
  <si>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</si>
  <si>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</si>
  <si>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</si>
  <si>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</si>
  <si>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</si>
  <si>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</si>
  <si>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</si>
  <si>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</si>
  <si>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</si>
  <si>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</si>
  <si>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</si>
  <si>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</si>
  <si>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</si>
  <si>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</si>
  <si>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</si>
  <si>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</si>
  <si>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</si>
  <si>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</si>
  <si>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</si>
  <si>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</si>
  <si>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</si>
  <si>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</si>
  <si>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</si>
  <si>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</si>
  <si>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</si>
  <si>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</si>
  <si>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</si>
  <si>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</si>
  <si>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</si>
  <si>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</si>
  <si>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</si>
  <si>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</si>
  <si>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</si>
  <si>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</si>
  <si>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</si>
  <si>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</si>
  <si>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</si>
  <si>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</si>
  <si>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</si>
  <si>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</si>
  <si>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</si>
  <si>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</si>
  <si>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</si>
  <si>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</si>
  <si>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</si>
  <si>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</si>
  <si>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</si>
  <si>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</si>
  <si>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</si>
  <si>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</si>
  <si>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</si>
  <si>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</si>
  <si>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</si>
  <si>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</si>
  <si>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</si>
  <si>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</si>
  <si>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</si>
  <si>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</si>
  <si>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</si>
  <si>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</si>
  <si>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</si>
  <si>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</si>
  <si>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</si>
  <si>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</si>
  <si>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</si>
  <si>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</si>
  <si>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</si>
  <si>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</si>
  <si>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</si>
  <si>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</si>
  <si>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</si>
  <si>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</si>
  <si>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</si>
  <si>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</si>
  <si>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</si>
  <si>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</si>
  <si>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</si>
  <si>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</si>
  <si>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</si>
  <si>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</si>
  <si>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</si>
  <si>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</si>
  <si>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</si>
  <si>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</si>
  <si>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</si>
  <si>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</si>
  <si>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</si>
  <si>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</si>
  <si>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</si>
  <si>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</si>
  <si>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</si>
  <si>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</si>
  <si>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</si>
  <si>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</si>
  <si>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</si>
  <si>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</si>
  <si>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</si>
  <si>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</si>
  <si>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</si>
  <si>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</si>
  <si>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</si>
  <si>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</si>
  <si>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</si>
  <si>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</si>
  <si>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</si>
  <si>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</si>
  <si>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</si>
  <si>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</si>
  <si>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</si>
  <si>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</si>
  <si>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</si>
  <si>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</si>
  <si>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</si>
  <si>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</si>
  <si>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</si>
  <si>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</si>
  <si>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</si>
  <si>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</si>
  <si>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</si>
  <si>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</si>
  <si>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</si>
  <si>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</si>
  <si>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</si>
  <si>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</si>
  <si>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</si>
  <si>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</si>
  <si>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</si>
  <si>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</si>
  <si>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</si>
  <si>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</si>
  <si>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</si>
  <si>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</si>
  <si>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</si>
  <si>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</si>
  <si>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</si>
  <si>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</si>
  <si>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</si>
  <si>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</si>
  <si>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</si>
  <si>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</si>
  <si>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</si>
  <si>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</si>
  <si>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</si>
  <si>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</si>
  <si>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</si>
  <si>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</si>
  <si>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</si>
  <si>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</si>
  <si>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</si>
  <si>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</si>
  <si>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</si>
  <si>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</si>
  <si>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</si>
  <si>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</si>
  <si>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</si>
  <si>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</si>
  <si>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</si>
  <si>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</si>
  <si>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</si>
  <si>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</si>
  <si>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</si>
  <si>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</si>
  <si>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</si>
  <si>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</si>
  <si>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</si>
  <si>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</si>
  <si>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</si>
  <si>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</si>
  <si>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</si>
  <si>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</si>
  <si>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</si>
  <si>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</si>
  <si>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</si>
  <si>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</si>
  <si>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</si>
  <si>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</si>
  <si>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</si>
  <si>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</si>
  <si>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</si>
  <si>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</si>
  <si>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</si>
  <si>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</si>
  <si>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</si>
  <si>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</si>
  <si>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</si>
  <si>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</si>
  <si>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</si>
  <si>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</si>
  <si>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</si>
  <si>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</si>
  <si>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</si>
  <si>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</si>
  <si>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</si>
  <si>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</si>
  <si>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</si>
  <si>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</si>
  <si>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</si>
  <si>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</si>
  <si>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</si>
  <si>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</si>
  <si>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</si>
  <si>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</si>
  <si>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</si>
  <si>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</si>
  <si>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</si>
  <si>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</si>
  <si>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</si>
  <si>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</si>
  <si>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</si>
  <si>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</si>
  <si>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</si>
  <si>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</si>
  <si>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</si>
  <si>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</si>
  <si>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</si>
  <si>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</si>
  <si>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</si>
  <si>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</si>
  <si>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</si>
  <si>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</si>
  <si>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</si>
  <si>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</si>
  <si>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</si>
  <si>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</si>
  <si>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</si>
  <si>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</si>
  <si>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</si>
  <si>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</si>
  <si>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</si>
  <si>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</si>
  <si>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</si>
  <si>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</si>
  <si>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</si>
  <si>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</si>
  <si>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</si>
  <si>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</si>
  <si>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</si>
  <si>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</si>
  <si>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</si>
  <si>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</si>
  <si>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</si>
  <si>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</si>
  <si>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</si>
  <si>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</si>
  <si>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</si>
  <si>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</si>
  <si>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</si>
  <si>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</si>
  <si>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</si>
  <si>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</si>
  <si>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</si>
  <si>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</si>
  <si>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</si>
  <si>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</si>
  <si>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</si>
  <si>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</si>
  <si>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</si>
  <si>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</si>
  <si>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</si>
  <si>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</si>
  <si>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</si>
  <si>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</si>
  <si>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</si>
  <si>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</si>
  <si>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</si>
  <si>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</si>
  <si>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</si>
  <si>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</si>
  <si>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</si>
  <si>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</si>
  <si>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</si>
  <si>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</si>
  <si>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</si>
  <si>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</si>
  <si>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</si>
  <si>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</si>
  <si>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</si>
  <si>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</si>
  <si>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</si>
  <si>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</si>
  <si>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</si>
  <si>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</si>
  <si>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</si>
  <si>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</si>
  <si>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</si>
  <si>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</si>
  <si>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</si>
  <si>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</si>
  <si>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</si>
  <si>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</si>
  <si>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</si>
  <si>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</si>
  <si>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</si>
  <si>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</si>
  <si>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</si>
  <si>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</si>
  <si>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</si>
  <si>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</si>
  <si>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</si>
  <si>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</si>
  <si>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</si>
  <si>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</si>
  <si>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</si>
  <si>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</si>
  <si>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</si>
  <si>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</si>
  <si>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</si>
  <si>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</si>
  <si>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</si>
  <si>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</si>
  <si>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</si>
  <si>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</si>
  <si>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</si>
  <si>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</si>
  <si>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</si>
  <si>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</si>
  <si>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</si>
  <si>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</si>
  <si>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</si>
  <si>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</si>
  <si>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</si>
  <si>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</si>
  <si>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</si>
  <si>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</si>
  <si>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</si>
  <si>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</si>
  <si>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</si>
  <si>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</si>
  <si>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</si>
  <si>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</si>
  <si>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</si>
  <si>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</si>
  <si>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</si>
  <si>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</si>
  <si>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</si>
  <si>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</si>
  <si>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</si>
  <si>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</si>
  <si>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</si>
  <si>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</si>
  <si>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</si>
  <si>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</si>
  <si>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</si>
  <si>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</si>
  <si>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</si>
  <si>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</si>
  <si>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</si>
  <si>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</si>
  <si>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</si>
  <si>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</si>
  <si>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</si>
  <si>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</si>
  <si>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</si>
  <si>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</si>
  <si>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</si>
  <si>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</si>
  <si>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</si>
  <si>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</si>
  <si>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</si>
  <si>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</si>
  <si>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</si>
  <si>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</si>
  <si>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</si>
  <si>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</si>
  <si>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</si>
  <si>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</si>
  <si>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</si>
  <si>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</si>
  <si>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</si>
  <si>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</si>
  <si>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</si>
  <si>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</si>
  <si>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</si>
  <si>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</si>
  <si>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</si>
  <si>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</si>
  <si>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</si>
  <si>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</si>
  <si>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</si>
  <si>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</si>
  <si>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</si>
  <si>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</si>
  <si>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</si>
  <si>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</si>
  <si>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</si>
  <si>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</si>
  <si>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</si>
  <si>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</si>
  <si>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</si>
  <si>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</si>
  <si>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</si>
  <si>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</si>
  <si>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</si>
  <si>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</si>
  <si>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</si>
  <si>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</si>
  <si>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</si>
  <si>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</si>
  <si>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</si>
  <si>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</si>
  <si>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</si>
  <si>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</si>
  <si>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</si>
  <si>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</si>
  <si>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</si>
  <si>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</si>
  <si>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</si>
  <si>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</si>
  <si>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</si>
  <si>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</si>
  <si>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</si>
  <si>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</si>
  <si>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</si>
  <si>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</si>
  <si>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</si>
  <si>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</si>
  <si>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</si>
  <si>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</si>
  <si>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</si>
  <si>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</si>
  <si>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</si>
  <si>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</si>
  <si>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</si>
  <si>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</si>
  <si>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</si>
  <si>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</si>
  <si>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</si>
  <si>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</si>
  <si>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</si>
  <si>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</si>
  <si>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</si>
  <si>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</si>
  <si>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</si>
  <si>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</si>
  <si>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</si>
  <si>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</si>
  <si>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</si>
  <si>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</si>
  <si>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</si>
  <si>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</si>
  <si>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</si>
  <si>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</si>
  <si>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</si>
  <si>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</si>
  <si>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</si>
  <si>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</si>
  <si>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</si>
  <si>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</si>
  <si>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</si>
  <si>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</si>
  <si>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</si>
  <si>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</si>
  <si>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</si>
  <si>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</si>
  <si>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</si>
  <si>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</si>
  <si>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</si>
  <si>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</si>
  <si>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</si>
  <si>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</si>
  <si>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</si>
  <si>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</si>
  <si>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</si>
  <si>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</si>
  <si>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</si>
  <si>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</si>
  <si>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</si>
  <si>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</si>
  <si>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</si>
  <si>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</si>
  <si>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</si>
  <si>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</si>
  <si>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</si>
  <si>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</si>
  <si>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</si>
  <si>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</si>
  <si>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</si>
  <si>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</si>
  <si>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</si>
  <si>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</si>
  <si>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</si>
  <si>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</si>
  <si>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</si>
  <si>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</si>
  <si>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</si>
  <si>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</si>
  <si>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</si>
  <si>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</si>
  <si>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</si>
  <si>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</si>
  <si>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</si>
  <si>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</si>
  <si>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</si>
  <si>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</si>
  <si>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</si>
  <si>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</si>
  <si>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</si>
  <si>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</si>
  <si>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</si>
  <si>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</si>
  <si>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</si>
  <si>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</si>
  <si>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</si>
  <si>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</si>
  <si>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</si>
  <si>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</si>
  <si>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</si>
  <si>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</si>
  <si>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</si>
  <si>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</si>
  <si>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</si>
  <si>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</si>
  <si>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</si>
  <si>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</si>
  <si>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</si>
  <si>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</si>
  <si>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</si>
  <si>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</si>
  <si>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</si>
  <si>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</si>
  <si>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</si>
  <si>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</si>
  <si>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</si>
  <si>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</si>
  <si>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</si>
  <si>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</si>
  <si>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</si>
  <si>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</si>
  <si>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</si>
  <si>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</si>
  <si>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</si>
  <si>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</si>
  <si>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</si>
  <si>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</si>
  <si>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</si>
  <si>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</si>
  <si>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</si>
  <si>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</si>
  <si>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</si>
  <si>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</si>
  <si>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</si>
  <si>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</si>
  <si>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</si>
  <si>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</si>
  <si>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</si>
  <si>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</si>
  <si>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</si>
  <si>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</si>
  <si>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</si>
  <si>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</si>
  <si>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</si>
  <si>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</si>
  <si>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</si>
  <si>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</si>
  <si>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</si>
  <si>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</si>
  <si>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</si>
  <si>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</si>
  <si>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</si>
  <si>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</si>
  <si>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</si>
  <si>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</si>
  <si>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</si>
  <si>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</si>
  <si>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</si>
  <si>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</si>
  <si>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</si>
  <si>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</si>
  <si>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</si>
  <si>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</si>
  <si>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</si>
  <si>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</si>
  <si>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</si>
  <si>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</si>
  <si>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</si>
  <si>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</si>
  <si>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</si>
  <si>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</si>
  <si>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</si>
  <si>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</si>
  <si>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</si>
  <si>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</si>
  <si>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</si>
  <si>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</si>
  <si>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</si>
  <si>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</si>
  <si>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</si>
  <si>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</si>
  <si>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</si>
  <si>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</si>
  <si>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</si>
  <si>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</si>
  <si>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</si>
  <si>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</si>
  <si>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</si>
  <si>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</si>
  <si>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</si>
  <si>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</si>
  <si>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</si>
  <si>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</si>
  <si>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</si>
  <si>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</si>
  <si>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</si>
  <si>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</si>
  <si>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</si>
  <si>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</si>
  <si>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</si>
  <si>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</si>
  <si>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</si>
  <si>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</si>
  <si>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</si>
  <si>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</si>
  <si>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</si>
  <si>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</si>
  <si>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</si>
  <si>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</si>
  <si>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</si>
  <si>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</si>
  <si>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</si>
  <si>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</si>
  <si>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</si>
  <si>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</si>
  <si>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</si>
  <si>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</si>
  <si>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</si>
  <si>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</si>
  <si>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</si>
  <si>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</si>
  <si>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</si>
  <si>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</si>
  <si>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</si>
  <si>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</si>
  <si>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</si>
  <si>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</si>
  <si>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</si>
  <si>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</si>
  <si>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</si>
  <si>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</si>
  <si>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</si>
  <si>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</si>
  <si>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</si>
  <si>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</si>
  <si>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</si>
  <si>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</si>
  <si>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</si>
  <si>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</si>
  <si>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</si>
  <si>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</si>
  <si>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</si>
  <si>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</si>
  <si>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</si>
  <si>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</si>
  <si>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</si>
  <si>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</si>
  <si>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</si>
  <si>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</si>
  <si>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</si>
  <si>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</si>
  <si>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</si>
  <si>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</si>
  <si>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</si>
  <si>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</si>
  <si>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</si>
  <si>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</si>
  <si>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</si>
  <si>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</si>
  <si>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</si>
  <si>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</si>
  <si>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</si>
  <si>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</si>
  <si>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</si>
  <si>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</si>
  <si>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</si>
  <si>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</si>
  <si>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</si>
  <si>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</si>
  <si>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</si>
  <si>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</si>
  <si>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</si>
  <si>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</si>
  <si>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</si>
  <si>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</si>
  <si>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</si>
  <si>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</si>
  <si>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</si>
  <si>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</si>
  <si>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</si>
  <si>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</si>
  <si>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</si>
  <si>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</si>
  <si>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</si>
  <si>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</si>
  <si>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</si>
  <si>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</si>
  <si>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</si>
  <si>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</si>
  <si>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</si>
  <si>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</si>
  <si>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</si>
  <si>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</si>
  <si>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</si>
  <si>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</si>
  <si>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</si>
  <si>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</si>
  <si>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</si>
  <si>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</si>
  <si>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</si>
  <si>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</si>
  <si>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</si>
  <si>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</si>
  <si>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</si>
  <si>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</si>
  <si>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</si>
  <si>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</si>
  <si>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</si>
  <si>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</si>
  <si>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</si>
  <si>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</si>
  <si>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</si>
  <si>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</si>
  <si>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</si>
  <si>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</si>
  <si>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</si>
  <si>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</si>
  <si>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</si>
  <si>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</si>
  <si>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</si>
  <si>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</si>
  <si>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</si>
  <si>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</si>
  <si>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</si>
  <si>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</si>
  <si>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</si>
  <si>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</si>
  <si>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</si>
  <si>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</si>
  <si>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</si>
  <si>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</si>
  <si>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</si>
  <si>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</si>
  <si>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</si>
  <si>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</si>
  <si>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</si>
  <si>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</si>
  <si>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</si>
  <si>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</si>
  <si>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</si>
  <si>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</si>
  <si>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</si>
  <si>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</si>
  <si>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</si>
  <si>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</si>
  <si>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</si>
  <si>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</si>
  <si>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</si>
  <si>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</si>
  <si>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</si>
  <si>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</si>
  <si>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</si>
  <si>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</si>
  <si>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</si>
  <si>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</si>
  <si>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</si>
  <si>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</si>
  <si>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</si>
  <si>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</si>
  <si>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</si>
  <si>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</si>
  <si>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</si>
  <si>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</si>
  <si>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</si>
  <si>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</si>
  <si>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</si>
  <si>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</si>
  <si>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</si>
  <si>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</si>
  <si>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</si>
  <si>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</si>
  <si>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</si>
  <si>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</si>
  <si>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</si>
  <si>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</si>
  <si>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</si>
  <si>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</si>
  <si>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</si>
  <si>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</si>
  <si>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</si>
  <si>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</si>
  <si>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</si>
  <si>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</si>
  <si>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</si>
  <si>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</si>
  <si>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</si>
  <si>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</si>
  <si>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</si>
  <si>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</si>
  <si>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</si>
  <si>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</si>
  <si>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</si>
  <si>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</si>
  <si>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</si>
  <si>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</si>
  <si>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</si>
  <si>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</si>
  <si>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</si>
  <si>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</si>
  <si>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</si>
  <si>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</si>
  <si>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</si>
  <si>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</si>
  <si>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</si>
  <si>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</si>
  <si>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</si>
  <si>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</si>
  <si>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</si>
  <si>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</si>
  <si>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</si>
  <si>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</si>
  <si>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</si>
  <si>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</si>
  <si>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</si>
  <si>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</si>
  <si>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</si>
  <si>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</si>
  <si>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</si>
  <si>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</si>
  <si>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</si>
  <si>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</si>
  <si>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</si>
  <si>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</si>
  <si>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</si>
  <si>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</si>
  <si>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</si>
  <si>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</si>
  <si>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</si>
  <si>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</si>
  <si>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</si>
  <si>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</si>
  <si>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</si>
  <si>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</si>
  <si>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</si>
  <si>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</si>
  <si>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</si>
  <si>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</si>
  <si>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</si>
  <si>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</si>
  <si>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</si>
  <si>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</si>
  <si>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</si>
  <si>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</si>
  <si>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</si>
  <si>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</si>
  <si>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</si>
  <si>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</si>
  <si>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</si>
  <si>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</si>
  <si>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</si>
  <si>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</si>
  <si>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</si>
  <si>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</si>
  <si>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</si>
  <si>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</si>
  <si>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</si>
  <si>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</si>
  <si>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</si>
  <si>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</si>
  <si>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</si>
  <si>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</si>
  <si>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</si>
  <si>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</si>
  <si>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</si>
  <si>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</si>
  <si>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</si>
  <si>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</si>
  <si>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</si>
  <si>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</si>
  <si>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</si>
  <si>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</si>
  <si>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</si>
  <si>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</si>
  <si>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</si>
  <si>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</si>
  <si>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</si>
  <si>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</si>
  <si>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</si>
  <si>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</si>
  <si>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</si>
  <si>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</si>
  <si>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</si>
  <si>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</si>
  <si>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</si>
  <si>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</si>
  <si>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</si>
  <si>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</si>
  <si>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</si>
  <si>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</si>
  <si>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</si>
  <si>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</si>
  <si>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</si>
  <si>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</si>
  <si>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</si>
  <si>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</si>
  <si>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</si>
  <si>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</si>
  <si>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</si>
  <si>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</si>
  <si>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</si>
  <si>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</si>
  <si>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</si>
  <si>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</si>
  <si>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</si>
  <si>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</si>
  <si>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</si>
  <si>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</si>
  <si>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</si>
  <si>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</si>
  <si>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</si>
  <si>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</si>
  <si>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</si>
  <si>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</si>
  <si>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</si>
  <si>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</si>
  <si>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</si>
  <si>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</si>
  <si>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</si>
  <si>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</si>
  <si>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</si>
  <si>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</si>
  <si>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</si>
  <si>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</si>
  <si>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</si>
  <si>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</si>
  <si>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</si>
  <si>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</si>
  <si>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</si>
  <si>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</si>
  <si>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</si>
  <si>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</si>
  <si>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</si>
  <si>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</si>
  <si>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</si>
  <si>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</si>
  <si>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</si>
  <si>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</si>
  <si>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</si>
  <si>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</si>
  <si>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</si>
  <si>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</si>
  <si>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</si>
  <si>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</si>
  <si>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</si>
  <si>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</si>
  <si>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</si>
  <si>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</si>
  <si>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</si>
  <si>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</si>
  <si>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</si>
  <si>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</si>
  <si>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</si>
  <si>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</si>
  <si>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</si>
  <si>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</si>
  <si>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</si>
  <si>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</si>
  <si>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</si>
  <si>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</si>
  <si>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</si>
  <si>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</si>
  <si>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</si>
  <si>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</si>
  <si>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</si>
  <si>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</si>
  <si>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</si>
  <si>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</si>
  <si>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</si>
  <si>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</si>
  <si>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</si>
  <si>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</si>
  <si>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</si>
  <si>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</si>
  <si>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</si>
  <si>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</si>
  <si>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</si>
  <si>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</si>
  <si>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</si>
  <si>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</si>
  <si>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</si>
  <si>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</si>
  <si>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</si>
  <si>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</si>
  <si>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</si>
  <si>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</si>
  <si>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</si>
  <si>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</si>
  <si>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</si>
  <si>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</si>
  <si>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</si>
  <si>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</si>
  <si>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</si>
  <si>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</si>
  <si>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</si>
  <si>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</si>
  <si>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</si>
  <si>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</si>
  <si>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</si>
  <si>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</si>
  <si>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</si>
  <si>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</si>
  <si>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</si>
  <si>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</si>
  <si>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</si>
  <si>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</si>
  <si>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</si>
  <si>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</si>
  <si>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</si>
  <si>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</si>
  <si>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</si>
  <si>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</si>
  <si>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</si>
  <si>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</si>
  <si>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</si>
  <si>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</si>
  <si>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</si>
  <si>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</si>
  <si>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</si>
  <si>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</si>
  <si>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</si>
  <si>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</si>
  <si>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</si>
  <si>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</si>
  <si>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</si>
  <si>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</si>
  <si>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</si>
  <si>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</si>
  <si>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</si>
  <si>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</si>
  <si>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</si>
  <si>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</si>
  <si>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</si>
  <si>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</si>
  <si>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</si>
  <si>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</si>
  <si>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</si>
  <si>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</si>
  <si>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</si>
  <si>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</si>
  <si>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</si>
  <si>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</si>
  <si>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</si>
  <si>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</si>
  <si>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</si>
  <si>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</si>
  <si>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</si>
  <si>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</si>
  <si>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</si>
  <si>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</si>
  <si>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</si>
  <si>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</si>
  <si>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</si>
  <si>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</si>
  <si>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</si>
  <si>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</si>
  <si>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</si>
  <si>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</si>
  <si>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</si>
  <si>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</si>
  <si>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</si>
  <si>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</si>
  <si>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</si>
  <si>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</si>
  <si>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</si>
  <si>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</si>
  <si>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</si>
  <si>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</si>
  <si>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</si>
  <si>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</si>
  <si>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</si>
  <si>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</si>
  <si>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</si>
  <si>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</si>
  <si>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</si>
  <si>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</si>
  <si>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</si>
  <si>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</si>
  <si>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</si>
  <si>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</si>
  <si>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</si>
  <si>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</si>
  <si>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</si>
  <si>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</si>
  <si>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</si>
  <si>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</si>
  <si>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</si>
  <si>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403 East 3rd Street</t>
  </si>
  <si>
    <t>Sterling</t>
  </si>
  <si>
    <t>IL</t>
  </si>
  <si>
    <t>815-626-1277</t>
  </si>
  <si>
    <t>815-626-9118</t>
  </si>
  <si>
    <t>066-004023</t>
  </si>
  <si>
    <t>mschueler@wipfli.com</t>
  </si>
  <si>
    <t>x</t>
  </si>
  <si>
    <t>Stephenson</t>
  </si>
  <si>
    <t>400 Campus Drive</t>
  </si>
  <si>
    <t xml:space="preserve">Dakota  </t>
  </si>
  <si>
    <t>815-449-2832</t>
  </si>
  <si>
    <t>815-449-2459</t>
  </si>
  <si>
    <t>Matthew Schueler</t>
  </si>
  <si>
    <t>2011 General Obligation Bonds</t>
  </si>
  <si>
    <t>2016 General Obligation Bonds</t>
  </si>
  <si>
    <t>2017 General Obligation Bonds</t>
  </si>
  <si>
    <t>Jason Grey</t>
  </si>
  <si>
    <t>none</t>
  </si>
  <si>
    <t>n/a</t>
  </si>
  <si>
    <t>Blackhawk Co-op</t>
  </si>
  <si>
    <t>Northwest Special Education Co-op</t>
  </si>
  <si>
    <t>Career Tech</t>
  </si>
  <si>
    <t>8. IMRF lien for corporate replacement taxes was not met in the current year; 23. Qualified for general fixed asset account group not maintaining detailed cost information and adverse for not adopting GASB 34</t>
  </si>
  <si>
    <t>see pdf on attachment worksheet</t>
  </si>
  <si>
    <t>Dakota CUSD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</si>
</sst>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cellStyleXfs>
  <cellXfs count="249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7"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7000000}"/>
    <cellStyle name="Normal 3 2 3" xfId="20" xr:uid="{00000000-0005-0000-0000-000006000000}"/>
    <cellStyle name="Normal 3 3" xfId="19" xr:uid="{00000000-0005-0000-0000-000005000000}"/>
    <cellStyle name="Normal 4" xfId="16" xr:uid="{00000000-0005-0000-0000-000008000000}"/>
    <cellStyle name="Normal 4 2" xfId="21" xr:uid="{00000000-0005-0000-0000-000008000000}"/>
    <cellStyle name="Normal 5" xfId="17" xr:uid="{00000000-0005-0000-0000-000009000000}"/>
    <cellStyle name="Normal 5 2" xfId="22"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155864</xdr:colOff>
          <xdr:row>0</xdr:row>
          <xdr:rowOff>0</xdr:rowOff>
        </xdr:from>
        <xdr:to>
          <xdr:col>13</xdr:col>
          <xdr:colOff>521278</xdr:colOff>
          <xdr:row>43</xdr:row>
          <xdr:rowOff>104775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B48"/>
  <sheetViews>
    <sheetView showGridLines="0" tabSelected="1" topLeftCell="A4"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7" t="s">
        <v>405</v>
      </c>
      <c r="J1" s="1988"/>
      <c r="K1" s="1988"/>
      <c r="L1" s="1988"/>
      <c r="M1" s="1988"/>
      <c r="N1" s="1988"/>
      <c r="O1" s="1988"/>
      <c r="P1" s="1988"/>
      <c r="Q1" s="1988"/>
      <c r="R1" s="1988"/>
      <c r="S1" s="1988"/>
    </row>
    <row r="2" spans="1:28" ht="12" customHeight="1" x14ac:dyDescent="0.2">
      <c r="A2" s="47" t="s">
        <v>1993</v>
      </c>
      <c r="D2" s="48"/>
      <c r="I2" s="1989" t="s">
        <v>979</v>
      </c>
      <c r="J2" s="1988"/>
      <c r="K2" s="1988"/>
      <c r="L2" s="1988"/>
      <c r="M2" s="1988"/>
      <c r="N2" s="1988"/>
      <c r="O2" s="1988"/>
      <c r="P2" s="1988"/>
      <c r="Q2" s="1988"/>
      <c r="R2" s="1988"/>
      <c r="S2" s="1988"/>
    </row>
    <row r="3" spans="1:28" ht="12" customHeight="1" x14ac:dyDescent="0.2">
      <c r="A3" s="155" t="s">
        <v>1945</v>
      </c>
      <c r="B3" s="156"/>
      <c r="C3" s="156"/>
      <c r="D3" s="157"/>
      <c r="I3" s="1989" t="s">
        <v>52</v>
      </c>
      <c r="J3" s="1988"/>
      <c r="K3" s="1988"/>
      <c r="L3" s="1988"/>
      <c r="M3" s="1988"/>
      <c r="N3" s="1988"/>
      <c r="O3" s="1988"/>
      <c r="P3" s="1988"/>
      <c r="Q3" s="1988"/>
      <c r="R3" s="1988"/>
      <c r="S3" s="1988"/>
    </row>
    <row r="4" spans="1:28" ht="12" customHeight="1" x14ac:dyDescent="0.2">
      <c r="A4" s="37"/>
      <c r="I4" s="1989" t="s">
        <v>524</v>
      </c>
      <c r="J4" s="1988"/>
      <c r="K4" s="1988"/>
      <c r="L4" s="1988"/>
      <c r="M4" s="1988"/>
      <c r="N4" s="1988"/>
      <c r="O4" s="1988"/>
      <c r="P4" s="1988"/>
      <c r="Q4" s="1988"/>
      <c r="R4" s="1988"/>
      <c r="S4" s="1988"/>
    </row>
    <row r="5" spans="1:28" ht="14.1" customHeight="1" x14ac:dyDescent="0.2">
      <c r="B5" s="104" t="s">
        <v>2072</v>
      </c>
      <c r="C5" s="26" t="s">
        <v>910</v>
      </c>
      <c r="D5" s="84"/>
      <c r="E5" s="84"/>
      <c r="H5" s="38"/>
      <c r="I5" s="1997" t="s">
        <v>680</v>
      </c>
      <c r="J5" s="1996"/>
      <c r="K5" s="1996"/>
      <c r="L5" s="1996"/>
      <c r="M5" s="1996"/>
      <c r="N5" s="1996"/>
      <c r="O5" s="1996"/>
      <c r="P5" s="1996"/>
      <c r="Q5" s="1996"/>
      <c r="R5" s="1996"/>
      <c r="S5" s="1996"/>
    </row>
    <row r="6" spans="1:28" ht="14.1" customHeight="1" x14ac:dyDescent="0.2">
      <c r="B6" s="104"/>
      <c r="C6" s="26" t="s">
        <v>911</v>
      </c>
      <c r="D6" s="84"/>
      <c r="E6" s="84"/>
      <c r="I6" s="1995" t="s">
        <v>883</v>
      </c>
      <c r="J6" s="1996"/>
      <c r="K6" s="1996"/>
      <c r="L6" s="1996"/>
      <c r="M6" s="1996"/>
      <c r="N6" s="1996"/>
      <c r="O6" s="1996"/>
      <c r="P6" s="1996"/>
      <c r="Q6" s="1996"/>
      <c r="R6" s="1996"/>
      <c r="S6" s="1996"/>
    </row>
    <row r="7" spans="1:28" ht="12.2" customHeight="1" x14ac:dyDescent="0.2">
      <c r="I7" s="1990">
        <v>43646</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674</v>
      </c>
      <c r="J9" s="1993"/>
      <c r="K9" s="1993"/>
      <c r="L9" s="1993"/>
      <c r="M9" s="1993"/>
      <c r="N9" s="1993"/>
      <c r="O9" s="1993"/>
      <c r="P9" s="1993"/>
      <c r="Q9" s="1993"/>
      <c r="R9" s="1993"/>
      <c r="S9" s="1994"/>
      <c r="T9" s="2008" t="s">
        <v>533</v>
      </c>
      <c r="U9" s="2009"/>
      <c r="V9" s="2009"/>
      <c r="W9" s="2009"/>
      <c r="X9" s="2009"/>
      <c r="Y9" s="2009"/>
      <c r="Z9" s="2009"/>
      <c r="AA9" s="2010"/>
    </row>
    <row r="10" spans="1:28" ht="13.5" customHeight="1" x14ac:dyDescent="0.2">
      <c r="A10" s="2015" t="s">
        <v>675</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955</v>
      </c>
      <c r="B11" s="2019"/>
      <c r="C11" s="2019"/>
      <c r="D11" s="2019"/>
      <c r="E11" s="2019"/>
      <c r="F11" s="2019"/>
      <c r="G11" s="2019"/>
      <c r="H11" s="2020"/>
      <c r="I11" s="27"/>
      <c r="J11" s="74"/>
      <c r="K11" s="27"/>
      <c r="O11" s="148" t="s">
        <v>2072</v>
      </c>
      <c r="P11" s="100" t="s">
        <v>201</v>
      </c>
      <c r="Q11" s="30"/>
      <c r="R11" s="28"/>
      <c r="S11" s="27"/>
      <c r="T11" s="2012"/>
      <c r="U11" s="2013"/>
      <c r="V11" s="2013"/>
      <c r="W11" s="2013"/>
      <c r="X11" s="2013"/>
      <c r="Y11" s="2013"/>
      <c r="Z11" s="2013"/>
      <c r="AA11" s="201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2">
        <v>8089201026</v>
      </c>
      <c r="B13" s="2023"/>
      <c r="C13" s="2023"/>
      <c r="D13" s="2023"/>
      <c r="E13" s="2023"/>
      <c r="F13" s="2023"/>
      <c r="G13" s="2023"/>
      <c r="H13" s="2024"/>
      <c r="I13" s="31"/>
      <c r="J13" s="30"/>
      <c r="K13" s="28"/>
      <c r="L13" s="30"/>
      <c r="M13" s="30"/>
      <c r="N13" s="30"/>
      <c r="O13" s="30"/>
      <c r="P13" s="30"/>
      <c r="Q13" s="30"/>
      <c r="R13" s="30"/>
      <c r="S13" s="30"/>
      <c r="T13" s="2027" t="s">
        <v>2064</v>
      </c>
      <c r="U13" s="2028"/>
      <c r="V13" s="2028"/>
      <c r="W13" s="2028"/>
      <c r="X13" s="2028"/>
      <c r="Y13" s="2029"/>
      <c r="Z13" s="2029"/>
      <c r="AA13" s="203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1" t="s">
        <v>2073</v>
      </c>
      <c r="B15" s="2025"/>
      <c r="C15" s="2025"/>
      <c r="D15" s="2025"/>
      <c r="E15" s="2025"/>
      <c r="F15" s="2025"/>
      <c r="G15" s="2025"/>
      <c r="H15" s="2026"/>
      <c r="T15" s="2031" t="s">
        <v>2078</v>
      </c>
      <c r="U15" s="1975"/>
      <c r="V15" s="1975"/>
      <c r="W15" s="1975"/>
      <c r="X15" s="1975"/>
      <c r="Y15" s="2032"/>
      <c r="Z15" s="2032"/>
      <c r="AA15" s="203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1" t="s">
        <v>2090</v>
      </c>
      <c r="B17" s="1982"/>
      <c r="C17" s="1982"/>
      <c r="D17" s="1982"/>
      <c r="E17" s="1982"/>
      <c r="F17" s="1982"/>
      <c r="G17" s="1982"/>
      <c r="H17" s="2007"/>
      <c r="T17" s="2038" t="s">
        <v>2065</v>
      </c>
      <c r="U17" s="2039"/>
      <c r="V17" s="2039"/>
      <c r="W17" s="2039"/>
      <c r="X17" s="2039"/>
      <c r="Y17" s="2039"/>
      <c r="Z17" s="2039"/>
      <c r="AA17" s="2040"/>
    </row>
    <row r="18" spans="1:27" ht="13.5" customHeight="1" x14ac:dyDescent="0.2">
      <c r="A18" s="85" t="s">
        <v>530</v>
      </c>
      <c r="B18" s="76"/>
      <c r="C18" s="72"/>
      <c r="D18" s="76"/>
      <c r="E18" s="76"/>
      <c r="F18" s="76"/>
      <c r="G18" s="76"/>
      <c r="H18" s="56"/>
      <c r="I18" s="2006" t="s">
        <v>676</v>
      </c>
      <c r="J18" s="1957"/>
      <c r="K18" s="1957"/>
      <c r="L18" s="1957"/>
      <c r="M18" s="1957"/>
      <c r="N18" s="1957"/>
      <c r="O18" s="1957"/>
      <c r="P18" s="1957"/>
      <c r="Q18" s="1957"/>
      <c r="R18" s="1957"/>
      <c r="S18" s="1958"/>
      <c r="T18" s="85" t="s">
        <v>711</v>
      </c>
      <c r="U18" s="51"/>
      <c r="V18" s="72"/>
      <c r="W18" s="50"/>
      <c r="X18" s="85" t="s">
        <v>266</v>
      </c>
      <c r="Y18" s="81"/>
      <c r="Z18" s="159" t="s">
        <v>677</v>
      </c>
      <c r="AA18" s="46"/>
    </row>
    <row r="19" spans="1:27" ht="13.5" customHeight="1" x14ac:dyDescent="0.2">
      <c r="A19" s="2021" t="s">
        <v>2074</v>
      </c>
      <c r="B19" s="1967"/>
      <c r="C19" s="1967"/>
      <c r="D19" s="1967"/>
      <c r="E19" s="1967"/>
      <c r="F19" s="1967"/>
      <c r="G19" s="1967"/>
      <c r="H19" s="1947"/>
      <c r="I19" s="30"/>
      <c r="J19" s="99"/>
      <c r="K19" s="40"/>
      <c r="L19" s="38"/>
      <c r="M19" s="112" t="s">
        <v>315</v>
      </c>
      <c r="P19" s="27"/>
      <c r="Q19" s="27"/>
      <c r="R19" s="27"/>
      <c r="S19" s="31"/>
      <c r="T19" s="2021" t="s">
        <v>2066</v>
      </c>
      <c r="U19" s="1946"/>
      <c r="V19" s="1946"/>
      <c r="W19" s="1947"/>
      <c r="X19" s="2036" t="s">
        <v>2067</v>
      </c>
      <c r="Y19" s="2037"/>
      <c r="Z19" s="2034">
        <v>61081</v>
      </c>
      <c r="AA19" s="203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5" t="s">
        <v>2075</v>
      </c>
      <c r="B21" s="1946"/>
      <c r="C21" s="1946"/>
      <c r="D21" s="1946"/>
      <c r="E21" s="1946"/>
      <c r="F21" s="1946"/>
      <c r="G21" s="1946"/>
      <c r="H21" s="1947"/>
      <c r="I21" s="2001" t="s">
        <v>678</v>
      </c>
      <c r="J21" s="1996"/>
      <c r="K21" s="1996"/>
      <c r="L21" s="1996"/>
      <c r="M21" s="1996"/>
      <c r="N21" s="1996"/>
      <c r="O21" s="1996"/>
      <c r="P21" s="1996"/>
      <c r="Q21" s="1996"/>
      <c r="R21" s="1996"/>
      <c r="S21" s="2002"/>
      <c r="T21" s="2045" t="s">
        <v>2068</v>
      </c>
      <c r="U21" s="2046"/>
      <c r="V21" s="2046"/>
      <c r="W21" s="2046"/>
      <c r="X21" s="2051" t="s">
        <v>2069</v>
      </c>
      <c r="Y21" s="2052"/>
      <c r="Z21" s="2052"/>
      <c r="AA21" s="2053"/>
    </row>
    <row r="22" spans="1:27" ht="13.5" customHeight="1" x14ac:dyDescent="0.2">
      <c r="A22" s="87" t="s">
        <v>531</v>
      </c>
      <c r="B22" s="59"/>
      <c r="C22" s="59"/>
      <c r="D22" s="59"/>
      <c r="E22" s="59"/>
      <c r="F22" s="59"/>
      <c r="G22" s="59"/>
      <c r="H22" s="60"/>
      <c r="I22" s="2003" t="s">
        <v>1429</v>
      </c>
      <c r="J22" s="2004"/>
      <c r="K22" s="2004"/>
      <c r="L22" s="2004"/>
      <c r="M22" s="2004"/>
      <c r="N22" s="2004"/>
      <c r="O22" s="2004"/>
      <c r="P22" s="2004"/>
      <c r="Q22" s="2004"/>
      <c r="R22" s="2004"/>
      <c r="S22" s="2005"/>
      <c r="T22" s="85" t="s">
        <v>1516</v>
      </c>
      <c r="U22" s="51"/>
      <c r="V22" s="72"/>
      <c r="W22" s="51"/>
      <c r="X22" s="160" t="s">
        <v>1318</v>
      </c>
      <c r="Z22" s="45"/>
      <c r="AA22" s="46"/>
    </row>
    <row r="23" spans="1:27" ht="13.5" customHeight="1" x14ac:dyDescent="0.2">
      <c r="A23" s="1998"/>
      <c r="B23" s="1999"/>
      <c r="C23" s="1999"/>
      <c r="D23" s="1999"/>
      <c r="E23" s="1999"/>
      <c r="F23" s="1999"/>
      <c r="G23" s="1999"/>
      <c r="H23" s="2000"/>
      <c r="T23" s="1981" t="s">
        <v>2070</v>
      </c>
      <c r="U23" s="2044"/>
      <c r="V23" s="2044"/>
      <c r="W23" s="2044"/>
      <c r="X23" s="2048">
        <v>44530</v>
      </c>
      <c r="Y23" s="2049"/>
      <c r="Z23" s="2049"/>
      <c r="AA23" s="2050"/>
    </row>
    <row r="24" spans="1:27" ht="14.1" customHeight="1" x14ac:dyDescent="0.2">
      <c r="A24" s="88" t="s">
        <v>677</v>
      </c>
      <c r="B24" s="49"/>
      <c r="C24" s="49"/>
      <c r="D24" s="49"/>
      <c r="E24" s="49"/>
      <c r="F24" s="49"/>
      <c r="G24" s="49"/>
      <c r="H24" s="61"/>
      <c r="J24" s="1968">
        <f>IF(B5="x",IF(AUDITCHECK!D29="AFR form Incomplete.","",IF(AUDITCHECK!D29="Deficit reduction plan is required.","School District must complete a deficit reduction plan in the 2019-2020 Budget",)),"")</f>
        <v>0</v>
      </c>
      <c r="K24" s="1968"/>
      <c r="L24" s="1968"/>
      <c r="M24" s="1968"/>
      <c r="N24" s="1968"/>
      <c r="O24" s="1968"/>
      <c r="P24" s="1968"/>
      <c r="Q24" s="1968"/>
      <c r="R24" s="1968"/>
      <c r="S24" s="1969"/>
      <c r="T24" s="105" t="s">
        <v>531</v>
      </c>
      <c r="U24" s="106"/>
      <c r="V24" s="106"/>
      <c r="W24" s="106"/>
      <c r="X24" s="107"/>
      <c r="Y24" s="107"/>
      <c r="Z24" s="107"/>
      <c r="AA24" s="108"/>
    </row>
    <row r="25" spans="1:27" ht="14.1" customHeight="1" x14ac:dyDescent="0.2">
      <c r="A25" s="1945">
        <v>61018</v>
      </c>
      <c r="B25" s="1946"/>
      <c r="C25" s="1946"/>
      <c r="D25" s="1946"/>
      <c r="E25" s="1946"/>
      <c r="F25" s="1946"/>
      <c r="G25" s="1946"/>
      <c r="H25" s="1947"/>
      <c r="I25" s="113"/>
      <c r="J25" s="1970"/>
      <c r="K25" s="1970"/>
      <c r="L25" s="1970"/>
      <c r="M25" s="1970"/>
      <c r="N25" s="1970"/>
      <c r="O25" s="1970"/>
      <c r="P25" s="1970"/>
      <c r="Q25" s="1970"/>
      <c r="R25" s="1970"/>
      <c r="S25" s="1971"/>
      <c r="T25" s="2041" t="s">
        <v>2071</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6" t="s">
        <v>1511</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2072</v>
      </c>
      <c r="C29" s="124" t="s">
        <v>820</v>
      </c>
      <c r="D29" s="114"/>
      <c r="E29" s="136"/>
      <c r="F29" s="141" t="s">
        <v>1316</v>
      </c>
      <c r="G29" s="114"/>
      <c r="I29" s="54"/>
      <c r="J29" s="102"/>
      <c r="K29" s="28" t="s">
        <v>576</v>
      </c>
      <c r="L29" s="148" t="s">
        <v>2072</v>
      </c>
      <c r="M29" s="40" t="s">
        <v>99</v>
      </c>
      <c r="N29" s="32" t="s">
        <v>1523</v>
      </c>
      <c r="O29" s="32"/>
      <c r="P29" s="32"/>
      <c r="Q29" s="32"/>
      <c r="R29" s="32"/>
      <c r="S29" s="123"/>
      <c r="T29" s="6"/>
      <c r="U29" s="6"/>
      <c r="V29" s="6"/>
      <c r="W29" s="6"/>
      <c r="X29" s="6"/>
      <c r="Y29" s="6"/>
      <c r="Z29" s="6"/>
      <c r="AA29" s="132"/>
    </row>
    <row r="30" spans="1:27" ht="13.5" customHeight="1" x14ac:dyDescent="0.2">
      <c r="A30" s="153"/>
      <c r="B30" s="136" t="s">
        <v>2072</v>
      </c>
      <c r="C30" s="124" t="s">
        <v>1164</v>
      </c>
      <c r="D30" s="28"/>
      <c r="E30" s="28"/>
      <c r="F30" s="140"/>
      <c r="G30" s="114"/>
      <c r="H30" s="114"/>
      <c r="I30" s="54"/>
      <c r="J30" s="102"/>
      <c r="K30" s="28" t="s">
        <v>576</v>
      </c>
      <c r="L30" s="148" t="s">
        <v>2072</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2072</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1" t="s">
        <v>2082</v>
      </c>
      <c r="B38" s="1982"/>
      <c r="C38" s="1982"/>
      <c r="D38" s="1982"/>
      <c r="E38" s="1982"/>
      <c r="F38" s="1946"/>
      <c r="G38" s="1946"/>
      <c r="H38" s="1947"/>
      <c r="I38" s="1974"/>
      <c r="J38" s="1975"/>
      <c r="K38" s="1975"/>
      <c r="L38" s="1975"/>
      <c r="M38" s="1975"/>
      <c r="N38" s="1975"/>
      <c r="O38" s="1975"/>
      <c r="P38" s="1976"/>
      <c r="Q38" s="1976"/>
      <c r="R38" s="1976"/>
      <c r="S38" s="1977"/>
      <c r="T38" s="2031"/>
      <c r="U38" s="1975"/>
      <c r="V38" s="1975"/>
      <c r="W38" s="1975"/>
      <c r="X38" s="1976"/>
      <c r="Y38" s="1976"/>
      <c r="Z38" s="1976"/>
      <c r="AA38" s="1977"/>
    </row>
    <row r="39" spans="1:27" ht="12" customHeight="1" x14ac:dyDescent="0.2">
      <c r="A39" s="1951" t="s">
        <v>531</v>
      </c>
      <c r="B39" s="1952"/>
      <c r="C39" s="72"/>
      <c r="D39" s="69"/>
      <c r="E39" s="69"/>
      <c r="F39" s="79"/>
      <c r="G39" s="69"/>
      <c r="H39" s="56"/>
      <c r="I39" s="1951" t="s">
        <v>531</v>
      </c>
      <c r="J39" s="1952"/>
      <c r="K39" s="1952"/>
      <c r="L39" s="1952"/>
      <c r="M39" s="1952"/>
      <c r="N39" s="67"/>
      <c r="O39" s="72"/>
      <c r="P39" s="72"/>
      <c r="Q39" s="78"/>
      <c r="R39" s="72"/>
      <c r="S39" s="56"/>
      <c r="T39" s="72" t="s">
        <v>531</v>
      </c>
      <c r="U39" s="51"/>
      <c r="V39" s="72"/>
      <c r="W39" s="50"/>
      <c r="X39" s="78"/>
      <c r="Y39" s="45"/>
      <c r="Z39" s="45"/>
      <c r="AA39" s="46"/>
    </row>
    <row r="40" spans="1:27" ht="13.5" customHeight="1" x14ac:dyDescent="0.2">
      <c r="A40" s="1959"/>
      <c r="B40" s="1960"/>
      <c r="C40" s="1961"/>
      <c r="D40" s="1961"/>
      <c r="E40" s="1961"/>
      <c r="F40" s="1962"/>
      <c r="G40" s="1962"/>
      <c r="H40" s="1963"/>
      <c r="I40" s="1984"/>
      <c r="J40" s="1985"/>
      <c r="K40" s="1985"/>
      <c r="L40" s="1985"/>
      <c r="M40" s="1985"/>
      <c r="N40" s="1985"/>
      <c r="O40" s="1985"/>
      <c r="P40" s="1985"/>
      <c r="Q40" s="1985"/>
      <c r="R40" s="1985"/>
      <c r="S40" s="1986"/>
      <c r="T40" s="1984"/>
      <c r="U40" s="2047"/>
      <c r="V40" s="1985"/>
      <c r="W40" s="1985"/>
      <c r="X40" s="1985"/>
      <c r="Y40" s="1985"/>
      <c r="Z40" s="1985"/>
      <c r="AA40" s="198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3" t="s">
        <v>2076</v>
      </c>
      <c r="B42" s="1965"/>
      <c r="C42" s="1966"/>
      <c r="D42" s="1964" t="s">
        <v>2077</v>
      </c>
      <c r="E42" s="1965"/>
      <c r="F42" s="1965"/>
      <c r="G42" s="1965"/>
      <c r="H42" s="1966"/>
      <c r="I42" s="1948"/>
      <c r="J42" s="1949"/>
      <c r="K42" s="1949"/>
      <c r="L42" s="1949"/>
      <c r="M42" s="1949"/>
      <c r="N42" s="1949"/>
      <c r="O42" s="1950"/>
      <c r="P42" s="1983"/>
      <c r="Q42" s="1949"/>
      <c r="R42" s="1949"/>
      <c r="S42" s="1950"/>
      <c r="T42" s="1948"/>
      <c r="U42" s="1949"/>
      <c r="V42" s="1949"/>
      <c r="W42" s="1950"/>
      <c r="X42" s="1983"/>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B14" sqref="B1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1802</v>
      </c>
      <c r="B2" s="1528" t="s">
        <v>1951</v>
      </c>
      <c r="C2" s="714" t="s">
        <v>1952</v>
      </c>
      <c r="D2" s="714" t="s">
        <v>1953</v>
      </c>
      <c r="E2" s="714" t="s">
        <v>1954</v>
      </c>
      <c r="F2" s="714" t="s">
        <v>1955</v>
      </c>
    </row>
    <row r="3" spans="1:6" ht="12" customHeight="1" x14ac:dyDescent="0.2">
      <c r="A3" s="2188"/>
      <c r="B3" s="1525"/>
      <c r="C3" s="1526"/>
      <c r="D3" s="1527" t="s">
        <v>256</v>
      </c>
      <c r="E3" s="1526"/>
      <c r="F3" s="1527" t="s">
        <v>257</v>
      </c>
    </row>
    <row r="4" spans="1:6" ht="13.7" customHeight="1" x14ac:dyDescent="0.2">
      <c r="A4" s="715" t="s">
        <v>1155</v>
      </c>
      <c r="B4" s="1749">
        <f>'Revenues 9-14'!C5</f>
        <v>4531822</v>
      </c>
      <c r="C4" s="1524"/>
      <c r="D4" s="1752">
        <f>B4-C4</f>
        <v>4531822</v>
      </c>
      <c r="E4" s="1524">
        <v>4581284</v>
      </c>
      <c r="F4" s="1752">
        <f>E4-C4</f>
        <v>4581284</v>
      </c>
    </row>
    <row r="5" spans="1:6" ht="13.7" customHeight="1" x14ac:dyDescent="0.2">
      <c r="A5" s="715" t="s">
        <v>870</v>
      </c>
      <c r="B5" s="1750">
        <f>'Revenues 9-14'!D5</f>
        <v>562732</v>
      </c>
      <c r="C5" s="585"/>
      <c r="D5" s="1753">
        <f t="shared" ref="D5:D18" si="0">B5-C5</f>
        <v>562732</v>
      </c>
      <c r="E5" s="585">
        <v>556802</v>
      </c>
      <c r="F5" s="1753">
        <f>E5-C5</f>
        <v>556802</v>
      </c>
    </row>
    <row r="6" spans="1:6" ht="13.7" customHeight="1" x14ac:dyDescent="0.2">
      <c r="A6" s="715" t="s">
        <v>411</v>
      </c>
      <c r="B6" s="1750">
        <f>'Revenues 9-14'!E5</f>
        <v>319676</v>
      </c>
      <c r="C6" s="585"/>
      <c r="D6" s="1753">
        <f t="shared" si="0"/>
        <v>319676</v>
      </c>
      <c r="E6" s="585">
        <v>308822</v>
      </c>
      <c r="F6" s="1753">
        <f t="shared" ref="F6:F18" si="1">E6-C6</f>
        <v>308822</v>
      </c>
    </row>
    <row r="7" spans="1:6" ht="13.7" customHeight="1" x14ac:dyDescent="0.2">
      <c r="A7" s="715" t="s">
        <v>155</v>
      </c>
      <c r="B7" s="1750">
        <f>'Revenues 9-14'!F5</f>
        <v>200983</v>
      </c>
      <c r="C7" s="585"/>
      <c r="D7" s="1753">
        <f t="shared" si="0"/>
        <v>200983</v>
      </c>
      <c r="E7" s="585">
        <v>202328</v>
      </c>
      <c r="F7" s="1753">
        <f t="shared" si="1"/>
        <v>202328</v>
      </c>
    </row>
    <row r="8" spans="1:6" ht="13.7" customHeight="1" x14ac:dyDescent="0.2">
      <c r="A8" s="715" t="s">
        <v>1179</v>
      </c>
      <c r="B8" s="1750">
        <f>'Revenues 9-14'!G5</f>
        <v>120593</v>
      </c>
      <c r="C8" s="585"/>
      <c r="D8" s="1753">
        <f t="shared" si="0"/>
        <v>120593</v>
      </c>
      <c r="E8" s="585">
        <v>96981</v>
      </c>
      <c r="F8" s="1753">
        <f t="shared" si="1"/>
        <v>96981</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50255</v>
      </c>
      <c r="C10" s="585"/>
      <c r="D10" s="1753">
        <f t="shared" si="0"/>
        <v>50255</v>
      </c>
      <c r="E10" s="585">
        <v>50603</v>
      </c>
      <c r="F10" s="1753">
        <f t="shared" si="1"/>
        <v>50603</v>
      </c>
    </row>
    <row r="11" spans="1:6" x14ac:dyDescent="0.2">
      <c r="A11" s="715" t="s">
        <v>409</v>
      </c>
      <c r="B11" s="1750">
        <f>'Revenues 9-14'!J5</f>
        <v>90987</v>
      </c>
      <c r="C11" s="585"/>
      <c r="D11" s="1753">
        <f t="shared" si="0"/>
        <v>90987</v>
      </c>
      <c r="E11" s="585">
        <v>91609</v>
      </c>
      <c r="F11" s="1753">
        <f t="shared" si="1"/>
        <v>91609</v>
      </c>
    </row>
    <row r="12" spans="1:6" ht="13.7" customHeight="1" x14ac:dyDescent="0.2">
      <c r="A12" s="715" t="s">
        <v>157</v>
      </c>
      <c r="B12" s="1750">
        <f>'Revenues 9-14'!K5</f>
        <v>1020</v>
      </c>
      <c r="C12" s="585"/>
      <c r="D12" s="1753">
        <f t="shared" si="0"/>
        <v>1020</v>
      </c>
      <c r="E12" s="585">
        <v>48469</v>
      </c>
      <c r="F12" s="1753">
        <f t="shared" si="1"/>
        <v>48469</v>
      </c>
    </row>
    <row r="13" spans="1:6" ht="13.7" customHeight="1" x14ac:dyDescent="0.2">
      <c r="A13" s="715" t="s">
        <v>936</v>
      </c>
      <c r="B13" s="1750">
        <f>SUM('Revenues 9-14'!C6:D6)</f>
        <v>51749</v>
      </c>
      <c r="C13" s="585"/>
      <c r="D13" s="1753">
        <f t="shared" si="0"/>
        <v>51749</v>
      </c>
      <c r="E13" s="585">
        <v>52106</v>
      </c>
      <c r="F13" s="1753">
        <f t="shared" si="1"/>
        <v>52106</v>
      </c>
    </row>
    <row r="14" spans="1:6" ht="13.7" customHeight="1" x14ac:dyDescent="0.2">
      <c r="A14" s="715" t="s">
        <v>410</v>
      </c>
      <c r="B14" s="1750">
        <f>SUM('Revenues 9-14'!C7:D7,'Revenues 9-14'!F7:H7)</f>
        <v>51749</v>
      </c>
      <c r="C14" s="585"/>
      <c r="D14" s="1753">
        <f t="shared" si="0"/>
        <v>51749</v>
      </c>
      <c r="E14" s="585">
        <v>52106</v>
      </c>
      <c r="F14" s="1753">
        <f t="shared" si="1"/>
        <v>52106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165820</v>
      </c>
      <c r="C16" s="585"/>
      <c r="D16" s="1753">
        <f t="shared" si="0"/>
        <v>165820</v>
      </c>
      <c r="E16" s="585">
        <v>133215</v>
      </c>
      <c r="F16" s="1753">
        <f t="shared" si="1"/>
        <v>133215</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6147386</v>
      </c>
      <c r="C19" s="1751">
        <f>SUM(C4:C18)</f>
        <v>0</v>
      </c>
      <c r="D19" s="1751">
        <f>SUM(D4:D18)</f>
        <v>6147386</v>
      </c>
      <c r="E19" s="1751">
        <f>SUM(E4:E18)</f>
        <v>6174325</v>
      </c>
      <c r="F19" s="1751">
        <f>SUM(F4:F18)</f>
        <v>6174325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7"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629</v>
      </c>
      <c r="B1" s="2207"/>
      <c r="C1" s="721"/>
    </row>
    <row r="2" spans="1:7" ht="33.75" x14ac:dyDescent="0.2">
      <c r="A2" s="2214" t="s">
        <v>1802</v>
      </c>
      <c r="B2" s="2215"/>
      <c r="C2" s="1884" t="s">
        <v>1956</v>
      </c>
      <c r="D2" s="723" t="s">
        <v>1957</v>
      </c>
      <c r="E2" s="723" t="s">
        <v>1958</v>
      </c>
      <c r="F2" s="1884" t="s">
        <v>1959</v>
      </c>
    </row>
    <row r="3" spans="1:7" ht="15.75" customHeight="1" x14ac:dyDescent="0.2">
      <c r="A3" s="2216" t="s">
        <v>1114</v>
      </c>
      <c r="B3" s="2217"/>
      <c r="C3" s="2210"/>
      <c r="D3" s="2211"/>
      <c r="E3" s="2211"/>
      <c r="F3" s="2212"/>
    </row>
    <row r="4" spans="1:7" ht="12.75" customHeight="1" thickBot="1" x14ac:dyDescent="0.25">
      <c r="A4" s="2204" t="s">
        <v>630</v>
      </c>
      <c r="B4" s="2205"/>
      <c r="C4" s="581"/>
      <c r="D4" s="581"/>
      <c r="E4" s="581"/>
      <c r="F4" s="1755">
        <f>SUM(C4+D4)-E4</f>
        <v>0</v>
      </c>
    </row>
    <row r="5" spans="1:7" ht="15.75" customHeight="1" thickTop="1" x14ac:dyDescent="0.2">
      <c r="A5" s="2208" t="s">
        <v>1110</v>
      </c>
      <c r="B5" s="2203"/>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0" t="s">
        <v>631</v>
      </c>
      <c r="B15" s="2201"/>
      <c r="C15" s="1755">
        <f>SUM(C6:C14)</f>
        <v>0</v>
      </c>
      <c r="D15" s="1755">
        <f>SUM(D6:D14)</f>
        <v>0</v>
      </c>
      <c r="E15" s="1755">
        <f>SUM(E6:E14)</f>
        <v>0</v>
      </c>
      <c r="F15" s="1755">
        <f>SUM(F6:F14)</f>
        <v>0</v>
      </c>
      <c r="G15" s="552"/>
    </row>
    <row r="16" spans="1:7" s="202" customFormat="1" ht="15.75" customHeight="1" thickTop="1" x14ac:dyDescent="0.2">
      <c r="A16" s="2213" t="s">
        <v>1111</v>
      </c>
      <c r="B16" s="2203"/>
      <c r="C16" s="2197"/>
      <c r="D16" s="2198"/>
      <c r="E16" s="2198"/>
      <c r="F16" s="2199"/>
    </row>
    <row r="17" spans="1:11" ht="12.75" customHeight="1" thickBot="1" x14ac:dyDescent="0.25">
      <c r="A17" s="2195" t="s">
        <v>64</v>
      </c>
      <c r="B17" s="2196"/>
      <c r="C17" s="726"/>
      <c r="D17" s="585"/>
      <c r="E17" s="726"/>
      <c r="F17" s="1755">
        <f>SUM(C17+D17)-E17</f>
        <v>0</v>
      </c>
    </row>
    <row r="18" spans="1:11" ht="12.75" customHeight="1" thickTop="1" thickBot="1" x14ac:dyDescent="0.25">
      <c r="A18" s="2195" t="s">
        <v>6</v>
      </c>
      <c r="B18" s="2196"/>
      <c r="C18" s="726"/>
      <c r="D18" s="585"/>
      <c r="E18" s="726"/>
      <c r="F18" s="1755">
        <f>SUM(C18+D18)-E18</f>
        <v>0</v>
      </c>
    </row>
    <row r="19" spans="1:11" ht="12.75" customHeight="1" thickTop="1" thickBot="1" x14ac:dyDescent="0.25">
      <c r="A19" s="2195" t="s">
        <v>388</v>
      </c>
      <c r="B19" s="2196"/>
      <c r="C19" s="726"/>
      <c r="D19" s="585"/>
      <c r="E19" s="726"/>
      <c r="F19" s="1755">
        <f>SUM(C19+D19)-E19</f>
        <v>0</v>
      </c>
    </row>
    <row r="20" spans="1:11" ht="12.75" customHeight="1" thickTop="1" thickBot="1" x14ac:dyDescent="0.25">
      <c r="A20" s="2195" t="s">
        <v>448</v>
      </c>
      <c r="B20" s="2196"/>
      <c r="C20" s="726"/>
      <c r="D20" s="585"/>
      <c r="E20" s="726"/>
      <c r="F20" s="1755">
        <f>SUM(C20+D20)-E20</f>
        <v>0</v>
      </c>
    </row>
    <row r="21" spans="1:11" ht="14.25" thickTop="1" thickBot="1" x14ac:dyDescent="0.25">
      <c r="A21" s="2200" t="s">
        <v>632</v>
      </c>
      <c r="B21" s="2201"/>
      <c r="C21" s="1755">
        <f>SUM(C17:C20)</f>
        <v>0</v>
      </c>
      <c r="D21" s="1755">
        <f>SUM(D17:D20)</f>
        <v>0</v>
      </c>
      <c r="E21" s="1755">
        <f>SUM(E17:E20)</f>
        <v>0</v>
      </c>
      <c r="F21" s="1755">
        <f>SUM(F17:F20)</f>
        <v>0</v>
      </c>
      <c r="G21" s="552"/>
    </row>
    <row r="22" spans="1:11" ht="15.75" customHeight="1" thickTop="1" x14ac:dyDescent="0.2">
      <c r="A22" s="2202" t="s">
        <v>1112</v>
      </c>
      <c r="B22" s="2203"/>
      <c r="C22" s="2197"/>
      <c r="D22" s="2198"/>
      <c r="E22" s="2198"/>
      <c r="F22" s="2199"/>
    </row>
    <row r="23" spans="1:11" ht="13.5" thickBot="1" x14ac:dyDescent="0.25">
      <c r="A23" s="2204" t="s">
        <v>633</v>
      </c>
      <c r="B23" s="2205"/>
      <c r="C23" s="581"/>
      <c r="D23" s="581"/>
      <c r="E23" s="581"/>
      <c r="F23" s="1755">
        <f>SUM(C23+D23)-E23</f>
        <v>0</v>
      </c>
      <c r="G23" s="552"/>
    </row>
    <row r="24" spans="1:11" ht="15.75" customHeight="1" thickTop="1" x14ac:dyDescent="0.2">
      <c r="A24" s="2202" t="s">
        <v>1113</v>
      </c>
      <c r="B24" s="2203"/>
      <c r="C24" s="2197"/>
      <c r="D24" s="2198"/>
      <c r="E24" s="2198"/>
      <c r="F24" s="2199"/>
    </row>
    <row r="25" spans="1:11" ht="13.5" thickBot="1" x14ac:dyDescent="0.25">
      <c r="A25" s="2204" t="s">
        <v>634</v>
      </c>
      <c r="B25" s="2205"/>
      <c r="C25" s="581"/>
      <c r="D25" s="581"/>
      <c r="E25" s="581"/>
      <c r="F25" s="1755">
        <f>SUM(C25+D25)-E25</f>
        <v>0</v>
      </c>
      <c r="G25" s="552"/>
    </row>
    <row r="26" spans="1:11" ht="15.75" customHeight="1" thickTop="1" x14ac:dyDescent="0.2">
      <c r="A26" s="2208" t="s">
        <v>657</v>
      </c>
      <c r="B26" s="2203"/>
      <c r="C26" s="727"/>
      <c r="D26" s="727"/>
      <c r="E26" s="727"/>
      <c r="F26" s="728"/>
    </row>
    <row r="27" spans="1:11" ht="13.5" thickBot="1" x14ac:dyDescent="0.25">
      <c r="A27" s="2200" t="s">
        <v>1070</v>
      </c>
      <c r="B27" s="2201"/>
      <c r="C27" s="585"/>
      <c r="D27" s="585"/>
      <c r="E27" s="585"/>
      <c r="F27" s="1755">
        <f>SUM(C27+D27)-E27</f>
        <v>0</v>
      </c>
      <c r="G27" s="552"/>
    </row>
    <row r="28" spans="1:11" ht="7.5" customHeight="1" thickTop="1" x14ac:dyDescent="0.2">
      <c r="A28" s="593"/>
    </row>
    <row r="29" spans="1:11" ht="23.25" customHeight="1" x14ac:dyDescent="0.2">
      <c r="A29" s="2206" t="s">
        <v>582</v>
      </c>
      <c r="B29" s="2207"/>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1938" t="s">
        <v>2079</v>
      </c>
      <c r="B31" s="1939">
        <v>40689</v>
      </c>
      <c r="C31" s="1940">
        <v>1458000</v>
      </c>
      <c r="D31" s="1941">
        <v>4</v>
      </c>
      <c r="E31" s="734">
        <v>943000</v>
      </c>
      <c r="F31" s="734"/>
      <c r="G31" s="734"/>
      <c r="H31" s="734">
        <v>190000</v>
      </c>
      <c r="I31" s="1756">
        <f>((E31+F31)-H31)+G31</f>
        <v>753000</v>
      </c>
      <c r="J31" s="734">
        <v>728835</v>
      </c>
      <c r="K31" s="736"/>
    </row>
    <row r="32" spans="1:11" ht="12" customHeight="1" x14ac:dyDescent="0.2">
      <c r="A32" s="1938" t="s">
        <v>2080</v>
      </c>
      <c r="B32" s="1939">
        <v>42416</v>
      </c>
      <c r="C32" s="1940">
        <v>2035400</v>
      </c>
      <c r="D32" s="1941">
        <v>3</v>
      </c>
      <c r="E32" s="734">
        <v>1808800</v>
      </c>
      <c r="F32" s="734"/>
      <c r="G32" s="734"/>
      <c r="H32" s="734">
        <v>258300</v>
      </c>
      <c r="I32" s="1756">
        <f>((E32+F32)-H32)+G32</f>
        <v>1550500</v>
      </c>
      <c r="J32" s="734">
        <v>1550500</v>
      </c>
      <c r="K32" s="736"/>
    </row>
    <row r="33" spans="1:11" ht="12" customHeight="1" x14ac:dyDescent="0.2">
      <c r="A33" s="1938" t="s">
        <v>2081</v>
      </c>
      <c r="B33" s="1939">
        <v>42950</v>
      </c>
      <c r="C33" s="1940">
        <v>7489600</v>
      </c>
      <c r="D33" s="1941">
        <v>6</v>
      </c>
      <c r="E33" s="734">
        <v>7489600</v>
      </c>
      <c r="F33" s="734"/>
      <c r="G33" s="734"/>
      <c r="H33" s="734"/>
      <c r="I33" s="1756">
        <f t="shared" ref="I33:I48" si="1">((E33+F33)-H33)+G33</f>
        <v>7489600</v>
      </c>
      <c r="J33" s="734">
        <v>7489600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10983000</v>
      </c>
      <c r="D49" s="745"/>
      <c r="E49" s="1756">
        <f t="shared" ref="E49:J49" si="2">SUM(E31:E48)</f>
        <v>10241400</v>
      </c>
      <c r="F49" s="1756">
        <f t="shared" si="2"/>
        <v>0</v>
      </c>
      <c r="G49" s="1756">
        <f t="shared" si="2"/>
        <v>0</v>
      </c>
      <c r="H49" s="1756">
        <f t="shared" si="2"/>
        <v>448300</v>
      </c>
      <c r="I49" s="1756">
        <f t="shared" si="2"/>
        <v>9793100</v>
      </c>
      <c r="J49" s="1756">
        <f t="shared" si="2"/>
        <v>9768935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9" t="s">
        <v>584</v>
      </c>
      <c r="C52" s="2190"/>
      <c r="D52" s="2190"/>
      <c r="E52" s="749" t="s">
        <v>845</v>
      </c>
      <c r="F52" s="2191"/>
      <c r="G52" s="2192"/>
      <c r="H52" s="736"/>
      <c r="I52" s="736"/>
      <c r="J52" s="746"/>
    </row>
    <row r="53" spans="1:11" ht="11.25" customHeight="1" x14ac:dyDescent="0.2">
      <c r="A53" s="750" t="s">
        <v>913</v>
      </c>
      <c r="B53" s="751" t="s">
        <v>951</v>
      </c>
      <c r="C53" s="746"/>
      <c r="D53" s="737"/>
      <c r="E53" s="749" t="s">
        <v>497</v>
      </c>
      <c r="F53" s="2193"/>
      <c r="G53" s="2194"/>
      <c r="H53" s="736"/>
      <c r="I53" s="736"/>
      <c r="J53" s="746"/>
    </row>
    <row r="54" spans="1:11" ht="11.25" customHeight="1" x14ac:dyDescent="0.2">
      <c r="A54" s="752" t="s">
        <v>914</v>
      </c>
      <c r="B54" s="747" t="s">
        <v>952</v>
      </c>
      <c r="C54" s="746"/>
      <c r="D54" s="737"/>
      <c r="E54" s="749" t="s">
        <v>498</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48"/>
  <sheetViews>
    <sheetView showGridLines="0" defaultGridColor="0" topLeftCell="A16"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856</v>
      </c>
      <c r="B1" s="2219"/>
      <c r="C1" s="2219"/>
      <c r="D1" s="2219"/>
      <c r="E1" s="2219"/>
      <c r="F1" s="2219"/>
      <c r="G1" s="2220"/>
      <c r="H1" s="1530"/>
      <c r="I1" s="760"/>
      <c r="J1" s="433"/>
    </row>
    <row r="2" spans="1:11" ht="26.25" x14ac:dyDescent="0.2">
      <c r="A2" s="2237" t="s">
        <v>1677</v>
      </c>
      <c r="B2" s="2238"/>
      <c r="C2" s="2238"/>
      <c r="D2" s="2238"/>
      <c r="E2" s="2239"/>
      <c r="F2" s="761" t="s">
        <v>904</v>
      </c>
      <c r="G2" s="762" t="s">
        <v>1674</v>
      </c>
      <c r="H2" s="762" t="s">
        <v>410</v>
      </c>
      <c r="I2" s="762" t="s">
        <v>1158</v>
      </c>
      <c r="J2" s="762" t="s">
        <v>1812</v>
      </c>
      <c r="K2" s="762" t="s">
        <v>138</v>
      </c>
    </row>
    <row r="3" spans="1:11" x14ac:dyDescent="0.2">
      <c r="A3" s="2240" t="s">
        <v>1964</v>
      </c>
      <c r="B3" s="2241"/>
      <c r="C3" s="2241"/>
      <c r="D3" s="2241"/>
      <c r="E3" s="2242"/>
      <c r="F3" s="763"/>
      <c r="G3" s="764"/>
      <c r="H3" s="764"/>
      <c r="I3" s="764"/>
      <c r="J3" s="765"/>
      <c r="K3" s="765"/>
    </row>
    <row r="4" spans="1:11" x14ac:dyDescent="0.2">
      <c r="A4" s="2243" t="s">
        <v>369</v>
      </c>
      <c r="B4" s="2244"/>
      <c r="C4" s="2244"/>
      <c r="D4" s="2244"/>
      <c r="E4" s="2190"/>
      <c r="F4" s="766"/>
      <c r="G4" s="767"/>
      <c r="H4" s="768"/>
      <c r="I4" s="767"/>
      <c r="J4" s="769"/>
      <c r="K4" s="769"/>
    </row>
    <row r="5" spans="1:11" x14ac:dyDescent="0.2">
      <c r="A5" s="2221" t="s">
        <v>1069</v>
      </c>
      <c r="B5" s="2222"/>
      <c r="C5" s="2222"/>
      <c r="D5" s="2222"/>
      <c r="E5" s="2223"/>
      <c r="F5" s="770" t="s">
        <v>848</v>
      </c>
      <c r="G5" s="771"/>
      <c r="H5" s="764">
        <v>51749</v>
      </c>
      <c r="I5" s="772"/>
      <c r="J5" s="773"/>
      <c r="K5" s="773"/>
    </row>
    <row r="6" spans="1:11" x14ac:dyDescent="0.2">
      <c r="A6" s="774" t="s">
        <v>720</v>
      </c>
      <c r="B6" s="775"/>
      <c r="C6" s="775"/>
      <c r="D6" s="775"/>
      <c r="E6" s="776"/>
      <c r="F6" s="777" t="s">
        <v>849</v>
      </c>
      <c r="G6" s="764"/>
      <c r="H6" s="764">
        <v>776</v>
      </c>
      <c r="I6" s="764"/>
      <c r="J6" s="765"/>
      <c r="K6" s="765"/>
    </row>
    <row r="7" spans="1:11" x14ac:dyDescent="0.2">
      <c r="A7" s="778" t="s">
        <v>246</v>
      </c>
      <c r="B7" s="779"/>
      <c r="C7" s="779"/>
      <c r="D7" s="779"/>
      <c r="E7" s="780"/>
      <c r="F7" s="770" t="s">
        <v>850</v>
      </c>
      <c r="G7" s="767"/>
      <c r="H7" s="767"/>
      <c r="I7" s="767"/>
      <c r="J7" s="781"/>
      <c r="K7" s="765">
        <v>12200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1" t="s">
        <v>1813</v>
      </c>
      <c r="B10" s="2222"/>
      <c r="C10" s="2222"/>
      <c r="D10" s="2222"/>
      <c r="E10" s="2224"/>
      <c r="F10" s="783" t="s">
        <v>862</v>
      </c>
      <c r="G10" s="782"/>
      <c r="H10" s="784"/>
      <c r="I10" s="764"/>
      <c r="J10" s="765"/>
      <c r="K10" s="765"/>
    </row>
    <row r="11" spans="1:11" x14ac:dyDescent="0.2">
      <c r="A11" s="2221" t="s">
        <v>160</v>
      </c>
      <c r="B11" s="2222"/>
      <c r="C11" s="2222"/>
      <c r="D11" s="2222"/>
      <c r="E11" s="2223"/>
      <c r="F11" s="770" t="s">
        <v>852</v>
      </c>
      <c r="G11" s="771"/>
      <c r="H11" s="764"/>
      <c r="I11" s="764"/>
      <c r="J11" s="765"/>
      <c r="K11" s="773"/>
    </row>
    <row r="12" spans="1:11" ht="13.5" thickBot="1" x14ac:dyDescent="0.25">
      <c r="A12" s="2248" t="s">
        <v>905</v>
      </c>
      <c r="B12" s="2249"/>
      <c r="C12" s="2249"/>
      <c r="D12" s="2249"/>
      <c r="E12" s="2250"/>
      <c r="F12" s="1757"/>
      <c r="G12" s="1758">
        <f>SUM(G5:G11)</f>
        <v>0</v>
      </c>
      <c r="H12" s="1758">
        <f>SUM(H5:H11)</f>
        <v>52525</v>
      </c>
      <c r="I12" s="1758">
        <f>SUM(I5:I11)</f>
        <v>0</v>
      </c>
      <c r="J12" s="1758">
        <f>SUM(J5:J11)</f>
        <v>0</v>
      </c>
      <c r="K12" s="1758">
        <f>SUM(K5:K11)</f>
        <v>12200</v>
      </c>
    </row>
    <row r="13" spans="1:11" ht="13.5" thickTop="1" x14ac:dyDescent="0.2">
      <c r="A13" s="2245" t="s">
        <v>370</v>
      </c>
      <c r="B13" s="2246"/>
      <c r="C13" s="2246"/>
      <c r="D13" s="2246"/>
      <c r="E13" s="2247"/>
      <c r="F13" s="785"/>
      <c r="G13" s="786"/>
      <c r="H13" s="787"/>
      <c r="I13" s="788"/>
      <c r="J13" s="788"/>
      <c r="K13" s="788"/>
    </row>
    <row r="14" spans="1:11" x14ac:dyDescent="0.2">
      <c r="A14" s="2228" t="s">
        <v>456</v>
      </c>
      <c r="B14" s="2228"/>
      <c r="C14" s="2228"/>
      <c r="D14" s="2228"/>
      <c r="E14" s="2229"/>
      <c r="F14" s="789" t="s">
        <v>854</v>
      </c>
      <c r="G14" s="782"/>
      <c r="H14" s="764">
        <v>52525</v>
      </c>
      <c r="I14" s="771"/>
      <c r="J14" s="773"/>
      <c r="K14" s="765">
        <v>12200</v>
      </c>
    </row>
    <row r="15" spans="1:11" x14ac:dyDescent="0.2">
      <c r="A15" s="2222" t="s">
        <v>4</v>
      </c>
      <c r="B15" s="2222"/>
      <c r="C15" s="2222"/>
      <c r="D15" s="2222"/>
      <c r="E15" s="2223"/>
      <c r="F15" s="789" t="s">
        <v>855</v>
      </c>
      <c r="G15" s="771"/>
      <c r="H15" s="764"/>
      <c r="I15" s="764"/>
      <c r="J15" s="765"/>
      <c r="K15" s="765"/>
    </row>
    <row r="16" spans="1:11" x14ac:dyDescent="0.2">
      <c r="A16" s="2222" t="s">
        <v>298</v>
      </c>
      <c r="B16" s="2222"/>
      <c r="C16" s="2222"/>
      <c r="D16" s="2222"/>
      <c r="E16" s="2223"/>
      <c r="F16" s="789" t="s">
        <v>923</v>
      </c>
      <c r="G16" s="772"/>
      <c r="H16" s="767"/>
      <c r="I16" s="767"/>
      <c r="J16" s="769"/>
      <c r="K16" s="769"/>
    </row>
    <row r="17" spans="1:11" x14ac:dyDescent="0.2">
      <c r="A17" s="2253" t="s">
        <v>935</v>
      </c>
      <c r="B17" s="2253"/>
      <c r="C17" s="2253"/>
      <c r="D17" s="2253"/>
      <c r="E17" s="2254"/>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30" t="s">
        <v>1809</v>
      </c>
      <c r="B19" s="2230"/>
      <c r="C19" s="2230"/>
      <c r="D19" s="2230"/>
      <c r="E19" s="2231"/>
      <c r="F19" s="789" t="s">
        <v>933</v>
      </c>
      <c r="G19" s="782"/>
      <c r="H19" s="782"/>
      <c r="I19" s="782"/>
      <c r="J19" s="765"/>
      <c r="K19" s="795"/>
    </row>
    <row r="20" spans="1:11" x14ac:dyDescent="0.2">
      <c r="A20" s="2232" t="s">
        <v>1814</v>
      </c>
      <c r="B20" s="2233"/>
      <c r="C20" s="2233"/>
      <c r="D20" s="2233"/>
      <c r="E20" s="2234"/>
      <c r="F20" s="789" t="s">
        <v>934</v>
      </c>
      <c r="G20" s="782"/>
      <c r="H20" s="782"/>
      <c r="I20" s="782"/>
      <c r="J20" s="765"/>
      <c r="K20" s="795"/>
    </row>
    <row r="21" spans="1:11" ht="13.5" thickBot="1" x14ac:dyDescent="0.25">
      <c r="A21" s="2251" t="s">
        <v>638</v>
      </c>
      <c r="B21" s="2251"/>
      <c r="C21" s="2251"/>
      <c r="D21" s="2251"/>
      <c r="E21" s="2251"/>
      <c r="F21" s="1759"/>
      <c r="G21" s="792"/>
      <c r="H21" s="796"/>
      <c r="I21" s="796"/>
      <c r="J21" s="1760">
        <f>SUM(J18:J20)</f>
        <v>0</v>
      </c>
      <c r="K21" s="793"/>
    </row>
    <row r="22" spans="1:11" ht="13.5" thickTop="1" x14ac:dyDescent="0.2">
      <c r="A22" s="2222" t="s">
        <v>1815</v>
      </c>
      <c r="B22" s="2222"/>
      <c r="C22" s="2222"/>
      <c r="D22" s="2222"/>
      <c r="E22" s="2223"/>
      <c r="F22" s="789" t="s">
        <v>862</v>
      </c>
      <c r="G22" s="782"/>
      <c r="H22" s="764"/>
      <c r="I22" s="764"/>
      <c r="J22" s="797"/>
      <c r="K22" s="765"/>
    </row>
    <row r="23" spans="1:11" ht="13.5" thickBot="1" x14ac:dyDescent="0.25">
      <c r="A23" s="2252" t="s">
        <v>906</v>
      </c>
      <c r="B23" s="2251"/>
      <c r="C23" s="2251"/>
      <c r="D23" s="2251"/>
      <c r="E23" s="2251"/>
      <c r="F23" s="1761"/>
      <c r="G23" s="1758">
        <f>SUM(G14:G16,G21,G22)</f>
        <v>0</v>
      </c>
      <c r="H23" s="1758">
        <f>SUM(H14:H16,H21,H22)</f>
        <v>52525</v>
      </c>
      <c r="I23" s="1758">
        <f>SUM(I14:I16,I21,I22)</f>
        <v>0</v>
      </c>
      <c r="J23" s="1758">
        <f>SUM(J14:J16,J21,J22)</f>
        <v>0</v>
      </c>
      <c r="K23" s="1758">
        <f>SUM(K14:K16,K21,K22)</f>
        <v>12200</v>
      </c>
    </row>
    <row r="24" spans="1:11" ht="14.25" thickTop="1" thickBot="1" x14ac:dyDescent="0.25">
      <c r="A24" s="2252" t="s">
        <v>1965</v>
      </c>
      <c r="B24" s="2251"/>
      <c r="C24" s="2251"/>
      <c r="D24" s="2251"/>
      <c r="E24" s="225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5"/>
      <c r="I31" s="2226"/>
      <c r="J31" s="2226"/>
      <c r="K31" s="2226"/>
    </row>
    <row r="32" spans="1:11" x14ac:dyDescent="0.2">
      <c r="A32" s="809"/>
      <c r="B32" s="237"/>
      <c r="C32" s="237"/>
      <c r="D32" s="237"/>
      <c r="E32" s="805"/>
      <c r="F32" s="811" t="s">
        <v>540</v>
      </c>
      <c r="G32" s="764"/>
      <c r="H32" s="2227"/>
      <c r="I32" s="2226"/>
      <c r="J32" s="2226"/>
      <c r="K32" s="2226"/>
    </row>
    <row r="33" spans="1:11" ht="1.5" customHeight="1" x14ac:dyDescent="0.2">
      <c r="A33" s="812" t="s">
        <v>1169</v>
      </c>
      <c r="B33" s="364"/>
      <c r="C33" s="364"/>
      <c r="D33" s="364"/>
      <c r="E33" s="364"/>
      <c r="F33" s="364"/>
      <c r="G33" s="813"/>
      <c r="H33" s="2227"/>
      <c r="I33" s="2226"/>
      <c r="J33" s="2226"/>
      <c r="K33" s="222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35"/>
      <c r="C41" s="2235"/>
      <c r="D41" s="2235"/>
      <c r="E41" s="2235"/>
      <c r="F41" s="223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0" firstPageNumber="25" orientation="landscape" useFirstPageNumber="1" r:id="rId1"/>
  <headerFooter>
    <oddHeader xml:space="preserve">&amp;C&amp;"Arial,Bold"Schedule of Restricted Local Tax Levies and Selected Revenues Sources 
Schedule of Tort Immunity Expenditures </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9" sqref="I1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1909</v>
      </c>
      <c r="B1" s="2258"/>
      <c r="C1" s="2259"/>
      <c r="D1" s="826"/>
      <c r="E1" s="827"/>
      <c r="F1" s="827"/>
      <c r="G1" s="828"/>
      <c r="H1" s="829"/>
      <c r="I1" s="830"/>
      <c r="J1" s="2255"/>
      <c r="K1" s="2256"/>
      <c r="L1" s="2256"/>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c r="E3" s="835"/>
      <c r="F3" s="1760">
        <f>(C3+D3)-E3</f>
        <v>0</v>
      </c>
      <c r="G3" s="836"/>
      <c r="H3" s="835">
        <v>0</v>
      </c>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17546</v>
      </c>
      <c r="D5" s="841"/>
      <c r="E5" s="841"/>
      <c r="F5" s="1760">
        <f>(C5+D5)-E5</f>
        <v>17546</v>
      </c>
      <c r="G5" s="837"/>
      <c r="H5" s="842"/>
      <c r="I5" s="842"/>
      <c r="J5" s="842"/>
      <c r="K5" s="793"/>
      <c r="L5" s="1769">
        <f>F5-K5</f>
        <v>17546</v>
      </c>
    </row>
    <row r="6" spans="1:14" ht="14.25" thickTop="1" thickBot="1" x14ac:dyDescent="0.25">
      <c r="A6" s="778" t="s">
        <v>1117</v>
      </c>
      <c r="B6" s="840">
        <v>222</v>
      </c>
      <c r="C6" s="765">
        <v>0</v>
      </c>
      <c r="D6" s="765"/>
      <c r="E6" s="765"/>
      <c r="F6" s="1760">
        <f>(C6+D6)-E6</f>
        <v>0</v>
      </c>
      <c r="G6" s="837">
        <v>50</v>
      </c>
      <c r="H6" s="765">
        <v>0</v>
      </c>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23877555</v>
      </c>
      <c r="D8" s="844"/>
      <c r="E8" s="844"/>
      <c r="F8" s="1760">
        <f>(C8+D8)-E8</f>
        <v>23877555</v>
      </c>
      <c r="G8" s="843">
        <v>50</v>
      </c>
      <c r="H8" s="765">
        <v>7203784</v>
      </c>
      <c r="I8" s="765">
        <v>444085</v>
      </c>
      <c r="J8" s="765"/>
      <c r="K8" s="1769">
        <f>(H8+I8)-J8</f>
        <v>7647869</v>
      </c>
      <c r="L8" s="1769">
        <f>F8-K8</f>
        <v>16229686</v>
      </c>
    </row>
    <row r="9" spans="1:14" ht="14.25" thickTop="1" thickBot="1" x14ac:dyDescent="0.25">
      <c r="A9" s="778" t="s">
        <v>1119</v>
      </c>
      <c r="B9" s="840">
        <v>232</v>
      </c>
      <c r="C9" s="765">
        <v>0</v>
      </c>
      <c r="D9" s="765"/>
      <c r="E9" s="765"/>
      <c r="F9" s="1760">
        <f>(C9+D9)-E9</f>
        <v>0</v>
      </c>
      <c r="G9" s="843">
        <v>20</v>
      </c>
      <c r="H9" s="765">
        <v>0</v>
      </c>
      <c r="I9" s="765"/>
      <c r="J9" s="765"/>
      <c r="K9" s="1769">
        <f>(H9+I9)-J9</f>
        <v>0</v>
      </c>
      <c r="L9" s="1769">
        <f>F9-K9</f>
        <v>0</v>
      </c>
    </row>
    <row r="10" spans="1:14" ht="24" thickTop="1" thickBot="1" x14ac:dyDescent="0.25">
      <c r="A10" s="845" t="s">
        <v>1120</v>
      </c>
      <c r="B10" s="840">
        <v>240</v>
      </c>
      <c r="C10" s="846">
        <v>404504</v>
      </c>
      <c r="D10" s="846"/>
      <c r="E10" s="846"/>
      <c r="F10" s="1764">
        <f>(C10+D10)-E10</f>
        <v>404504</v>
      </c>
      <c r="G10" s="843">
        <v>20</v>
      </c>
      <c r="H10" s="847">
        <v>270645</v>
      </c>
      <c r="I10" s="847">
        <v>20230</v>
      </c>
      <c r="J10" s="847"/>
      <c r="K10" s="1769">
        <f>(H10+I10)-J10</f>
        <v>290875</v>
      </c>
      <c r="L10" s="1769">
        <f>F10-K10</f>
        <v>113629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1227494</v>
      </c>
      <c r="D12" s="844">
        <v>160185</v>
      </c>
      <c r="E12" s="844">
        <v>116519</v>
      </c>
      <c r="F12" s="1760">
        <f>(C12+D12)-E12</f>
        <v>1271160</v>
      </c>
      <c r="G12" s="843">
        <v>10</v>
      </c>
      <c r="H12" s="765">
        <v>653662</v>
      </c>
      <c r="I12" s="765">
        <v>112580</v>
      </c>
      <c r="J12" s="765">
        <v>116519</v>
      </c>
      <c r="K12" s="1769">
        <f>(H12+I12)-J12</f>
        <v>649723</v>
      </c>
      <c r="L12" s="1769">
        <f>F12-K12</f>
        <v>621437</v>
      </c>
    </row>
    <row r="13" spans="1:14" ht="14.25" thickTop="1" thickBot="1" x14ac:dyDescent="0.25">
      <c r="A13" s="848" t="s">
        <v>1122</v>
      </c>
      <c r="B13" s="840">
        <v>252</v>
      </c>
      <c r="C13" s="844">
        <v>0</v>
      </c>
      <c r="D13" s="844">
        <v>27236</v>
      </c>
      <c r="E13" s="844"/>
      <c r="F13" s="1760">
        <f>(C13+D13)-E13</f>
        <v>27236</v>
      </c>
      <c r="G13" s="843">
        <v>5</v>
      </c>
      <c r="H13" s="765">
        <v>0</v>
      </c>
      <c r="I13" s="765">
        <v>5447</v>
      </c>
      <c r="J13" s="765"/>
      <c r="K13" s="1769">
        <f>(H13+I13)-J13</f>
        <v>5447</v>
      </c>
      <c r="L13" s="1769">
        <f>F13-K13</f>
        <v>21789</v>
      </c>
    </row>
    <row r="14" spans="1:14" ht="14.25" thickTop="1" thickBot="1" x14ac:dyDescent="0.25">
      <c r="A14" s="848" t="s">
        <v>1123</v>
      </c>
      <c r="B14" s="840">
        <v>253</v>
      </c>
      <c r="C14" s="765">
        <v>0</v>
      </c>
      <c r="D14" s="765"/>
      <c r="E14" s="765"/>
      <c r="F14" s="1760">
        <f>(C14+D14)-E14</f>
        <v>0</v>
      </c>
      <c r="G14" s="843">
        <v>3</v>
      </c>
      <c r="H14" s="765">
        <v>0</v>
      </c>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25527099</v>
      </c>
      <c r="D16" s="1760">
        <f>SUM(D3,D5:D6,D8:D10,D12:D15)</f>
        <v>187421</v>
      </c>
      <c r="E16" s="1760">
        <f>SUM(E3,E5:E6,E8:E10,E12:E15)</f>
        <v>116519</v>
      </c>
      <c r="F16" s="1760">
        <f>SUM(F3,F5:F6,F8:F10,F12:F15)</f>
        <v>25598001</v>
      </c>
      <c r="G16" s="843"/>
      <c r="H16" s="1760">
        <f>SUM(H3,H6,H8:H10,H12:H14,)</f>
        <v>8128091</v>
      </c>
      <c r="I16" s="1760">
        <f>SUM(I3,I6,I8:I10,I12:I14,)</f>
        <v>582342</v>
      </c>
      <c r="J16" s="1760">
        <f>SUM(J3,J6,J8:J10,J12:J14,)</f>
        <v>116519</v>
      </c>
      <c r="K16" s="1760">
        <f>(H16+I16)-J16</f>
        <v>8593914</v>
      </c>
      <c r="L16" s="1760">
        <f>F16-K16</f>
        <v>17004087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582342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48" activePane="bottomLeft" state="frozen"/>
      <selection activeCell="X29" sqref="X29"/>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1975</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7283579</v>
      </c>
      <c r="G8" s="865"/>
    </row>
    <row r="9" spans="1:7" x14ac:dyDescent="0.2">
      <c r="A9" s="869" t="s">
        <v>460</v>
      </c>
      <c r="B9" s="870" t="s">
        <v>1877</v>
      </c>
      <c r="C9" s="871"/>
      <c r="D9" s="869" t="s">
        <v>501</v>
      </c>
      <c r="E9" s="868"/>
      <c r="F9" s="1909">
        <f>'Expenditures 15-22'!K151</f>
        <v>419008</v>
      </c>
      <c r="G9" s="872"/>
    </row>
    <row r="10" spans="1:7" x14ac:dyDescent="0.2">
      <c r="A10" s="869" t="s">
        <v>499</v>
      </c>
      <c r="B10" s="870" t="s">
        <v>1878</v>
      </c>
      <c r="C10" s="871"/>
      <c r="D10" s="869" t="s">
        <v>501</v>
      </c>
      <c r="E10" s="868"/>
      <c r="F10" s="1909">
        <f>'Expenditures 15-22'!K174</f>
        <v>728264</v>
      </c>
      <c r="G10" s="872"/>
    </row>
    <row r="11" spans="1:7" x14ac:dyDescent="0.2">
      <c r="A11" s="869" t="s">
        <v>461</v>
      </c>
      <c r="B11" s="870" t="s">
        <v>1879</v>
      </c>
      <c r="C11" s="871"/>
      <c r="D11" s="869" t="s">
        <v>501</v>
      </c>
      <c r="E11" s="868"/>
      <c r="F11" s="1909">
        <f>'Expenditures 15-22'!K210</f>
        <v>547425</v>
      </c>
      <c r="G11" s="872"/>
    </row>
    <row r="12" spans="1:7" x14ac:dyDescent="0.2">
      <c r="A12" s="869" t="s">
        <v>462</v>
      </c>
      <c r="B12" s="870" t="s">
        <v>1880</v>
      </c>
      <c r="C12" s="871"/>
      <c r="D12" s="869" t="s">
        <v>501</v>
      </c>
      <c r="E12" s="868"/>
      <c r="F12" s="1909">
        <f>'Expenditures 15-22'!K295</f>
        <v>202138</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9180414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146867</v>
      </c>
      <c r="G52" s="865"/>
    </row>
    <row r="53" spans="1:7" x14ac:dyDescent="0.2">
      <c r="A53" s="869" t="s">
        <v>459</v>
      </c>
      <c r="B53" s="869" t="s">
        <v>1475</v>
      </c>
      <c r="C53" s="889">
        <f>'Expenditures 15-22'!B102</f>
        <v>4000</v>
      </c>
      <c r="D53" s="888" t="str">
        <f>'Expenditures 15-22'!A102</f>
        <v>Total Payments to Other Govt Units</v>
      </c>
      <c r="E53" s="868"/>
      <c r="F53" s="1913">
        <f>'Expenditures 15-22'!K102</f>
        <v>300527</v>
      </c>
      <c r="G53" s="865"/>
    </row>
    <row r="54" spans="1:7" x14ac:dyDescent="0.2">
      <c r="A54" s="869" t="s">
        <v>459</v>
      </c>
      <c r="B54" s="869" t="s">
        <v>1476</v>
      </c>
      <c r="C54" s="889" t="s">
        <v>982</v>
      </c>
      <c r="D54" s="885" t="s">
        <v>1095</v>
      </c>
      <c r="E54" s="868"/>
      <c r="F54" s="1913">
        <f>'Expenditures 15-22'!G114</f>
        <v>156235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3950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448300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27236</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24104</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1107219</v>
      </c>
      <c r="G76" s="865"/>
    </row>
    <row r="77" spans="1:8" s="893" customFormat="1" ht="12" customHeight="1" thickTop="1" thickBot="1" x14ac:dyDescent="0.25">
      <c r="A77" s="1779"/>
      <c r="B77" s="1776"/>
      <c r="C77" s="1772"/>
      <c r="D77" s="1777" t="s">
        <v>1900</v>
      </c>
      <c r="E77" s="1774"/>
      <c r="F77" s="1780">
        <f>(F14-F76)</f>
        <v>8073195</v>
      </c>
      <c r="G77" s="869"/>
    </row>
    <row r="78" spans="1:8" s="893" customFormat="1" ht="12" customHeight="1" thickTop="1" x14ac:dyDescent="0.2">
      <c r="A78" s="1781"/>
      <c r="B78" s="1776"/>
      <c r="C78" s="1772"/>
      <c r="D78" s="1777" t="s">
        <v>2062</v>
      </c>
      <c r="E78" s="1774"/>
      <c r="F78" s="898">
        <v>743</v>
      </c>
      <c r="G78" s="899"/>
      <c r="H78" s="869"/>
    </row>
    <row r="79" spans="1:8" s="893" customFormat="1" ht="12" customHeight="1" thickBot="1" x14ac:dyDescent="0.25">
      <c r="A79" s="1782"/>
      <c r="B79" s="1776"/>
      <c r="C79" s="1772"/>
      <c r="D79" s="1777" t="s">
        <v>1901</v>
      </c>
      <c r="E79" s="1774" t="s">
        <v>958</v>
      </c>
      <c r="F79" s="1783">
        <f>IF(F78&gt;0,F77/F78," Complete Line 78")</f>
        <v>10865.672947510095</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946</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40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221761</v>
      </c>
      <c r="G94" s="912"/>
    </row>
    <row r="95" spans="1:7" x14ac:dyDescent="0.2">
      <c r="A95" s="908" t="s">
        <v>140</v>
      </c>
      <c r="B95" s="908" t="s">
        <v>175</v>
      </c>
      <c r="C95" s="910">
        <v>1700</v>
      </c>
      <c r="D95" s="918" t="str">
        <f>'Revenues 9-14'!A82</f>
        <v>Total District/School Activity Income</v>
      </c>
      <c r="E95" s="906"/>
      <c r="F95" s="1789">
        <f>SUM('Revenues 9-14'!C82,'Revenues 9-14'!D82)</f>
        <v>96258</v>
      </c>
      <c r="G95" s="912"/>
    </row>
    <row r="96" spans="1:7" x14ac:dyDescent="0.2">
      <c r="A96" s="908" t="s">
        <v>459</v>
      </c>
      <c r="B96" s="908" t="s">
        <v>176</v>
      </c>
      <c r="C96" s="910">
        <f>'Revenues 9-14'!B84</f>
        <v>1811</v>
      </c>
      <c r="D96" s="911" t="str">
        <f>'Revenues 9-14'!A84</f>
        <v>Rentals - Regular Textbooks</v>
      </c>
      <c r="E96" s="906"/>
      <c r="F96" s="1789">
        <f>'Revenues 9-14'!C84</f>
        <v>40169</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201798</v>
      </c>
      <c r="G104" s="912"/>
    </row>
    <row r="105" spans="1:7" x14ac:dyDescent="0.2">
      <c r="A105" s="908" t="s">
        <v>503</v>
      </c>
      <c r="B105" s="908" t="s">
        <v>2003</v>
      </c>
      <c r="C105" s="913">
        <v>3100</v>
      </c>
      <c r="D105" s="919" t="str">
        <f>'Revenues 9-14'!A132</f>
        <v>Total Special Education</v>
      </c>
      <c r="E105" s="906"/>
      <c r="F105" s="1789">
        <f>SUM('Revenues 9-14'!C132:D132,'Revenues 9-14'!F132)</f>
        <v>49984</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9940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2090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12200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251038</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2365</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130034</v>
      </c>
      <c r="G125" s="930"/>
    </row>
    <row r="126" spans="1:7" x14ac:dyDescent="0.2">
      <c r="A126" s="927" t="s">
        <v>668</v>
      </c>
      <c r="B126" s="927" t="s">
        <v>2024</v>
      </c>
      <c r="C126" s="932">
        <v>4300</v>
      </c>
      <c r="D126" s="933" t="str">
        <f>'Revenues 9-14'!A204</f>
        <v>Total Title I</v>
      </c>
      <c r="E126" s="906"/>
      <c r="F126" s="1789">
        <f>SUM('Revenues 9-14'!C204,'Revenues 9-14'!D204,'Revenues 9-14'!F204,'Revenues 9-14'!G204)</f>
        <v>78338</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10080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190788</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59158</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29561</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38105</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222574</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1647227</v>
      </c>
    </row>
    <row r="175" spans="1:7" ht="12" customHeight="1" x14ac:dyDescent="0.2">
      <c r="A175" s="1770"/>
      <c r="B175" s="1784"/>
      <c r="C175" s="1785"/>
      <c r="D175" s="1786" t="s">
        <v>2057</v>
      </c>
      <c r="E175" s="1787"/>
      <c r="F175" s="1789">
        <f>'PCTC-OEPP 27-28'!F77-F174</f>
        <v>6425968</v>
      </c>
    </row>
    <row r="176" spans="1:7" ht="12" customHeight="1" x14ac:dyDescent="0.2">
      <c r="A176" s="1770"/>
      <c r="B176" s="1784"/>
      <c r="C176" s="1785"/>
      <c r="D176" s="1786" t="s">
        <v>1817</v>
      </c>
      <c r="E176" s="1787"/>
      <c r="F176" s="1789">
        <f>'Cap Outlay Deprec 26'!I18</f>
        <v>582342</v>
      </c>
    </row>
    <row r="177" spans="1:7" ht="12" customHeight="1" x14ac:dyDescent="0.2">
      <c r="A177" s="1770"/>
      <c r="B177" s="1784"/>
      <c r="C177" s="1785"/>
      <c r="D177" s="1786" t="s">
        <v>2058</v>
      </c>
      <c r="E177" s="1787"/>
      <c r="F177" s="1789">
        <f>F175+F176</f>
        <v>7008310</v>
      </c>
    </row>
    <row r="178" spans="1:7" ht="12" customHeight="1" x14ac:dyDescent="0.2">
      <c r="A178" s="1770"/>
      <c r="B178" s="1790"/>
      <c r="C178" s="1785"/>
      <c r="D178" s="1786" t="str">
        <f>D78</f>
        <v>9 Month ADA from District Average Daily Attendance/Prior General State Aid Inquiry 2018-2019</v>
      </c>
      <c r="E178" s="1787"/>
      <c r="F178" s="1791">
        <f>'PCTC-OEPP 27-28'!F78</f>
        <v>743</v>
      </c>
      <c r="G178" s="930"/>
    </row>
    <row r="179" spans="1:7" ht="12" customHeight="1" thickBot="1" x14ac:dyDescent="0.25">
      <c r="A179" s="1770"/>
      <c r="B179" s="1790"/>
      <c r="C179" s="1785"/>
      <c r="D179" s="1786" t="s">
        <v>2059</v>
      </c>
      <c r="E179" s="1787" t="s">
        <v>1545</v>
      </c>
      <c r="F179" s="1792">
        <f>F177/F178</f>
        <v>9432.4495289367424</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 xml:space="preserve">&amp;C </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0" zoomScaleNormal="100" workbookViewId="0">
      <selection activeCell="D19" sqref="D19"/>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534" t="s">
        <v>1819</v>
      </c>
      <c r="B6" s="1535"/>
      <c r="C6" s="1535"/>
      <c r="D6" s="1535"/>
      <c r="E6" s="1535"/>
      <c r="F6" s="1535"/>
      <c r="G6" s="1536"/>
    </row>
    <row r="7" spans="1:7" ht="30.75" customHeight="1" x14ac:dyDescent="0.25">
      <c r="A7" s="2280" t="s">
        <v>1932</v>
      </c>
      <c r="B7" s="2281"/>
      <c r="C7" s="2281"/>
      <c r="D7" s="2281"/>
      <c r="E7" s="2281"/>
      <c r="F7" s="2281"/>
      <c r="G7" s="2282"/>
    </row>
    <row r="8" spans="1:7" ht="15.75" customHeight="1" x14ac:dyDescent="0.25">
      <c r="A8" s="2283" t="s">
        <v>1907</v>
      </c>
      <c r="B8" s="2284"/>
      <c r="C8" s="2284"/>
      <c r="D8" s="2284"/>
      <c r="E8" s="2284"/>
      <c r="F8" s="2284"/>
      <c r="G8" s="2285"/>
    </row>
    <row r="9" spans="1:7" ht="35.25" customHeight="1" x14ac:dyDescent="0.25">
      <c r="A9" s="2280" t="s">
        <v>1935</v>
      </c>
      <c r="B9" s="2281"/>
      <c r="C9" s="2281"/>
      <c r="D9" s="2281"/>
      <c r="E9" s="2281"/>
      <c r="F9" s="2281"/>
      <c r="G9" s="2282"/>
    </row>
    <row r="10" spans="1:7" ht="15" customHeight="1" x14ac:dyDescent="0.25">
      <c r="A10" s="1537" t="s">
        <v>1820</v>
      </c>
      <c r="B10" s="1538"/>
      <c r="C10" s="1538"/>
      <c r="D10" s="1538"/>
      <c r="E10" s="1538"/>
      <c r="F10" s="1538"/>
      <c r="G10" s="1539"/>
    </row>
    <row r="11" spans="1:7" ht="17.25" customHeight="1" x14ac:dyDescent="0.25">
      <c r="A11" s="2280" t="s">
        <v>1934</v>
      </c>
      <c r="B11" s="2281"/>
      <c r="C11" s="2281"/>
      <c r="D11" s="2281"/>
      <c r="E11" s="2281"/>
      <c r="F11" s="2281"/>
      <c r="G11" s="2282"/>
    </row>
    <row r="12" spans="1:7" ht="15" customHeight="1" x14ac:dyDescent="0.25">
      <c r="A12" s="1537" t="s">
        <v>1825</v>
      </c>
      <c r="B12" s="1538"/>
      <c r="C12" s="1538"/>
      <c r="D12" s="1538"/>
      <c r="E12" s="1538"/>
      <c r="F12" s="1538"/>
      <c r="G12" s="1539"/>
    </row>
    <row r="13" spans="1:7" ht="32.25" customHeight="1" x14ac:dyDescent="0.25">
      <c r="A13" s="2271" t="s">
        <v>1976</v>
      </c>
      <c r="B13" s="2272"/>
      <c r="C13" s="2272"/>
      <c r="D13" s="2272"/>
      <c r="E13" s="2272"/>
      <c r="F13" s="2272"/>
      <c r="G13" s="2273"/>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942" t="s">
        <v>2083</v>
      </c>
      <c r="B18" s="1943" t="s">
        <v>2084</v>
      </c>
      <c r="C18" s="1944" t="s">
        <v>2084</v>
      </c>
      <c r="D18" s="1844">
        <v>0</v>
      </c>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2"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I46"/>
  <sheetViews>
    <sheetView showGridLines="0" defaultGridColor="0" topLeftCell="A4"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91" t="s">
        <v>1977</v>
      </c>
      <c r="B11" s="2292"/>
      <c r="C11" s="2292"/>
      <c r="D11" s="2293"/>
      <c r="E11" s="977">
        <v>18535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4298686</v>
      </c>
      <c r="F19" s="1799"/>
      <c r="G19" s="1801">
        <f>'Expenditures 15-22'!K33-SUM('Expenditures 15-22'!G33,'Expenditures 15-22'!I33)+'Expenditures 15-22'!D229</f>
        <v>4298686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234548</v>
      </c>
      <c r="F21" s="1802"/>
      <c r="G21" s="1805">
        <f>'Expenditures 15-22'!K42-SUM('Expenditures 15-22'!G42,'Expenditures 15-22'!I42)+'Expenditures 15-22'!K120-SUM('Expenditures 15-22'!G120,'Expenditures 15-22'!I120)+'Expenditures 15-22'!K180-SUM('Expenditures 15-22'!G180,'Expenditures 15-22'!I180)+'Expenditures 15-22'!D238</f>
        <v>234548</v>
      </c>
      <c r="H21" s="987"/>
      <c r="I21" s="162"/>
    </row>
    <row r="22" spans="1:9" s="668" customFormat="1" ht="12" customHeight="1" x14ac:dyDescent="0.2">
      <c r="A22" s="994" t="s">
        <v>564</v>
      </c>
      <c r="B22" s="995"/>
      <c r="C22" s="993">
        <v>2200</v>
      </c>
      <c r="D22" s="1802"/>
      <c r="E22" s="1804">
        <f>'Expenditures 15-22'!K47-SUM('Expenditures 15-22'!G47,'Expenditures 15-22'!I47)+'Expenditures 15-22'!D243</f>
        <v>359310</v>
      </c>
      <c r="F22" s="1802"/>
      <c r="G22" s="1805">
        <f>'Expenditures 15-22'!K47-SUM('Expenditures 15-22'!G47,'Expenditures 15-22'!I47)+'Expenditures 15-22'!D243</f>
        <v>359310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808950</v>
      </c>
      <c r="F23" s="1802"/>
      <c r="G23" s="1804">
        <f>'Expenditures 15-22'!K53-SUM('Expenditures 15-22'!G53,'Expenditures 15-22'!I53)+'Expenditures 15-22'!D257+'Expenditures 15-22'!K330-SUM('Expenditures 15-22'!G330,'Expenditures 15-22'!I330)</f>
        <v>808950</v>
      </c>
      <c r="H23" s="987"/>
      <c r="I23" s="162"/>
    </row>
    <row r="24" spans="1:9" s="668" customFormat="1" ht="12" customHeight="1" x14ac:dyDescent="0.2">
      <c r="A24" s="994" t="s">
        <v>566</v>
      </c>
      <c r="B24" s="995"/>
      <c r="C24" s="993">
        <v>2400</v>
      </c>
      <c r="D24" s="1802"/>
      <c r="E24" s="1804">
        <f>'Expenditures 15-22'!K57-SUM('Expenditures 15-22'!G57,'Expenditures 15-22'!I57)+'Expenditures 15-22'!D261</f>
        <v>470696</v>
      </c>
      <c r="F24" s="1802"/>
      <c r="G24" s="1805">
        <f>'Expenditures 15-22'!K57-SUM('Expenditures 15-22'!G57,'Expenditures 15-22'!I57)+'Expenditures 15-22'!D261</f>
        <v>470696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85760</v>
      </c>
      <c r="E27" s="1804">
        <f>E8</f>
        <v>0</v>
      </c>
      <c r="F27" s="1804">
        <f>'Expenditures 15-22'!K60-SUM('Expenditures 15-22'!G60,'Expenditures 15-22'!I60)+'Expenditures 15-22'!D264-E8</f>
        <v>85760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635263</v>
      </c>
      <c r="F28" s="1806">
        <f>'Expenditures 15-22'!K61-SUM('Expenditures 15-22'!G61,'Expenditures 15-22'!I61)+'Expenditures 15-22'!K124-SUM('Expenditures 15-22'!G124,'Expenditures 15-22'!I124)+'Expenditures 15-22'!D266-E9</f>
        <v>635263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520189</v>
      </c>
      <c r="F29" s="1802"/>
      <c r="G29" s="1805">
        <f>'Expenditures 15-22'!K62-SUM('Expenditures 15-22'!G62,'Expenditures 15-22'!I62)+'Expenditures 15-22'!K125-SUM('Expenditures 15-22'!G125,'Expenditures 15-22'!I125)+'Expenditures 15-22'!K182-SUM('Expenditures 15-22'!G182,'Expenditures 15-22'!I182)+'Expenditures 15-22'!D267</f>
        <v>520189</v>
      </c>
      <c r="H29" s="985"/>
    </row>
    <row r="30" spans="1:9" ht="12" customHeight="1" x14ac:dyDescent="0.2">
      <c r="A30" s="994" t="s">
        <v>100</v>
      </c>
      <c r="B30" s="997"/>
      <c r="C30" s="993">
        <v>2560</v>
      </c>
      <c r="D30" s="1802"/>
      <c r="E30" s="1804">
        <f>'Expenditures 15-22'!K63-SUM('Expenditures 15-22'!G63,'Expenditures 15-22'!I63)+'Expenditures 15-22'!D268-E10</f>
        <v>379829</v>
      </c>
      <c r="F30" s="1802"/>
      <c r="G30" s="1804">
        <f>'Expenditures 15-22'!K63-SUM('Expenditures 15-22'!G63,'Expenditures 15-22'!I63)+'Expenditures 15-22'!D268-E10</f>
        <v>379829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170971</v>
      </c>
      <c r="F39" s="1802"/>
      <c r="G39" s="1804">
        <f>'Expenditures 15-22'!K75-SUM('Expenditures 15-22'!G75,'Expenditures 15-22'!I75)+'Expenditures 15-22'!K130-SUM('Expenditures 15-22'!G130,'Expenditures 15-22'!I130)+'Expenditures 15-22'!K185-SUM('Expenditures 15-22'!G185,'Expenditures 15-22'!I185)+'Expenditures 15-22'!D280</f>
        <v>170971</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85760</v>
      </c>
      <c r="E41" s="1806">
        <f>SUM(E19:E40)</f>
        <v>7878442</v>
      </c>
      <c r="F41" s="1806">
        <f>SUM(F19:F39)</f>
        <v>721023</v>
      </c>
      <c r="G41" s="1806">
        <f>SUM(G19:G40)</f>
        <v>7243179</v>
      </c>
    </row>
    <row r="42" spans="1:7" x14ac:dyDescent="0.2">
      <c r="A42" s="987"/>
      <c r="B42" s="162"/>
      <c r="C42" s="1001"/>
      <c r="D42" s="2289" t="s">
        <v>522</v>
      </c>
      <c r="E42" s="2290"/>
      <c r="F42" s="1002" t="s">
        <v>523</v>
      </c>
      <c r="G42" s="1003"/>
    </row>
    <row r="43" spans="1:7" ht="12" customHeight="1" x14ac:dyDescent="0.2">
      <c r="A43" s="987"/>
      <c r="B43" s="162"/>
      <c r="C43" s="1001"/>
      <c r="D43" s="1807" t="s">
        <v>473</v>
      </c>
      <c r="E43" s="1808">
        <f>D41</f>
        <v>85760</v>
      </c>
      <c r="F43" s="1807" t="s">
        <v>473</v>
      </c>
      <c r="G43" s="1808">
        <f>F41</f>
        <v>721023</v>
      </c>
    </row>
    <row r="44" spans="1:7" ht="12" customHeight="1" x14ac:dyDescent="0.2">
      <c r="A44" s="987"/>
      <c r="B44" s="162"/>
      <c r="C44" s="1001"/>
      <c r="D44" s="1807" t="s">
        <v>474</v>
      </c>
      <c r="E44" s="1808">
        <f>E41</f>
        <v>7878442</v>
      </c>
      <c r="F44" s="1807" t="s">
        <v>474</v>
      </c>
      <c r="G44" s="1808">
        <f>G41</f>
        <v>7243179</v>
      </c>
    </row>
    <row r="45" spans="1:7" ht="12" customHeight="1" x14ac:dyDescent="0.2">
      <c r="A45" s="987"/>
      <c r="B45" s="162"/>
      <c r="C45" s="162"/>
      <c r="D45" s="1809" t="s">
        <v>1006</v>
      </c>
      <c r="E45" s="1810">
        <f>(E43/E44)</f>
        <v>1.0885400946024608E-2</v>
      </c>
      <c r="F45" s="1809" t="s">
        <v>1006</v>
      </c>
      <c r="G45" s="1810">
        <f>(G43/G44)</f>
        <v>9.954510305488791E-2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2" firstPageNumber="30" orientation="landscape" useFirstPageNumber="1" r:id="rId1"/>
  <headerFooter alignWithMargins="0">
    <oddHeader>&amp;C&amp;"Arial,Bold"
ESTIMATED INDIRECT COST DATA</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X29" sqref="X29"/>
      <selection pane="bottomLeft" activeCell="F32" sqref="F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8" t="s">
        <v>1379</v>
      </c>
      <c r="B1" s="2308"/>
      <c r="C1" s="2308"/>
      <c r="D1" s="2308"/>
      <c r="E1" s="2308"/>
      <c r="F1" s="2308"/>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9" t="s">
        <v>1546</v>
      </c>
      <c r="B5" s="2310"/>
      <c r="C5" s="2311"/>
      <c r="D5" s="2311"/>
      <c r="E5" s="2311"/>
      <c r="F5" s="2311"/>
    </row>
    <row r="6" spans="1:10" ht="12" customHeight="1" x14ac:dyDescent="0.25">
      <c r="A6" s="1850"/>
      <c r="B6" s="1851"/>
      <c r="C6" s="2312" t="str">
        <f>COVER!A17</f>
        <v>Dakota CUSD 201</v>
      </c>
      <c r="D6" s="2312"/>
      <c r="E6" s="2312"/>
      <c r="F6" s="1852"/>
    </row>
    <row r="7" spans="1:10" ht="11.25" customHeight="1" thickBot="1" x14ac:dyDescent="0.3">
      <c r="A7" s="1850"/>
      <c r="B7" s="1851"/>
      <c r="C7" s="2313">
        <f>COVER!A13</f>
        <v>8089201026</v>
      </c>
      <c r="D7" s="2313"/>
      <c r="E7" s="2313"/>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2072</v>
      </c>
      <c r="D14" s="1865" t="s">
        <v>2072</v>
      </c>
      <c r="E14" s="1868"/>
      <c r="F14" s="1867" t="s">
        <v>2085</v>
      </c>
      <c r="H14" s="1878">
        <f t="shared" si="0"/>
        <v>5</v>
      </c>
      <c r="I14" s="1878">
        <f t="shared" si="1"/>
        <v>5</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2072</v>
      </c>
      <c r="D26" s="1865" t="s">
        <v>2072</v>
      </c>
      <c r="E26" s="1868"/>
      <c r="F26" s="1867" t="s">
        <v>2086</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2072</v>
      </c>
      <c r="D31" s="1865" t="s">
        <v>2072</v>
      </c>
      <c r="E31" s="1868"/>
      <c r="F31" s="1867" t="s">
        <v>2087</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3"/>
      <c r="B39" s="1873"/>
      <c r="C39" s="1873"/>
      <c r="D39" s="1873"/>
      <c r="E39" s="1873"/>
      <c r="F39" s="1873"/>
    </row>
    <row r="40" spans="1:11" s="1870" customFormat="1" ht="12" customHeight="1" x14ac:dyDescent="0.25">
      <c r="A40" s="1874" t="s">
        <v>1391</v>
      </c>
      <c r="B40" s="1875"/>
      <c r="C40" s="2303"/>
      <c r="D40" s="2303"/>
      <c r="E40" s="2303"/>
      <c r="F40" s="2304"/>
      <c r="H40" s="1879"/>
      <c r="I40" s="1879"/>
      <c r="J40" s="1879"/>
      <c r="K40" s="1879"/>
    </row>
    <row r="41" spans="1:11" s="1870" customFormat="1" ht="12" customHeight="1" x14ac:dyDescent="0.25">
      <c r="A41" s="2305"/>
      <c r="B41" s="2306"/>
      <c r="C41" s="2306"/>
      <c r="D41" s="2306"/>
      <c r="E41" s="2306"/>
      <c r="F41" s="2307"/>
      <c r="H41" s="1879"/>
      <c r="I41" s="1879"/>
      <c r="J41" s="1879"/>
      <c r="K41" s="1879"/>
    </row>
    <row r="42" spans="1:11" s="1870" customFormat="1" ht="12" customHeight="1" x14ac:dyDescent="0.25">
      <c r="A42" s="2305"/>
      <c r="B42" s="2306"/>
      <c r="C42" s="2306"/>
      <c r="D42" s="2306"/>
      <c r="E42" s="2306"/>
      <c r="F42" s="2307"/>
      <c r="H42" s="1879"/>
      <c r="I42" s="1879"/>
      <c r="J42" s="1879"/>
      <c r="K42" s="1879"/>
    </row>
    <row r="43" spans="1:11" s="1870" customFormat="1" ht="15" x14ac:dyDescent="0.25">
      <c r="A43" s="2294"/>
      <c r="B43" s="2295"/>
      <c r="C43" s="2295"/>
      <c r="D43" s="2295"/>
      <c r="E43" s="2295"/>
      <c r="F43" s="2296"/>
      <c r="H43" s="1879"/>
      <c r="I43" s="1879"/>
      <c r="J43" s="1879"/>
      <c r="K43" s="1879"/>
    </row>
    <row r="44" spans="1:11" s="1870" customFormat="1" ht="12" hidden="1" customHeight="1" x14ac:dyDescent="0.25">
      <c r="A44" s="2294"/>
      <c r="B44" s="2295"/>
      <c r="C44" s="2295"/>
      <c r="D44" s="2295"/>
      <c r="E44" s="2295"/>
      <c r="F44" s="229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1" t="str">
        <f>COVER!A17</f>
        <v>Dakota CUSD 201</v>
      </c>
      <c r="J6" s="2322"/>
      <c r="Q6" s="1664"/>
    </row>
    <row r="7" spans="1:17" x14ac:dyDescent="0.2">
      <c r="A7" s="2323" t="s">
        <v>869</v>
      </c>
      <c r="B7" s="2324"/>
      <c r="C7" s="2324"/>
      <c r="D7" s="2324"/>
      <c r="E7" s="2325"/>
      <c r="F7" s="1017"/>
      <c r="G7" s="1009"/>
      <c r="H7" s="1016" t="s">
        <v>372</v>
      </c>
      <c r="I7" s="2326">
        <f>COVER!A13</f>
        <v>8089201026</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194352</v>
      </c>
      <c r="F12" s="1039"/>
      <c r="G12" s="1811">
        <f t="shared" ref="G12:G18" si="0">SUM(E12:F12)</f>
        <v>194352</v>
      </c>
      <c r="H12" s="1040">
        <v>179950</v>
      </c>
      <c r="I12" s="1039"/>
      <c r="J12" s="1811">
        <f t="shared" ref="J12:J18" si="1">SUM(H12:I12)</f>
        <v>179950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194352</v>
      </c>
      <c r="F19" s="1813">
        <f t="shared" si="2"/>
        <v>0</v>
      </c>
      <c r="G19" s="1813">
        <f t="shared" si="2"/>
        <v>194352</v>
      </c>
      <c r="H19" s="1813">
        <f t="shared" si="2"/>
        <v>179950</v>
      </c>
      <c r="I19" s="1813">
        <f t="shared" si="2"/>
        <v>0</v>
      </c>
      <c r="J19" s="1813">
        <f t="shared" si="2"/>
        <v>179950</v>
      </c>
    </row>
    <row r="20" spans="1:10" ht="13.5" thickTop="1" x14ac:dyDescent="0.2">
      <c r="A20" s="1035">
        <v>9</v>
      </c>
      <c r="B20" s="2333" t="s">
        <v>1981</v>
      </c>
      <c r="C20" s="2333"/>
      <c r="D20" s="2334"/>
      <c r="E20" s="1046"/>
      <c r="F20" s="1046"/>
      <c r="G20" s="1046"/>
      <c r="H20" s="1046"/>
      <c r="I20" s="1046"/>
      <c r="J20" s="1814">
        <f>IF(AND(G19&gt;0,J19&gt;0),(((J19-G19)/G19)),"Enter Budget Data")</f>
        <v>-7.4102659092780104E-2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1983</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X29" sqref="X2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Dakota CUSD 201</v>
      </c>
    </row>
    <row r="65" spans="2:2" x14ac:dyDescent="0.2">
      <c r="B65" s="1070">
        <f>COVER!A13</f>
        <v>8089201026</v>
      </c>
    </row>
  </sheetData>
  <phoneticPr fontId="15" type="noConversion"/>
  <pageMargins left="0.2" right="0.2" top="1.17" bottom="0.75" header="0.19" footer="0.16"/>
  <pageSetup scale="80" firstPageNumber="32" orientation="portrait" useFirstPageNumber="1" r:id="rId1"/>
  <headerFooter alignWithMargins="0">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X29" sqref="X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X29" sqref="X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0" t="s">
        <v>1685</v>
      </c>
      <c r="B18" s="234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shapeId="35841" r:id="rId4">
          <objectPr defaultSize="0" autoPict="0" r:id="rId5">
            <anchor moveWithCells="1">
              <from>
                <xdr:col>4</xdr:col>
                <xdr:colOff>152400</xdr:colOff>
                <xdr:row>0</xdr:row>
                <xdr:rowOff>0</xdr:rowOff>
              </from>
              <to>
                <xdr:col>13</xdr:col>
                <xdr:colOff>523875</xdr:colOff>
                <xdr:row>43</xdr:row>
                <xdr:rowOff>104775</xdr:rowOff>
              </to>
            </anchor>
          </objectPr>
        </oleObject>
      </mc:Choice>
      <mc:Fallback>
        <oleObject progId="Acrobat.Document.2015"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X29" sqref="X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1987</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1988</v>
      </c>
      <c r="B4" s="2361"/>
      <c r="C4" s="2361"/>
      <c r="D4" s="2361"/>
      <c r="E4" s="2361"/>
      <c r="F4" s="2362"/>
      <c r="G4" s="1074"/>
      <c r="H4" s="1074"/>
    </row>
    <row r="5" spans="1:8" ht="14.25" customHeight="1" x14ac:dyDescent="0.2">
      <c r="A5" s="2363" t="s">
        <v>1984</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8528601</v>
      </c>
      <c r="C8" s="1815">
        <f>'Acct Summary 7-8'!D8</f>
        <v>576579</v>
      </c>
      <c r="D8" s="1815">
        <f>'Acct Summary 7-8'!F8</f>
        <v>456381</v>
      </c>
      <c r="E8" s="1815">
        <f>'Acct Summary 7-8'!I8</f>
        <v>59814</v>
      </c>
      <c r="F8" s="1815">
        <f>SUM(B8:E8)</f>
        <v>9621375</v>
      </c>
    </row>
    <row r="9" spans="1:8" s="1079" customFormat="1" ht="14.25" customHeight="1" thickBot="1" x14ac:dyDescent="0.25">
      <c r="A9" s="1078" t="s">
        <v>1369</v>
      </c>
      <c r="B9" s="1816">
        <f>'Acct Summary 7-8'!C17</f>
        <v>7283579</v>
      </c>
      <c r="C9" s="1816">
        <f>'Acct Summary 7-8'!D17</f>
        <v>419008</v>
      </c>
      <c r="D9" s="1816">
        <f>'Acct Summary 7-8'!F17</f>
        <v>547425</v>
      </c>
      <c r="E9" s="1815"/>
      <c r="F9" s="1815">
        <f>SUM(B9:E9)</f>
        <v>8250012</v>
      </c>
    </row>
    <row r="10" spans="1:8" s="1079" customFormat="1" ht="14.25" thickTop="1" thickBot="1" x14ac:dyDescent="0.25">
      <c r="A10" s="1080" t="s">
        <v>1370</v>
      </c>
      <c r="B10" s="1817">
        <f>(B8-B9)</f>
        <v>1245022</v>
      </c>
      <c r="C10" s="1817">
        <f>(C8-C9)</f>
        <v>157571</v>
      </c>
      <c r="D10" s="1817">
        <f>(D8-D9)</f>
        <v>-91044</v>
      </c>
      <c r="E10" s="1816">
        <f>(E8-E9)</f>
        <v>59814</v>
      </c>
      <c r="F10" s="1818">
        <f>SUM(F8-F9)</f>
        <v>1371363</v>
      </c>
    </row>
    <row r="11" spans="1:8" s="1079" customFormat="1" ht="14.25" thickTop="1" thickBot="1" x14ac:dyDescent="0.25">
      <c r="A11" s="1081" t="s">
        <v>1985</v>
      </c>
      <c r="B11" s="1819">
        <f>'Acct Summary 7-8'!C81</f>
        <v>1562913</v>
      </c>
      <c r="C11" s="1819">
        <f>'Acct Summary 7-8'!D81</f>
        <v>742261</v>
      </c>
      <c r="D11" s="1819">
        <f>'Acct Summary 7-8'!F81</f>
        <v>192924</v>
      </c>
      <c r="E11" s="1819">
        <f>'Acct Summary 7-8'!I81</f>
        <v>2080269</v>
      </c>
      <c r="F11" s="1820">
        <f>SUM(B11:E11)</f>
        <v>4578367</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D82" sqref="D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8089201026</v>
      </c>
    </row>
    <row r="3" spans="1:2" x14ac:dyDescent="0.2">
      <c r="A3" t="s">
        <v>956</v>
      </c>
      <c r="B3" s="138" t="str">
        <f>COVER!A15</f>
        <v>Stephenson</v>
      </c>
    </row>
    <row r="4" spans="1:2" x14ac:dyDescent="0.2">
      <c r="A4" t="s">
        <v>1007</v>
      </c>
      <c r="B4" s="138" t="str">
        <f>COVER!A17</f>
        <v>Dakota CUSD 201</v>
      </c>
    </row>
    <row r="5" spans="1:2" x14ac:dyDescent="0.2">
      <c r="A5" t="s">
        <v>704</v>
      </c>
      <c r="B5" s="138" t="str">
        <f>COVER!A38</f>
        <v>Jason Grey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066-004023</v>
      </c>
    </row>
    <row r="16" spans="1:2" x14ac:dyDescent="0.2">
      <c r="A16" t="s">
        <v>422</v>
      </c>
      <c r="B16" s="138" t="str">
        <f>COVER!T13</f>
        <v>Wipfli LLP</v>
      </c>
    </row>
    <row r="17" spans="1:2" x14ac:dyDescent="0.2">
      <c r="A17" t="s">
        <v>884</v>
      </c>
      <c r="B17" s="138" t="str">
        <f>COVER!T15</f>
        <v>Matthew Schueler</v>
      </c>
    </row>
    <row r="18" spans="1:2" x14ac:dyDescent="0.2">
      <c r="A18" t="s">
        <v>1150</v>
      </c>
      <c r="B18" s="138" t="str">
        <f>COVER!T17</f>
        <v>403 East 3rd Street</v>
      </c>
    </row>
    <row r="19" spans="1:2" x14ac:dyDescent="0.2">
      <c r="A19" t="s">
        <v>886</v>
      </c>
      <c r="B19" s="138" t="str">
        <f>COVER!T25</f>
        <v>mschueler@wipfli.com</v>
      </c>
    </row>
    <row r="20" spans="1:2" x14ac:dyDescent="0.2">
      <c r="A20" t="s">
        <v>887</v>
      </c>
      <c r="B20" s="138" t="str">
        <f>COVER!T19</f>
        <v>Sterling</v>
      </c>
    </row>
    <row r="21" spans="1:2" x14ac:dyDescent="0.2">
      <c r="A21" t="s">
        <v>479</v>
      </c>
      <c r="B21" s="138" t="str">
        <f>COVER!X19</f>
        <v>IL</v>
      </c>
    </row>
    <row r="22" spans="1:2" x14ac:dyDescent="0.2">
      <c r="A22" t="s">
        <v>888</v>
      </c>
      <c r="B22" s="138">
        <f>COVER!Z19</f>
        <v>61081</v>
      </c>
    </row>
    <row r="23" spans="1:2" x14ac:dyDescent="0.2">
      <c r="A23" t="s">
        <v>1152</v>
      </c>
      <c r="B23" s="138" t="str">
        <f>COVER!T21</f>
        <v>815-626-1277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Yes</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35521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1590676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27763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27763</v>
      </c>
      <c r="C91" s="2" t="s">
        <v>573</v>
      </c>
      <c r="D91" s="2" t="str">
        <f t="shared" si="0"/>
        <v>Error?</v>
      </c>
    </row>
    <row r="92" spans="1:4" x14ac:dyDescent="0.2">
      <c r="A92" s="5">
        <v>31</v>
      </c>
      <c r="B92" s="138">
        <f>'Assets-Liab 5-6'!C39</f>
        <v>1562913</v>
      </c>
      <c r="D92" s="2" t="str">
        <f t="shared" si="0"/>
        <v>Error?</v>
      </c>
    </row>
    <row r="93" spans="1:4" x14ac:dyDescent="0.2">
      <c r="A93" s="5">
        <v>32</v>
      </c>
      <c r="B93" s="138">
        <f>'Assets-Liab 5-6'!C41</f>
        <v>1590676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742261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742261</v>
      </c>
      <c r="D123" s="2" t="str">
        <f t="shared" si="0"/>
        <v>Error?</v>
      </c>
    </row>
    <row r="124" spans="1:4" x14ac:dyDescent="0.2">
      <c r="A124" s="5">
        <v>63</v>
      </c>
      <c r="B124" s="138">
        <f>'Assets-Liab 5-6'!D41</f>
        <v>742261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24165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24165</v>
      </c>
      <c r="D140" s="2" t="str">
        <f t="shared" si="1"/>
        <v>Error?</v>
      </c>
    </row>
    <row r="141" spans="1:4" x14ac:dyDescent="0.2">
      <c r="A141" s="5">
        <v>80</v>
      </c>
      <c r="B141" s="138">
        <f>'Assets-Liab 5-6'!E41</f>
        <v>24165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192924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192924</v>
      </c>
      <c r="D170" s="2" t="str">
        <f t="shared" si="1"/>
        <v>Error?</v>
      </c>
    </row>
    <row r="171" spans="1:4" x14ac:dyDescent="0.2">
      <c r="A171" s="5">
        <v>110</v>
      </c>
      <c r="B171" s="138">
        <f>'Assets-Liab 5-6'!F41</f>
        <v>192924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198939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198939</v>
      </c>
      <c r="D189" s="2" t="str">
        <f t="shared" si="1"/>
        <v>Error?</v>
      </c>
    </row>
    <row r="190" spans="1:4" x14ac:dyDescent="0.2">
      <c r="A190" s="5">
        <v>129</v>
      </c>
      <c r="B190" s="138">
        <f>'Assets-Liab 5-6'!G41</f>
        <v>198939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108145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11023</v>
      </c>
      <c r="C211" s="2" t="s">
        <v>573</v>
      </c>
      <c r="D211" s="2" t="str">
        <f t="shared" si="2"/>
        <v>Error?</v>
      </c>
    </row>
    <row r="212" spans="1:4" x14ac:dyDescent="0.2">
      <c r="A212" s="5">
        <v>151</v>
      </c>
      <c r="B212" s="138">
        <f>'Assets-Liab 5-6'!H39</f>
        <v>97122</v>
      </c>
      <c r="D212" s="2" t="str">
        <f t="shared" si="2"/>
        <v>Error?</v>
      </c>
    </row>
    <row r="213" spans="1:4" x14ac:dyDescent="0.2">
      <c r="A213" s="12">
        <v>152</v>
      </c>
      <c r="B213" s="138">
        <f>'Assets-Liab 5-6'!H41</f>
        <v>108145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17546</v>
      </c>
      <c r="D273" s="2" t="str">
        <f t="shared" si="3"/>
        <v>Error?</v>
      </c>
    </row>
    <row r="274" spans="1:4" x14ac:dyDescent="0.2">
      <c r="A274" s="5">
        <v>213</v>
      </c>
      <c r="B274" s="138">
        <f>'Assets-Liab 5-6'!M17</f>
        <v>23877555</v>
      </c>
      <c r="D274" s="2" t="str">
        <f t="shared" si="3"/>
        <v>Error?</v>
      </c>
    </row>
    <row r="275" spans="1:4" x14ac:dyDescent="0.2">
      <c r="A275" s="5">
        <v>214</v>
      </c>
      <c r="B275" s="138">
        <f>'Assets-Liab 5-6'!M18</f>
        <v>404504</v>
      </c>
      <c r="D275" s="2" t="str">
        <f t="shared" si="3"/>
        <v>Error?</v>
      </c>
    </row>
    <row r="276" spans="1:4" x14ac:dyDescent="0.2">
      <c r="A276" s="5">
        <v>215</v>
      </c>
      <c r="B276" s="138">
        <f>'Assets-Liab 5-6'!M19</f>
        <v>1298396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25598001</v>
      </c>
      <c r="C279" s="2" t="s">
        <v>573</v>
      </c>
      <c r="D279" s="2" t="str">
        <f t="shared" si="3"/>
        <v>Error?</v>
      </c>
    </row>
    <row r="280" spans="1:4" x14ac:dyDescent="0.2">
      <c r="A280" s="5">
        <v>219</v>
      </c>
      <c r="B280" s="138">
        <f>'Assets-Liab 5-6'!M40</f>
        <v>25598001</v>
      </c>
      <c r="D280" s="2" t="str">
        <f t="shared" si="3"/>
        <v>Error?</v>
      </c>
    </row>
    <row r="281" spans="1:4" x14ac:dyDescent="0.2">
      <c r="A281" s="5">
        <v>220</v>
      </c>
      <c r="B281" s="138">
        <f>'Assets-Liab 5-6'!M41</f>
        <v>25598001</v>
      </c>
      <c r="C281" s="2" t="s">
        <v>573</v>
      </c>
      <c r="D281" s="2" t="str">
        <f t="shared" si="3"/>
        <v>Error?</v>
      </c>
    </row>
    <row r="282" spans="1:4" x14ac:dyDescent="0.2">
      <c r="A282" s="5">
        <v>221</v>
      </c>
      <c r="B282" s="138">
        <f>'Assets-Liab 5-6'!N21</f>
        <v>24165</v>
      </c>
      <c r="D282" s="2" t="str">
        <f t="shared" si="3"/>
        <v>Error?</v>
      </c>
    </row>
    <row r="283" spans="1:4" x14ac:dyDescent="0.2">
      <c r="A283" s="5">
        <v>222</v>
      </c>
      <c r="B283" s="138">
        <f>'Assets-Liab 5-6'!N22</f>
        <v>9768935</v>
      </c>
      <c r="D283" s="2" t="str">
        <f t="shared" si="3"/>
        <v>Error?</v>
      </c>
    </row>
    <row r="284" spans="1:4" x14ac:dyDescent="0.2">
      <c r="A284" s="5">
        <v>223</v>
      </c>
      <c r="B284" s="138">
        <f>'Assets-Liab 5-6'!N23</f>
        <v>9793100</v>
      </c>
      <c r="C284" s="2" t="s">
        <v>573</v>
      </c>
      <c r="D284" s="2" t="str">
        <f t="shared" si="3"/>
        <v>Error?</v>
      </c>
    </row>
    <row r="285" spans="1:4" x14ac:dyDescent="0.2">
      <c r="A285" s="5">
        <v>224</v>
      </c>
      <c r="B285" s="138">
        <f>'Assets-Liab 5-6'!N36</f>
        <v>9793100</v>
      </c>
      <c r="D285" s="2" t="str">
        <f t="shared" si="3"/>
        <v>Error?</v>
      </c>
    </row>
    <row r="286" spans="1:4" x14ac:dyDescent="0.2">
      <c r="A286" s="10">
        <v>225</v>
      </c>
      <c r="D286" s="2" t="str">
        <f t="shared" si="3"/>
        <v>OK</v>
      </c>
    </row>
    <row r="287" spans="1:4" x14ac:dyDescent="0.2">
      <c r="A287" s="5">
        <v>226</v>
      </c>
      <c r="B287" s="138">
        <f>'Assets-Liab 5-6'!N37</f>
        <v>9793100</v>
      </c>
      <c r="C287" s="2" t="s">
        <v>573</v>
      </c>
      <c r="D287" s="2" t="str">
        <f t="shared" si="3"/>
        <v>Error?</v>
      </c>
    </row>
    <row r="288" spans="1:4" x14ac:dyDescent="0.2">
      <c r="A288" s="5">
        <v>227</v>
      </c>
      <c r="B288" s="138">
        <f>'Assets-Liab 5-6'!N41</f>
        <v>9793100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2782589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176190</v>
      </c>
      <c r="D717" s="2" t="str">
        <f t="shared" si="10"/>
        <v>Error?</v>
      </c>
    </row>
    <row r="718" spans="1:4" x14ac:dyDescent="0.2">
      <c r="A718" s="5">
        <v>657</v>
      </c>
      <c r="B718" s="138">
        <f>'Expenditures 15-22'!C14</f>
        <v>136421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3460595</v>
      </c>
      <c r="C720" s="2" t="s">
        <v>573</v>
      </c>
      <c r="D720" s="2" t="str">
        <f t="shared" si="10"/>
        <v>Error?</v>
      </c>
    </row>
    <row r="721" spans="1:4" x14ac:dyDescent="0.2">
      <c r="A721" s="5">
        <v>660</v>
      </c>
      <c r="B721" s="138">
        <f>'Expenditures 15-22'!C36</f>
        <v>99379</v>
      </c>
      <c r="D721" s="2" t="str">
        <f t="shared" si="10"/>
        <v>Error?</v>
      </c>
    </row>
    <row r="722" spans="1:4" x14ac:dyDescent="0.2">
      <c r="A722" s="5">
        <v>661</v>
      </c>
      <c r="B722" s="138">
        <f>'Expenditures 15-22'!C37</f>
        <v>5683</v>
      </c>
      <c r="D722" s="2" t="str">
        <f t="shared" si="10"/>
        <v>Error?</v>
      </c>
    </row>
    <row r="723" spans="1:4" x14ac:dyDescent="0.2">
      <c r="A723" s="5">
        <v>662</v>
      </c>
      <c r="B723" s="138">
        <f>'Expenditures 15-22'!C38</f>
        <v>29359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57291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191712</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146244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146244</v>
      </c>
      <c r="C731" s="2" t="s">
        <v>573</v>
      </c>
      <c r="D731" s="2" t="str">
        <f t="shared" si="10"/>
        <v>Error?</v>
      </c>
    </row>
    <row r="732" spans="1:4" x14ac:dyDescent="0.2">
      <c r="A732" s="5">
        <v>671</v>
      </c>
      <c r="B732" s="138">
        <f>'Expenditures 15-22'!C49</f>
        <v>2519</v>
      </c>
      <c r="D732" s="2" t="str">
        <f t="shared" si="10"/>
        <v>Error?</v>
      </c>
    </row>
    <row r="733" spans="1:4" x14ac:dyDescent="0.2">
      <c r="A733" s="5">
        <v>672</v>
      </c>
      <c r="B733" s="138">
        <f>'Expenditures 15-22'!C50</f>
        <v>190417</v>
      </c>
      <c r="D733" s="2" t="str">
        <f t="shared" si="10"/>
        <v>Error?</v>
      </c>
    </row>
    <row r="734" spans="1:4" x14ac:dyDescent="0.2">
      <c r="A734" s="5">
        <v>673</v>
      </c>
      <c r="B734" s="138">
        <f>'Expenditures 15-22'!C53</f>
        <v>192936</v>
      </c>
      <c r="C734" s="2" t="s">
        <v>573</v>
      </c>
      <c r="D734" s="2" t="str">
        <f t="shared" si="10"/>
        <v>Error?</v>
      </c>
    </row>
    <row r="735" spans="1:4" x14ac:dyDescent="0.2">
      <c r="A735" s="5">
        <v>674</v>
      </c>
      <c r="B735" s="138">
        <f>'Expenditures 15-22'!C55</f>
        <v>387842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387842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60331</v>
      </c>
      <c r="D739" s="2" t="str">
        <f t="shared" si="10"/>
        <v>Error?</v>
      </c>
    </row>
    <row r="740" spans="1:4" x14ac:dyDescent="0.2">
      <c r="A740" s="5">
        <v>679</v>
      </c>
      <c r="B740" s="138">
        <f>'Expenditures 15-22'!C61</f>
        <v>188650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95632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344613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1263347</v>
      </c>
      <c r="C755" s="2" t="s">
        <v>573</v>
      </c>
      <c r="D755" s="2" t="str">
        <f t="shared" si="10"/>
        <v>Error?</v>
      </c>
    </row>
    <row r="756" spans="1:4" x14ac:dyDescent="0.2">
      <c r="A756" s="5">
        <v>695</v>
      </c>
      <c r="B756" s="138">
        <f>'Expenditures 15-22'!C75</f>
        <v>138178</v>
      </c>
      <c r="D756" s="2" t="str">
        <f t="shared" si="10"/>
        <v>Error?</v>
      </c>
    </row>
    <row r="757" spans="1:4" x14ac:dyDescent="0.2">
      <c r="A757" s="5">
        <v>696</v>
      </c>
      <c r="B757" s="138">
        <f>'Expenditures 15-22'!C114</f>
        <v>4862120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320798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24377</v>
      </c>
      <c r="D775" s="2" t="str">
        <f t="shared" si="11"/>
        <v>Error?</v>
      </c>
    </row>
    <row r="776" spans="1:4" x14ac:dyDescent="0.2">
      <c r="A776" s="5">
        <v>715</v>
      </c>
      <c r="B776" s="138">
        <f>'Expenditures 15-22'!D14</f>
        <v>11473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385503</v>
      </c>
      <c r="C778" s="2" t="s">
        <v>573</v>
      </c>
      <c r="D778" s="2" t="str">
        <f t="shared" si="11"/>
        <v>Error?</v>
      </c>
    </row>
    <row r="779" spans="1:4" x14ac:dyDescent="0.2">
      <c r="A779" s="5">
        <v>718</v>
      </c>
      <c r="B779" s="138">
        <f>'Expenditures 15-22'!D36</f>
        <v>11992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6414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18406</v>
      </c>
      <c r="C785" s="2" t="s">
        <v>573</v>
      </c>
      <c r="D785" s="2" t="str">
        <f t="shared" si="11"/>
        <v>Error?</v>
      </c>
    </row>
    <row r="786" spans="1:4" x14ac:dyDescent="0.2">
      <c r="A786" s="5">
        <v>725</v>
      </c>
      <c r="B786" s="138">
        <f>'Expenditures 15-22'!D44</f>
        <v>15085</v>
      </c>
      <c r="D786" s="2" t="str">
        <f t="shared" si="11"/>
        <v>Error?</v>
      </c>
    </row>
    <row r="787" spans="1:4" x14ac:dyDescent="0.2">
      <c r="A787" s="5">
        <v>726</v>
      </c>
      <c r="B787" s="138">
        <f>'Expenditures 15-22'!D45</f>
        <v>8701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23786</v>
      </c>
      <c r="C789" s="2" t="s">
        <v>573</v>
      </c>
      <c r="D789" s="2" t="str">
        <f t="shared" si="11"/>
        <v>Error?</v>
      </c>
    </row>
    <row r="790" spans="1:4" x14ac:dyDescent="0.2">
      <c r="A790" s="5">
        <v>729</v>
      </c>
      <c r="B790" s="138">
        <f>'Expenditures 15-22'!D49</f>
        <v>526336</v>
      </c>
      <c r="D790" s="2" t="str">
        <f t="shared" si="11"/>
        <v>Error?</v>
      </c>
    </row>
    <row r="791" spans="1:4" x14ac:dyDescent="0.2">
      <c r="A791" s="5">
        <v>730</v>
      </c>
      <c r="B791" s="138">
        <f>'Expenditures 15-22'!D50</f>
        <v>0</v>
      </c>
      <c r="D791" s="2" t="str">
        <f t="shared" si="11"/>
        <v>Error?</v>
      </c>
    </row>
    <row r="792" spans="1:4" x14ac:dyDescent="0.2">
      <c r="A792" s="5">
        <v>731</v>
      </c>
      <c r="B792" s="138">
        <f>'Expenditures 15-22'!D53</f>
        <v>526336</v>
      </c>
      <c r="C792" s="2" t="s">
        <v>573</v>
      </c>
      <c r="D792" s="2" t="str">
        <f t="shared" si="11"/>
        <v>Error?</v>
      </c>
    </row>
    <row r="793" spans="1:4" x14ac:dyDescent="0.2">
      <c r="A793" s="5">
        <v>732</v>
      </c>
      <c r="B793" s="138">
        <f>'Expenditures 15-22'!D55</f>
        <v>33078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33078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319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601925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987428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14984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1218</v>
      </c>
      <c r="D833" s="2" t="str">
        <f t="shared" si="12"/>
        <v>Error?</v>
      </c>
    </row>
    <row r="834" spans="1:4" x14ac:dyDescent="0.2">
      <c r="A834" s="5">
        <v>773</v>
      </c>
      <c r="B834" s="138">
        <f>'Expenditures 15-22'!E14</f>
        <v>39908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164840</v>
      </c>
      <c r="C836" s="2" t="s">
        <v>573</v>
      </c>
      <c r="D836" s="2" t="str">
        <f t="shared" si="12"/>
        <v>Error?</v>
      </c>
    </row>
    <row r="837" spans="1:4" x14ac:dyDescent="0.2">
      <c r="A837" s="5">
        <v>776</v>
      </c>
      <c r="B837" s="138">
        <f>'Expenditures 15-22'!E36</f>
        <v>5944</v>
      </c>
      <c r="D837" s="2" t="str">
        <f t="shared" si="12"/>
        <v>Error?</v>
      </c>
    </row>
    <row r="838" spans="1:4" x14ac:dyDescent="0.2">
      <c r="A838" s="5">
        <v>777</v>
      </c>
      <c r="B838" s="138">
        <f>'Expenditures 15-22'!E37</f>
        <v>512</v>
      </c>
      <c r="D838" s="2" t="str">
        <f t="shared" si="12"/>
        <v>Error?</v>
      </c>
    </row>
    <row r="839" spans="1:4" x14ac:dyDescent="0.2">
      <c r="A839" s="5">
        <v>778</v>
      </c>
      <c r="B839" s="138">
        <f>'Expenditures 15-22'!E38</f>
        <v>163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399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7018</v>
      </c>
      <c r="C843" s="2" t="s">
        <v>573</v>
      </c>
      <c r="D843" s="2" t="str">
        <f t="shared" si="12"/>
        <v>Error?</v>
      </c>
    </row>
    <row r="844" spans="1:4" x14ac:dyDescent="0.2">
      <c r="A844" s="5">
        <v>783</v>
      </c>
      <c r="B844" s="138">
        <f>'Expenditures 15-22'!E44</f>
        <v>26381</v>
      </c>
      <c r="D844" s="2" t="str">
        <f t="shared" si="12"/>
        <v>Error?</v>
      </c>
    </row>
    <row r="845" spans="1:4" x14ac:dyDescent="0.2">
      <c r="A845" s="5">
        <v>784</v>
      </c>
      <c r="B845" s="138">
        <f>'Expenditures 15-22'!E45</f>
        <v>27665</v>
      </c>
      <c r="D845" s="2" t="str">
        <f t="shared" si="12"/>
        <v>Error?</v>
      </c>
    </row>
    <row r="846" spans="1:4" x14ac:dyDescent="0.2">
      <c r="A846" s="5">
        <v>785</v>
      </c>
      <c r="B846" s="138">
        <f>'Expenditures 15-22'!E46</f>
        <v>513</v>
      </c>
      <c r="D846" s="2" t="str">
        <f t="shared" si="12"/>
        <v>Error?</v>
      </c>
    </row>
    <row r="847" spans="1:4" x14ac:dyDescent="0.2">
      <c r="A847" s="5">
        <v>786</v>
      </c>
      <c r="B847" s="138">
        <f>'Expenditures 15-22'!E47</f>
        <v>54559</v>
      </c>
      <c r="C847" s="2" t="s">
        <v>573</v>
      </c>
      <c r="D847" s="2" t="str">
        <f t="shared" si="12"/>
        <v>Error?</v>
      </c>
    </row>
    <row r="848" spans="1:4" x14ac:dyDescent="0.2">
      <c r="A848" s="5">
        <v>787</v>
      </c>
      <c r="B848" s="138">
        <f>'Expenditures 15-22'!E49</f>
        <v>57663</v>
      </c>
      <c r="D848" s="2" t="str">
        <f t="shared" si="12"/>
        <v>Error?</v>
      </c>
    </row>
    <row r="849" spans="1:4" x14ac:dyDescent="0.2">
      <c r="A849" s="5">
        <v>788</v>
      </c>
      <c r="B849" s="138">
        <f>'Expenditures 15-22'!E50</f>
        <v>2276</v>
      </c>
      <c r="D849" s="2" t="str">
        <f t="shared" si="12"/>
        <v>Error?</v>
      </c>
    </row>
    <row r="850" spans="1:4" x14ac:dyDescent="0.2">
      <c r="A850" s="5">
        <v>789</v>
      </c>
      <c r="B850" s="138">
        <f>'Expenditures 15-22'!E53</f>
        <v>59939</v>
      </c>
      <c r="C850" s="2" t="s">
        <v>573</v>
      </c>
      <c r="D850" s="2" t="str">
        <f t="shared" si="12"/>
        <v>Error?</v>
      </c>
    </row>
    <row r="851" spans="1:4" x14ac:dyDescent="0.2">
      <c r="A851" s="5">
        <v>790</v>
      </c>
      <c r="B851" s="138">
        <f>'Expenditures 15-22'!E55</f>
        <v>1671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1671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1708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9237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10945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134132</v>
      </c>
      <c r="C871" s="2" t="s">
        <v>573</v>
      </c>
      <c r="D871" s="2" t="str">
        <f t="shared" si="12"/>
        <v>Error?</v>
      </c>
    </row>
    <row r="872" spans="1:4" x14ac:dyDescent="0.2">
      <c r="A872" s="5">
        <v>811</v>
      </c>
      <c r="B872" s="138">
        <f>'Expenditures 15-22'!E75</f>
        <v>152</v>
      </c>
      <c r="D872" s="2" t="str">
        <f t="shared" si="12"/>
        <v>Error?</v>
      </c>
    </row>
    <row r="873" spans="1:4" x14ac:dyDescent="0.2">
      <c r="A873" s="5">
        <v>812</v>
      </c>
      <c r="B873" s="138">
        <f>'Expenditures 15-22'!E114</f>
        <v>599651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108216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1105</v>
      </c>
      <c r="D891" s="2" t="str">
        <f t="shared" si="12"/>
        <v>Error?</v>
      </c>
    </row>
    <row r="892" spans="1:4" x14ac:dyDescent="0.2">
      <c r="A892" s="5">
        <v>831</v>
      </c>
      <c r="B892" s="138">
        <f>'Expenditures 15-22'!F14</f>
        <v>12015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175290</v>
      </c>
      <c r="C894" s="2" t="s">
        <v>573</v>
      </c>
      <c r="D894" s="2" t="str">
        <f t="shared" si="12"/>
        <v>Error?</v>
      </c>
    </row>
    <row r="895" spans="1:4" x14ac:dyDescent="0.2">
      <c r="A895" s="5">
        <v>834</v>
      </c>
      <c r="B895" s="138">
        <f>'Expenditures 15-22'!F36</f>
        <v>10080</v>
      </c>
      <c r="D895" s="2" t="str">
        <f t="shared" ref="D895:D958" si="13">IF(ISBLANK(B895),"OK",IF(A895-B895=0,"OK","Error?"))</f>
        <v>Error?</v>
      </c>
    </row>
    <row r="896" spans="1:4" x14ac:dyDescent="0.2">
      <c r="A896" s="5">
        <v>835</v>
      </c>
      <c r="B896" s="138">
        <f>'Expenditures 15-22'!F37</f>
        <v>194</v>
      </c>
      <c r="D896" s="2" t="str">
        <f t="shared" si="13"/>
        <v>Error?</v>
      </c>
    </row>
    <row r="897" spans="1:4" x14ac:dyDescent="0.2">
      <c r="A897" s="5">
        <v>836</v>
      </c>
      <c r="B897" s="138">
        <f>'Expenditures 15-22'!F38</f>
        <v>924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339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11537</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119299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119299</v>
      </c>
      <c r="C905" s="2" t="s">
        <v>573</v>
      </c>
      <c r="D905" s="2" t="str">
        <f t="shared" si="13"/>
        <v>Error?</v>
      </c>
    </row>
    <row r="906" spans="1:4" x14ac:dyDescent="0.2">
      <c r="A906" s="5">
        <v>845</v>
      </c>
      <c r="B906" s="138">
        <f>'Expenditures 15-22'!F49</f>
        <v>6752</v>
      </c>
      <c r="D906" s="2" t="str">
        <f t="shared" si="13"/>
        <v>Error?</v>
      </c>
    </row>
    <row r="907" spans="1:4" x14ac:dyDescent="0.2">
      <c r="A907" s="5">
        <v>846</v>
      </c>
      <c r="B907" s="138">
        <f>'Expenditures 15-22'!F50</f>
        <v>1031</v>
      </c>
      <c r="D907" s="2" t="str">
        <f t="shared" si="13"/>
        <v>Error?</v>
      </c>
    </row>
    <row r="908" spans="1:4" x14ac:dyDescent="0.2">
      <c r="A908" s="5">
        <v>847</v>
      </c>
      <c r="B908" s="138">
        <f>'Expenditures 15-22'!F53</f>
        <v>7783</v>
      </c>
      <c r="C908" s="2" t="s">
        <v>573</v>
      </c>
      <c r="D908" s="2" t="str">
        <f t="shared" si="13"/>
        <v>Error?</v>
      </c>
    </row>
    <row r="909" spans="1:4" x14ac:dyDescent="0.2">
      <c r="A909" s="5">
        <v>848</v>
      </c>
      <c r="B909" s="138">
        <f>'Expenditures 15-22'!F55</f>
        <v>22899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22899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2340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257568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259908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421426</v>
      </c>
      <c r="C929" s="2" t="s">
        <v>573</v>
      </c>
      <c r="D929" s="2" t="str">
        <f t="shared" si="13"/>
        <v>Error?</v>
      </c>
    </row>
    <row r="930" spans="1:4" x14ac:dyDescent="0.2">
      <c r="A930" s="5">
        <v>869</v>
      </c>
      <c r="B930" s="138">
        <f>'Expenditures 15-22'!F75</f>
        <v>8487</v>
      </c>
      <c r="D930" s="2" t="str">
        <f t="shared" si="13"/>
        <v>Error?</v>
      </c>
    </row>
    <row r="931" spans="1:4" x14ac:dyDescent="0.2">
      <c r="A931" s="5">
        <v>870</v>
      </c>
      <c r="B931" s="138">
        <f>'Expenditures 15-22'!F114</f>
        <v>605203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3133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17477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48469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261</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261</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75548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75548</v>
      </c>
      <c r="C963" s="2" t="s">
        <v>573</v>
      </c>
      <c r="D963" s="2" t="str">
        <f t="shared" si="14"/>
        <v>Error?</v>
      </c>
    </row>
    <row r="964" spans="1:4" x14ac:dyDescent="0.2">
      <c r="A964" s="5">
        <v>903</v>
      </c>
      <c r="B964" s="138">
        <f>'Expenditures 15-22'!G49</f>
        <v>4808</v>
      </c>
      <c r="D964" s="2" t="str">
        <f t="shared" si="14"/>
        <v>Error?</v>
      </c>
    </row>
    <row r="965" spans="1:4" x14ac:dyDescent="0.2">
      <c r="A965" s="5">
        <v>904</v>
      </c>
      <c r="B965" s="138">
        <f>'Expenditures 15-22'!G50</f>
        <v>0</v>
      </c>
      <c r="D965" s="2" t="str">
        <f t="shared" si="14"/>
        <v>Error?</v>
      </c>
    </row>
    <row r="966" spans="1:4" x14ac:dyDescent="0.2">
      <c r="A966" s="5">
        <v>905</v>
      </c>
      <c r="B966" s="138">
        <f>'Expenditures 15-22'!G53</f>
        <v>4808</v>
      </c>
      <c r="C966" s="2" t="s">
        <v>573</v>
      </c>
      <c r="D966" s="2" t="str">
        <f t="shared" si="14"/>
        <v>Error?</v>
      </c>
    </row>
    <row r="967" spans="1:4" x14ac:dyDescent="0.2">
      <c r="A967" s="5">
        <v>906</v>
      </c>
      <c r="B967" s="138">
        <f>'Expenditures 15-22'!G55</f>
        <v>26491</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26491</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658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658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107766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156235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1832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8071</v>
      </c>
      <c r="D1007" s="2" t="str">
        <f t="shared" si="14"/>
        <v>Error?</v>
      </c>
    </row>
    <row r="1008" spans="1:4" x14ac:dyDescent="0.2">
      <c r="A1008" s="5">
        <v>947</v>
      </c>
      <c r="B1008" s="138">
        <f>'Expenditures 15-22'!H14</f>
        <v>10946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20849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225</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225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721</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721</v>
      </c>
      <c r="C1021" s="2" t="s">
        <v>573</v>
      </c>
      <c r="D1021" s="2" t="str">
        <f t="shared" si="14"/>
        <v>Error?</v>
      </c>
    </row>
    <row r="1022" spans="1:4" x14ac:dyDescent="0.2">
      <c r="A1022" s="5">
        <v>961</v>
      </c>
      <c r="B1022" s="138">
        <f>'Expenditures 15-22'!H49</f>
        <v>11629</v>
      </c>
      <c r="D1022" s="2" t="str">
        <f t="shared" si="14"/>
        <v>Error?</v>
      </c>
    </row>
    <row r="1023" spans="1:4" x14ac:dyDescent="0.2">
      <c r="A1023" s="5">
        <v>962</v>
      </c>
      <c r="B1023" s="138">
        <f>'Expenditures 15-22'!H50</f>
        <v>628</v>
      </c>
      <c r="D1023" s="2" t="str">
        <f t="shared" ref="D1023:D1086" si="15">IF(ISBLANK(B1023),"OK",IF(A1023-B1023=0,"OK","Error?"))</f>
        <v>Error?</v>
      </c>
    </row>
    <row r="1024" spans="1:4" x14ac:dyDescent="0.2">
      <c r="A1024" s="5">
        <v>963</v>
      </c>
      <c r="B1024" s="138">
        <f>'Expenditures 15-22'!H53</f>
        <v>12257</v>
      </c>
      <c r="C1024" s="2" t="s">
        <v>573</v>
      </c>
      <c r="D1024" s="2" t="str">
        <f t="shared" si="15"/>
        <v>Error?</v>
      </c>
    </row>
    <row r="1025" spans="1:4" x14ac:dyDescent="0.2">
      <c r="A1025" s="5">
        <v>964</v>
      </c>
      <c r="B1025" s="138">
        <f>'Expenditures 15-22'!H55</f>
        <v>2423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2423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10022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2890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12912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28538</v>
      </c>
      <c r="C1045" s="2" t="s">
        <v>573</v>
      </c>
      <c r="D1045" s="2" t="str">
        <f t="shared" si="15"/>
        <v>Error?</v>
      </c>
    </row>
    <row r="1046" spans="1:4" x14ac:dyDescent="0.2">
      <c r="A1046" s="5">
        <v>985</v>
      </c>
      <c r="B1046" s="138">
        <f>'Expenditures 15-22'!H75</f>
        <v>50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49437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3231552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210961</v>
      </c>
      <c r="C1105" s="2" t="s">
        <v>573</v>
      </c>
      <c r="D1105" s="2" t="str">
        <f t="shared" si="16"/>
        <v>Error?</v>
      </c>
    </row>
    <row r="1106" spans="1:4" x14ac:dyDescent="0.2">
      <c r="A1106" s="5">
        <v>1045</v>
      </c>
      <c r="B1106" s="138">
        <f>'Expenditures 15-22'!K14</f>
        <v>228240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4279051</v>
      </c>
      <c r="C1108" s="2" t="s">
        <v>573</v>
      </c>
      <c r="D1108" s="2" t="str">
        <f t="shared" si="16"/>
        <v>Error?</v>
      </c>
    </row>
    <row r="1109" spans="1:4" x14ac:dyDescent="0.2">
      <c r="A1109" s="5">
        <v>1048</v>
      </c>
      <c r="B1109" s="138">
        <f>'Expenditures 15-22'!K36</f>
        <v>127395</v>
      </c>
      <c r="C1109" s="2" t="s">
        <v>573</v>
      </c>
      <c r="D1109" s="2" t="str">
        <f t="shared" si="16"/>
        <v>Error?</v>
      </c>
    </row>
    <row r="1110" spans="1:4" x14ac:dyDescent="0.2">
      <c r="A1110" s="5">
        <v>1049</v>
      </c>
      <c r="B1110" s="138">
        <f>'Expenditures 15-22'!K37</f>
        <v>6389</v>
      </c>
      <c r="C1110" s="2" t="s">
        <v>573</v>
      </c>
      <c r="D1110" s="2" t="str">
        <f t="shared" si="16"/>
        <v>Error?</v>
      </c>
    </row>
    <row r="1111" spans="1:4" x14ac:dyDescent="0.2">
      <c r="A1111" s="5">
        <v>1050</v>
      </c>
      <c r="B1111" s="138">
        <f>'Expenditures 15-22'!K38</f>
        <v>30707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64668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229159</v>
      </c>
      <c r="C1115" s="2" t="s">
        <v>573</v>
      </c>
      <c r="D1115" s="2" t="str">
        <f t="shared" si="16"/>
        <v>Error?</v>
      </c>
    </row>
    <row r="1116" spans="1:4" x14ac:dyDescent="0.2">
      <c r="A1116" s="5">
        <v>1055</v>
      </c>
      <c r="B1116" s="138">
        <f>'Expenditures 15-22'!K44</f>
        <v>41466</v>
      </c>
      <c r="C1116" s="2" t="s">
        <v>573</v>
      </c>
      <c r="D1116" s="2" t="str">
        <f t="shared" si="16"/>
        <v>Error?</v>
      </c>
    </row>
    <row r="1117" spans="1:4" x14ac:dyDescent="0.2">
      <c r="A1117" s="5">
        <v>1056</v>
      </c>
      <c r="B1117" s="138">
        <f>'Expenditures 15-22'!K45</f>
        <v>378178</v>
      </c>
      <c r="C1117" s="2" t="s">
        <v>573</v>
      </c>
      <c r="D1117" s="2" t="str">
        <f t="shared" si="16"/>
        <v>Error?</v>
      </c>
    </row>
    <row r="1118" spans="1:4" x14ac:dyDescent="0.2">
      <c r="A1118" s="5">
        <v>1057</v>
      </c>
      <c r="B1118" s="138">
        <f>'Expenditures 15-22'!K46</f>
        <v>513</v>
      </c>
      <c r="C1118" s="2" t="s">
        <v>573</v>
      </c>
      <c r="D1118" s="2" t="str">
        <f t="shared" si="16"/>
        <v>Error?</v>
      </c>
    </row>
    <row r="1119" spans="1:4" x14ac:dyDescent="0.2">
      <c r="A1119" s="5">
        <v>1058</v>
      </c>
      <c r="B1119" s="138">
        <f>'Expenditures 15-22'!K47</f>
        <v>420157</v>
      </c>
      <c r="C1119" s="2" t="s">
        <v>573</v>
      </c>
      <c r="D1119" s="2" t="str">
        <f t="shared" si="16"/>
        <v>Error?</v>
      </c>
    </row>
    <row r="1120" spans="1:4" x14ac:dyDescent="0.2">
      <c r="A1120" s="5">
        <v>1059</v>
      </c>
      <c r="B1120" s="138">
        <f>'Expenditures 15-22'!K49</f>
        <v>609707</v>
      </c>
      <c r="C1120" s="2" t="s">
        <v>573</v>
      </c>
      <c r="D1120" s="2" t="str">
        <f t="shared" si="16"/>
        <v>Error?</v>
      </c>
    </row>
    <row r="1121" spans="1:4" x14ac:dyDescent="0.2">
      <c r="A1121" s="5">
        <v>1060</v>
      </c>
      <c r="B1121" s="138">
        <f>'Expenditures 15-22'!K50</f>
        <v>194352</v>
      </c>
      <c r="C1121" s="2" t="s">
        <v>573</v>
      </c>
      <c r="D1121" s="2" t="str">
        <f t="shared" si="16"/>
        <v>Error?</v>
      </c>
    </row>
    <row r="1122" spans="1:4" x14ac:dyDescent="0.2">
      <c r="A1122" s="5">
        <v>1061</v>
      </c>
      <c r="B1122" s="138">
        <f>'Expenditures 15-22'!K53</f>
        <v>804059</v>
      </c>
      <c r="C1122" s="2" t="s">
        <v>573</v>
      </c>
      <c r="D1122" s="2" t="str">
        <f t="shared" si="16"/>
        <v>Error?</v>
      </c>
    </row>
    <row r="1123" spans="1:4" x14ac:dyDescent="0.2">
      <c r="A1123" s="5">
        <v>1062</v>
      </c>
      <c r="B1123" s="138">
        <f>'Expenditures 15-22'!K55</f>
        <v>474404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474404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74720</v>
      </c>
      <c r="C1127" s="2" t="s">
        <v>573</v>
      </c>
      <c r="D1127" s="2" t="str">
        <f t="shared" si="16"/>
        <v>Error?</v>
      </c>
    </row>
    <row r="1128" spans="1:4" x14ac:dyDescent="0.2">
      <c r="A1128" s="5">
        <v>1067</v>
      </c>
      <c r="B1128" s="138">
        <f>'Expenditures 15-22'!K61</f>
        <v>188650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365985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629355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2557134</v>
      </c>
      <c r="C1143" s="2" t="s">
        <v>573</v>
      </c>
      <c r="D1143" s="2" t="str">
        <f t="shared" si="16"/>
        <v>Error?</v>
      </c>
    </row>
    <row r="1144" spans="1:4" x14ac:dyDescent="0.2">
      <c r="A1144" s="5">
        <v>1083</v>
      </c>
      <c r="B1144" s="138">
        <f>'Expenditures 15-22'!K75</f>
        <v>146867</v>
      </c>
      <c r="C1144" s="2" t="s">
        <v>573</v>
      </c>
      <c r="D1144" s="2" t="str">
        <f t="shared" si="16"/>
        <v>Error?</v>
      </c>
    </row>
    <row r="1145" spans="1:4" x14ac:dyDescent="0.2">
      <c r="A1145" s="5">
        <v>1084</v>
      </c>
      <c r="B1145" s="138">
        <f>'Expenditures 15-22'!K102</f>
        <v>300527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7283579</v>
      </c>
      <c r="C1152" s="2" t="s">
        <v>573</v>
      </c>
      <c r="D1152" s="2" t="str">
        <f t="shared" si="17"/>
        <v>Error?</v>
      </c>
    </row>
    <row r="1153" spans="1:4" x14ac:dyDescent="0.2">
      <c r="A1153" s="5">
        <v>1092</v>
      </c>
      <c r="B1153" s="138">
        <f>'Expenditures 15-22'!K115</f>
        <v>1245022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179021</v>
      </c>
      <c r="D1237" s="2" t="str">
        <f t="shared" si="18"/>
        <v>Error?</v>
      </c>
    </row>
    <row r="1238" spans="1:4" x14ac:dyDescent="0.2">
      <c r="A1238" s="10">
        <v>1177</v>
      </c>
      <c r="D1238" s="2" t="str">
        <f t="shared" si="18"/>
        <v>OK</v>
      </c>
    </row>
    <row r="1239" spans="1:4" x14ac:dyDescent="0.2">
      <c r="A1239" s="5">
        <v>1178</v>
      </c>
      <c r="B1239" s="138">
        <f>'Expenditures 15-22'!E127</f>
        <v>179021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179021</v>
      </c>
      <c r="C1241" s="2" t="s">
        <v>573</v>
      </c>
      <c r="D1241" s="2" t="str">
        <f t="shared" si="18"/>
        <v>Error?</v>
      </c>
    </row>
    <row r="1242" spans="1:4" x14ac:dyDescent="0.2">
      <c r="A1242" s="5">
        <v>1181</v>
      </c>
      <c r="B1242" s="138">
        <f>'Expenditures 15-22'!E151</f>
        <v>179021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236037</v>
      </c>
      <c r="D1245" s="2" t="str">
        <f t="shared" si="18"/>
        <v>Error?</v>
      </c>
    </row>
    <row r="1246" spans="1:4" x14ac:dyDescent="0.2">
      <c r="A1246" s="10">
        <v>1185</v>
      </c>
      <c r="D1246" s="2" t="str">
        <f t="shared" si="18"/>
        <v>OK</v>
      </c>
    </row>
    <row r="1247" spans="1:4" x14ac:dyDescent="0.2">
      <c r="A1247" s="5">
        <v>1186</v>
      </c>
      <c r="B1247" s="138">
        <f>'Expenditures 15-22'!F127</f>
        <v>236037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236037</v>
      </c>
      <c r="C1249" s="2" t="s">
        <v>573</v>
      </c>
      <c r="D1249" s="2" t="str">
        <f t="shared" si="18"/>
        <v>Error?</v>
      </c>
    </row>
    <row r="1250" spans="1:4" x14ac:dyDescent="0.2">
      <c r="A1250" s="5">
        <v>1189</v>
      </c>
      <c r="B1250" s="138">
        <f>'Expenditures 15-22'!F151</f>
        <v>236037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3950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3950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3950</v>
      </c>
      <c r="C1258" s="2" t="s">
        <v>573</v>
      </c>
      <c r="D1258" s="2" t="str">
        <f t="shared" si="18"/>
        <v>Error?</v>
      </c>
    </row>
    <row r="1259" spans="1:4" x14ac:dyDescent="0.2">
      <c r="A1259" s="5">
        <v>1198</v>
      </c>
      <c r="B1259" s="138">
        <f>'Expenditures 15-22'!G151</f>
        <v>3950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419008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419008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419008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419008</v>
      </c>
      <c r="C1288" s="2" t="s">
        <v>573</v>
      </c>
      <c r="D1288" s="2" t="str">
        <f t="shared" si="19"/>
        <v>Error?</v>
      </c>
    </row>
    <row r="1289" spans="1:4" x14ac:dyDescent="0.2">
      <c r="A1289" s="5">
        <v>1228</v>
      </c>
      <c r="B1289" s="138">
        <f>'Expenditures 15-22'!K152</f>
        <v>157571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279964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448300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728264</v>
      </c>
      <c r="C1317" s="2" t="s">
        <v>573</v>
      </c>
      <c r="D1317" s="2" t="str">
        <f t="shared" si="19"/>
        <v>Error?</v>
      </c>
    </row>
    <row r="1318" spans="1:4" x14ac:dyDescent="0.2">
      <c r="A1318" s="5">
        <v>1257</v>
      </c>
      <c r="B1318" s="138">
        <f>'Expenditures 15-22'!H174</f>
        <v>728264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279964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448300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728264</v>
      </c>
      <c r="C1331" s="2" t="s">
        <v>573</v>
      </c>
      <c r="D1331" s="2" t="str">
        <f t="shared" si="19"/>
        <v>Error?</v>
      </c>
    </row>
    <row r="1332" spans="1:4" x14ac:dyDescent="0.2">
      <c r="A1332" s="5">
        <v>1271</v>
      </c>
      <c r="B1332" s="138">
        <f>'Expenditures 15-22'!K174</f>
        <v>728264</v>
      </c>
      <c r="C1332" s="2" t="s">
        <v>573</v>
      </c>
      <c r="D1332" s="2" t="str">
        <f t="shared" si="19"/>
        <v>Error?</v>
      </c>
    </row>
    <row r="1333" spans="1:4" x14ac:dyDescent="0.2">
      <c r="A1333" s="5">
        <v>1272</v>
      </c>
      <c r="B1333" s="138">
        <f>'Expenditures 15-22'!K175</f>
        <v>-408588</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513451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513451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513451</v>
      </c>
      <c r="C1353" s="2" t="s">
        <v>573</v>
      </c>
      <c r="D1353" s="2" t="str">
        <f t="shared" si="20"/>
        <v>Error?</v>
      </c>
    </row>
    <row r="1354" spans="1:4" x14ac:dyDescent="0.2">
      <c r="A1354" s="5">
        <v>1293</v>
      </c>
      <c r="B1354" s="138">
        <f>'Expenditures 15-22'!F182</f>
        <v>6738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6738</v>
      </c>
      <c r="C1358" s="2" t="s">
        <v>573</v>
      </c>
      <c r="D1358" s="2" t="str">
        <f t="shared" si="20"/>
        <v>Error?</v>
      </c>
    </row>
    <row r="1359" spans="1:4" x14ac:dyDescent="0.2">
      <c r="A1359" s="5">
        <v>1298</v>
      </c>
      <c r="B1359" s="138">
        <f>'Expenditures 15-22'!F210</f>
        <v>6738</v>
      </c>
      <c r="C1359" s="2" t="s">
        <v>573</v>
      </c>
      <c r="D1359" s="2" t="str">
        <f t="shared" si="20"/>
        <v>Error?</v>
      </c>
    </row>
    <row r="1360" spans="1:4" x14ac:dyDescent="0.2">
      <c r="A1360" s="5">
        <v>1299</v>
      </c>
      <c r="B1360" s="138">
        <f>'Expenditures 15-22'!G182</f>
        <v>27236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27236</v>
      </c>
      <c r="C1364" s="2" t="s">
        <v>573</v>
      </c>
      <c r="D1364" s="2" t="str">
        <f t="shared" si="20"/>
        <v>Error?</v>
      </c>
    </row>
    <row r="1365" spans="1:4" x14ac:dyDescent="0.2">
      <c r="A1365" s="5">
        <v>1304</v>
      </c>
      <c r="B1365" s="138">
        <f>'Expenditures 15-22'!G210</f>
        <v>27236</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547425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547425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547425</v>
      </c>
      <c r="C1388" s="2" t="s">
        <v>573</v>
      </c>
      <c r="D1388" s="2" t="str">
        <f t="shared" si="20"/>
        <v>Error?</v>
      </c>
    </row>
    <row r="1389" spans="1:4" x14ac:dyDescent="0.2">
      <c r="A1389" s="5">
        <v>1328</v>
      </c>
      <c r="B1389" s="138">
        <f>'Expenditures 15-22'!K211</f>
        <v>-91044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2367</v>
      </c>
      <c r="D1407" s="2" t="str">
        <f t="shared" ref="D1407:D1470" si="21">IF(ISBLANK(B1407),"OK",IF(A1407-B1407=0,"OK","Error?"))</f>
        <v>Error?</v>
      </c>
    </row>
    <row r="1408" spans="1:4" x14ac:dyDescent="0.2">
      <c r="A1408" s="5">
        <v>1347</v>
      </c>
      <c r="B1408" s="138">
        <f>'Expenditures 15-22'!D223</f>
        <v>3385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68104</v>
      </c>
      <c r="C1410" s="2" t="s">
        <v>573</v>
      </c>
      <c r="D1410" s="2" t="str">
        <f t="shared" si="21"/>
        <v>Error?</v>
      </c>
    </row>
    <row r="1411" spans="1:4" x14ac:dyDescent="0.2">
      <c r="A1411" s="5">
        <v>1350</v>
      </c>
      <c r="B1411" s="138">
        <f>'Expenditures 15-22'!D232</f>
        <v>670</v>
      </c>
      <c r="D1411" s="2" t="str">
        <f t="shared" si="21"/>
        <v>Error?</v>
      </c>
    </row>
    <row r="1412" spans="1:4" x14ac:dyDescent="0.2">
      <c r="A1412" s="5">
        <v>1351</v>
      </c>
      <c r="B1412" s="138">
        <f>'Expenditures 15-22'!D233</f>
        <v>71</v>
      </c>
      <c r="D1412" s="2" t="str">
        <f t="shared" si="21"/>
        <v>Error?</v>
      </c>
    </row>
    <row r="1413" spans="1:4" x14ac:dyDescent="0.2">
      <c r="A1413" s="5">
        <v>1352</v>
      </c>
      <c r="B1413" s="138">
        <f>'Expenditures 15-22'!D234</f>
        <v>4198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711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5650</v>
      </c>
      <c r="C1417" s="2" t="s">
        <v>573</v>
      </c>
      <c r="D1417" s="2" t="str">
        <f t="shared" si="21"/>
        <v>Error?</v>
      </c>
    </row>
    <row r="1418" spans="1:4" x14ac:dyDescent="0.2">
      <c r="A1418" s="5">
        <v>1357</v>
      </c>
      <c r="B1418" s="138">
        <f>'Expenditures 15-22'!D240</f>
        <v>579</v>
      </c>
      <c r="D1418" s="2" t="str">
        <f t="shared" si="21"/>
        <v>Error?</v>
      </c>
    </row>
    <row r="1419" spans="1:4" x14ac:dyDescent="0.2">
      <c r="A1419" s="5">
        <v>1358</v>
      </c>
      <c r="B1419" s="138">
        <f>'Expenditures 15-22'!D241</f>
        <v>14122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14701</v>
      </c>
      <c r="C1421" s="2" t="s">
        <v>573</v>
      </c>
      <c r="D1421" s="2" t="str">
        <f t="shared" si="21"/>
        <v>Error?</v>
      </c>
    </row>
    <row r="1422" spans="1:4" x14ac:dyDescent="0.2">
      <c r="A1422" s="5">
        <v>1361</v>
      </c>
      <c r="B1422" s="138">
        <f>'Expenditures 15-22'!D245</f>
        <v>453</v>
      </c>
      <c r="D1422" s="2" t="str">
        <f t="shared" si="21"/>
        <v>Error?</v>
      </c>
    </row>
    <row r="1423" spans="1:4" x14ac:dyDescent="0.2">
      <c r="A1423" s="5">
        <v>1362</v>
      </c>
      <c r="B1423" s="138">
        <f>'Expenditures 15-22'!D246</f>
        <v>9246</v>
      </c>
      <c r="D1423" s="2" t="str">
        <f t="shared" si="21"/>
        <v>Error?</v>
      </c>
    </row>
    <row r="1424" spans="1:4" x14ac:dyDescent="0.2">
      <c r="A1424" s="5">
        <v>1363</v>
      </c>
      <c r="B1424" s="138">
        <f>'Expenditures 15-22'!D257</f>
        <v>9699</v>
      </c>
      <c r="C1424" s="2" t="s">
        <v>573</v>
      </c>
      <c r="D1424" s="2" t="str">
        <f t="shared" si="21"/>
        <v>Error?</v>
      </c>
    </row>
    <row r="1425" spans="1:4" x14ac:dyDescent="0.2">
      <c r="A1425" s="5">
        <v>1364</v>
      </c>
      <c r="B1425" s="138">
        <f>'Expenditures 15-22'!D259</f>
        <v>22783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22783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11040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31555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14502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57097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109930</v>
      </c>
      <c r="C1446" s="2" t="s">
        <v>573</v>
      </c>
      <c r="D1446" s="2" t="str">
        <f t="shared" si="21"/>
        <v>Error?</v>
      </c>
    </row>
    <row r="1447" spans="1:4" x14ac:dyDescent="0.2">
      <c r="A1447" s="5">
        <v>1386</v>
      </c>
      <c r="B1447" s="138">
        <f>'Expenditures 15-22'!D280</f>
        <v>24104</v>
      </c>
      <c r="D1447" s="2" t="str">
        <f t="shared" si="21"/>
        <v>Error?</v>
      </c>
    </row>
    <row r="1448" spans="1:4" x14ac:dyDescent="0.2">
      <c r="A1448" s="5">
        <v>1387</v>
      </c>
      <c r="B1448" s="138">
        <f>'Expenditures 15-22'!D295</f>
        <v>202138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2367</v>
      </c>
      <c r="C1471" s="2" t="s">
        <v>573</v>
      </c>
      <c r="D1471" s="2" t="str">
        <f t="shared" ref="D1471:D1534" si="22">IF(ISBLANK(B1471),"OK",IF(A1471-B1471=0,"OK","Error?"))</f>
        <v>Error?</v>
      </c>
    </row>
    <row r="1472" spans="1:4" x14ac:dyDescent="0.2">
      <c r="A1472" s="5">
        <v>1411</v>
      </c>
      <c r="B1472" s="138">
        <f>'Expenditures 15-22'!K223</f>
        <v>3385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68104</v>
      </c>
      <c r="C1474" s="2" t="s">
        <v>573</v>
      </c>
      <c r="D1474" s="2" t="str">
        <f t="shared" si="22"/>
        <v>Error?</v>
      </c>
    </row>
    <row r="1475" spans="1:4" x14ac:dyDescent="0.2">
      <c r="A1475" s="5">
        <v>1414</v>
      </c>
      <c r="B1475" s="138">
        <f>'Expenditures 15-22'!K232</f>
        <v>670</v>
      </c>
      <c r="C1475" s="2" t="s">
        <v>573</v>
      </c>
      <c r="D1475" s="2" t="str">
        <f t="shared" si="22"/>
        <v>Error?</v>
      </c>
    </row>
    <row r="1476" spans="1:4" x14ac:dyDescent="0.2">
      <c r="A1476" s="5">
        <v>1415</v>
      </c>
      <c r="B1476" s="138">
        <f>'Expenditures 15-22'!K233</f>
        <v>71</v>
      </c>
      <c r="C1476" s="2" t="s">
        <v>573</v>
      </c>
      <c r="D1476" s="2" t="str">
        <f t="shared" si="22"/>
        <v>Error?</v>
      </c>
    </row>
    <row r="1477" spans="1:4" x14ac:dyDescent="0.2">
      <c r="A1477" s="5">
        <v>1416</v>
      </c>
      <c r="B1477" s="138">
        <f>'Expenditures 15-22'!K234</f>
        <v>4198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711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5650</v>
      </c>
      <c r="C1481" s="2" t="s">
        <v>573</v>
      </c>
      <c r="D1481" s="2" t="str">
        <f t="shared" si="22"/>
        <v>Error?</v>
      </c>
    </row>
    <row r="1482" spans="1:4" x14ac:dyDescent="0.2">
      <c r="A1482" s="5">
        <v>1421</v>
      </c>
      <c r="B1482" s="138">
        <f>'Expenditures 15-22'!K240</f>
        <v>579</v>
      </c>
      <c r="C1482" s="2" t="s">
        <v>573</v>
      </c>
      <c r="D1482" s="2" t="str">
        <f t="shared" si="22"/>
        <v>Error?</v>
      </c>
    </row>
    <row r="1483" spans="1:4" x14ac:dyDescent="0.2">
      <c r="A1483" s="5">
        <v>1422</v>
      </c>
      <c r="B1483" s="138">
        <f>'Expenditures 15-22'!K241</f>
        <v>14122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14701</v>
      </c>
      <c r="C1485" s="2" t="s">
        <v>573</v>
      </c>
      <c r="D1485" s="2" t="str">
        <f t="shared" si="22"/>
        <v>Error?</v>
      </c>
    </row>
    <row r="1486" spans="1:4" x14ac:dyDescent="0.2">
      <c r="A1486" s="5">
        <v>1425</v>
      </c>
      <c r="B1486" s="138">
        <f>'Expenditures 15-22'!K245</f>
        <v>453</v>
      </c>
      <c r="C1486" s="2" t="s">
        <v>573</v>
      </c>
      <c r="D1486" s="2" t="str">
        <f t="shared" si="22"/>
        <v>Error?</v>
      </c>
    </row>
    <row r="1487" spans="1:4" x14ac:dyDescent="0.2">
      <c r="A1487" s="5">
        <v>1426</v>
      </c>
      <c r="B1487" s="138">
        <f>'Expenditures 15-22'!K246</f>
        <v>9246</v>
      </c>
      <c r="C1487" s="2" t="s">
        <v>573</v>
      </c>
      <c r="D1487" s="2" t="str">
        <f t="shared" si="22"/>
        <v>Error?</v>
      </c>
    </row>
    <row r="1488" spans="1:4" x14ac:dyDescent="0.2">
      <c r="A1488" s="5">
        <v>1427</v>
      </c>
      <c r="B1488" s="138">
        <f>'Expenditures 15-22'!K257</f>
        <v>9699</v>
      </c>
      <c r="C1488" s="2" t="s">
        <v>573</v>
      </c>
      <c r="D1488" s="2" t="str">
        <f t="shared" si="22"/>
        <v>Error?</v>
      </c>
    </row>
    <row r="1489" spans="1:4" x14ac:dyDescent="0.2">
      <c r="A1489" s="5">
        <v>1428</v>
      </c>
      <c r="B1489" s="138">
        <f>'Expenditures 15-22'!K259</f>
        <v>22783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22783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11040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31555</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14502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57097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109930</v>
      </c>
      <c r="C1510" s="2" t="s">
        <v>573</v>
      </c>
      <c r="D1510" s="2" t="str">
        <f t="shared" si="22"/>
        <v>Error?</v>
      </c>
    </row>
    <row r="1511" spans="1:4" x14ac:dyDescent="0.2">
      <c r="A1511" s="5">
        <v>1450</v>
      </c>
      <c r="B1511" s="138">
        <f>'Expenditures 15-22'!K280</f>
        <v>24104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202138</v>
      </c>
      <c r="C1517" s="2" t="s">
        <v>573</v>
      </c>
      <c r="D1517" s="2" t="str">
        <f t="shared" si="22"/>
        <v>Error?</v>
      </c>
    </row>
    <row r="1518" spans="1:4" x14ac:dyDescent="0.2">
      <c r="A1518" s="5">
        <v>1457</v>
      </c>
      <c r="B1518" s="138">
        <f>'Expenditures 15-22'!K296</f>
        <v>86533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33399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746369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1562913</v>
      </c>
      <c r="C1630" s="2" t="s">
        <v>573</v>
      </c>
      <c r="D1630" s="2" t="str">
        <f t="shared" si="24"/>
        <v>Error?</v>
      </c>
    </row>
    <row r="1631" spans="1:4" x14ac:dyDescent="0.2">
      <c r="A1631" s="5">
        <v>1570</v>
      </c>
      <c r="B1631" s="138">
        <f>'Acct Summary 7-8'!D79</f>
        <v>584690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742261</v>
      </c>
      <c r="C1644" s="2" t="s">
        <v>573</v>
      </c>
      <c r="D1644" s="2" t="str">
        <f t="shared" si="24"/>
        <v>Error?</v>
      </c>
    </row>
    <row r="1645" spans="1:4" x14ac:dyDescent="0.2">
      <c r="A1645" s="5">
        <v>1584</v>
      </c>
      <c r="B1645" s="138">
        <f>'Acct Summary 7-8'!E79</f>
        <v>4275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24165</v>
      </c>
      <c r="C1658" s="2" t="s">
        <v>573</v>
      </c>
      <c r="D1658" s="2" t="str">
        <f t="shared" si="24"/>
        <v>Error?</v>
      </c>
    </row>
    <row r="1659" spans="1:4" x14ac:dyDescent="0.2">
      <c r="A1659" s="5">
        <v>1598</v>
      </c>
      <c r="B1659" s="138">
        <f>'Acct Summary 7-8'!F79</f>
        <v>283968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192924</v>
      </c>
      <c r="C1672" s="2" t="s">
        <v>573</v>
      </c>
      <c r="D1672" s="2" t="str">
        <f t="shared" si="25"/>
        <v>Error?</v>
      </c>
    </row>
    <row r="1673" spans="1:4" x14ac:dyDescent="0.2">
      <c r="A1673" s="5">
        <v>1612</v>
      </c>
      <c r="B1673" s="138">
        <f>'Acct Summary 7-8'!G79</f>
        <v>112406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198939</v>
      </c>
      <c r="C1686" s="2" t="s">
        <v>573</v>
      </c>
      <c r="D1686" s="2" t="str">
        <f t="shared" si="25"/>
        <v>Error?</v>
      </c>
    </row>
    <row r="1687" spans="1:4" x14ac:dyDescent="0.2">
      <c r="A1687" s="5">
        <v>1626</v>
      </c>
      <c r="B1687" s="138">
        <f>'Acct Summary 7-8'!H79</f>
        <v>63723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97122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4531822</v>
      </c>
      <c r="C1744" s="2" t="s">
        <v>573</v>
      </c>
      <c r="D1744" s="2" t="str">
        <f t="shared" si="26"/>
        <v>Error?</v>
      </c>
    </row>
    <row r="1745" spans="1:5" x14ac:dyDescent="0.2">
      <c r="A1745" s="5">
        <v>1684</v>
      </c>
      <c r="B1745" s="138">
        <f>'Tax Sched 23'!B5</f>
        <v>562732</v>
      </c>
      <c r="C1745" s="2" t="s">
        <v>573</v>
      </c>
      <c r="D1745" s="2" t="str">
        <f t="shared" si="26"/>
        <v>Error?</v>
      </c>
    </row>
    <row r="1746" spans="1:5" x14ac:dyDescent="0.2">
      <c r="A1746" s="5">
        <v>1685</v>
      </c>
      <c r="B1746" s="138">
        <f>'Tax Sched 23'!B6</f>
        <v>319676</v>
      </c>
      <c r="C1746" s="2" t="s">
        <v>573</v>
      </c>
      <c r="D1746" s="2" t="str">
        <f t="shared" si="26"/>
        <v>Error?</v>
      </c>
    </row>
    <row r="1747" spans="1:5" x14ac:dyDescent="0.2">
      <c r="A1747" s="5">
        <v>1686</v>
      </c>
      <c r="B1747" s="138">
        <f>'Tax Sched 23'!B7</f>
        <v>200983</v>
      </c>
      <c r="C1747" s="2" t="s">
        <v>573</v>
      </c>
      <c r="D1747" s="2" t="str">
        <f t="shared" si="26"/>
        <v>Error?</v>
      </c>
    </row>
    <row r="1748" spans="1:5" x14ac:dyDescent="0.2">
      <c r="A1748" s="5">
        <v>1687</v>
      </c>
      <c r="B1748" s="138">
        <f>'Tax Sched 23'!B8</f>
        <v>120593</v>
      </c>
      <c r="C1748" s="2" t="s">
        <v>573</v>
      </c>
      <c r="D1748" s="2" t="str">
        <f t="shared" si="26"/>
        <v>Error?</v>
      </c>
    </row>
    <row r="1749" spans="1:5" x14ac:dyDescent="0.2">
      <c r="A1749" s="5">
        <v>1688</v>
      </c>
      <c r="B1749" s="138">
        <f>'Tax Sched 23'!B10</f>
        <v>50255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90987</v>
      </c>
      <c r="C1752" s="2" t="s">
        <v>573</v>
      </c>
      <c r="D1752" s="2" t="str">
        <f t="shared" si="26"/>
        <v>Error?</v>
      </c>
    </row>
    <row r="1753" spans="1:5" x14ac:dyDescent="0.2">
      <c r="A1753" s="5">
        <v>1692</v>
      </c>
      <c r="B1753" s="138">
        <f>'Tax Sched 23'!B12</f>
        <v>1020</v>
      </c>
      <c r="C1753" s="2" t="s">
        <v>573</v>
      </c>
      <c r="D1753" s="2" t="str">
        <f t="shared" si="26"/>
        <v>Error?</v>
      </c>
    </row>
    <row r="1754" spans="1:5" x14ac:dyDescent="0.2">
      <c r="A1754" s="5">
        <v>1693</v>
      </c>
      <c r="B1754" s="138">
        <f>'Tax Sched 23'!B14</f>
        <v>51749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6147386</v>
      </c>
      <c r="C1759" s="2" t="s">
        <v>573</v>
      </c>
      <c r="D1759" s="2" t="str">
        <f t="shared" si="26"/>
        <v>Error?</v>
      </c>
    </row>
    <row r="1760" spans="1:5" x14ac:dyDescent="0.2">
      <c r="A1760" s="5">
        <v>1699</v>
      </c>
      <c r="B1760" s="138">
        <f>'Tax Sched 23'!D4</f>
        <v>4531822</v>
      </c>
      <c r="C1760" s="2" t="s">
        <v>573</v>
      </c>
      <c r="D1760" s="2" t="str">
        <f t="shared" si="26"/>
        <v>Error?</v>
      </c>
    </row>
    <row r="1761" spans="1:5" x14ac:dyDescent="0.2">
      <c r="A1761" s="5">
        <v>1700</v>
      </c>
      <c r="B1761" s="138">
        <f>'Tax Sched 23'!D5</f>
        <v>562732</v>
      </c>
      <c r="C1761" s="2" t="s">
        <v>573</v>
      </c>
      <c r="D1761" s="2" t="str">
        <f t="shared" si="26"/>
        <v>Error?</v>
      </c>
    </row>
    <row r="1762" spans="1:5" s="8" customFormat="1" x14ac:dyDescent="0.2">
      <c r="A1762" s="5">
        <v>1701</v>
      </c>
      <c r="B1762" s="138">
        <f>'Tax Sched 23'!D6</f>
        <v>319676</v>
      </c>
      <c r="C1762" s="2" t="s">
        <v>573</v>
      </c>
      <c r="D1762" s="2" t="str">
        <f t="shared" si="26"/>
        <v>Error?</v>
      </c>
      <c r="E1762" s="9"/>
    </row>
    <row r="1763" spans="1:5" x14ac:dyDescent="0.2">
      <c r="A1763" s="5">
        <v>1702</v>
      </c>
      <c r="B1763" s="138">
        <f>'Tax Sched 23'!D7</f>
        <v>200983</v>
      </c>
      <c r="C1763" s="2" t="s">
        <v>573</v>
      </c>
      <c r="D1763" s="2" t="str">
        <f t="shared" si="26"/>
        <v>Error?</v>
      </c>
    </row>
    <row r="1764" spans="1:5" x14ac:dyDescent="0.2">
      <c r="A1764" s="5">
        <v>1703</v>
      </c>
      <c r="B1764" s="138">
        <f>'Tax Sched 23'!D8</f>
        <v>120593</v>
      </c>
      <c r="C1764" s="2" t="s">
        <v>573</v>
      </c>
      <c r="D1764" s="2" t="str">
        <f t="shared" si="26"/>
        <v>Error?</v>
      </c>
    </row>
    <row r="1765" spans="1:5" x14ac:dyDescent="0.2">
      <c r="A1765" s="5">
        <v>1704</v>
      </c>
      <c r="B1765" s="138">
        <f>'Tax Sched 23'!D10</f>
        <v>50255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90987</v>
      </c>
      <c r="C1768" s="2" t="s">
        <v>573</v>
      </c>
      <c r="D1768" s="2" t="str">
        <f t="shared" si="26"/>
        <v>Error?</v>
      </c>
    </row>
    <row r="1769" spans="1:5" x14ac:dyDescent="0.2">
      <c r="A1769" s="5">
        <v>1708</v>
      </c>
      <c r="B1769" s="138">
        <f>'Tax Sched 23'!D12</f>
        <v>1020</v>
      </c>
      <c r="C1769" s="2" t="s">
        <v>573</v>
      </c>
      <c r="D1769" s="2" t="str">
        <f t="shared" si="26"/>
        <v>Error?</v>
      </c>
    </row>
    <row r="1770" spans="1:5" x14ac:dyDescent="0.2">
      <c r="A1770" s="5">
        <v>1709</v>
      </c>
      <c r="B1770" s="138">
        <f>'Tax Sched 23'!D14</f>
        <v>51749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6147386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4581284</v>
      </c>
      <c r="C1792" s="2" t="s">
        <v>573</v>
      </c>
      <c r="D1792" s="2" t="str">
        <f t="shared" si="27"/>
        <v>Error?</v>
      </c>
    </row>
    <row r="1793" spans="1:4" x14ac:dyDescent="0.2">
      <c r="A1793" s="5">
        <v>1732</v>
      </c>
      <c r="B1793" s="138">
        <f>'Tax Sched 23'!F5</f>
        <v>556802</v>
      </c>
      <c r="C1793" s="2" t="s">
        <v>573</v>
      </c>
      <c r="D1793" s="2" t="str">
        <f t="shared" si="27"/>
        <v>Error?</v>
      </c>
    </row>
    <row r="1794" spans="1:4" x14ac:dyDescent="0.2">
      <c r="A1794" s="5">
        <v>1733</v>
      </c>
      <c r="B1794" s="138">
        <f>'Tax Sched 23'!F6</f>
        <v>308822</v>
      </c>
      <c r="C1794" s="2" t="s">
        <v>573</v>
      </c>
      <c r="D1794" s="2" t="str">
        <f t="shared" si="27"/>
        <v>Error?</v>
      </c>
    </row>
    <row r="1795" spans="1:4" x14ac:dyDescent="0.2">
      <c r="A1795" s="5">
        <v>1734</v>
      </c>
      <c r="B1795" s="138">
        <f>'Tax Sched 23'!F7</f>
        <v>202328</v>
      </c>
      <c r="C1795" s="2" t="s">
        <v>573</v>
      </c>
      <c r="D1795" s="2" t="str">
        <f t="shared" si="27"/>
        <v>Error?</v>
      </c>
    </row>
    <row r="1796" spans="1:4" x14ac:dyDescent="0.2">
      <c r="A1796" s="5">
        <v>1735</v>
      </c>
      <c r="B1796" s="138">
        <f>'Tax Sched 23'!F8</f>
        <v>96981</v>
      </c>
      <c r="C1796" s="2" t="s">
        <v>573</v>
      </c>
      <c r="D1796" s="2" t="str">
        <f t="shared" si="27"/>
        <v>Error?</v>
      </c>
    </row>
    <row r="1797" spans="1:4" x14ac:dyDescent="0.2">
      <c r="A1797" s="5">
        <v>1736</v>
      </c>
      <c r="B1797" s="138">
        <f>'Tax Sched 23'!F10</f>
        <v>50603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91609</v>
      </c>
      <c r="C1800" s="2" t="s">
        <v>573</v>
      </c>
      <c r="D1800" s="2" t="str">
        <f t="shared" si="27"/>
        <v>Error?</v>
      </c>
    </row>
    <row r="1801" spans="1:4" x14ac:dyDescent="0.2">
      <c r="A1801" s="5">
        <v>1740</v>
      </c>
      <c r="B1801" s="138">
        <f>'Tax Sched 23'!F12</f>
        <v>48469</v>
      </c>
      <c r="C1801" s="2" t="s">
        <v>573</v>
      </c>
      <c r="D1801" s="2" t="str">
        <f t="shared" si="27"/>
        <v>Error?</v>
      </c>
    </row>
    <row r="1802" spans="1:4" x14ac:dyDescent="0.2">
      <c r="A1802" s="5">
        <v>1741</v>
      </c>
      <c r="B1802" s="138">
        <f>'Tax Sched 23'!F14</f>
        <v>52106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6174325</v>
      </c>
      <c r="C1807" s="2" t="s">
        <v>573</v>
      </c>
      <c r="D1807" s="2" t="str">
        <f t="shared" si="27"/>
        <v>Error?</v>
      </c>
    </row>
    <row r="1808" spans="1:4" x14ac:dyDescent="0.2">
      <c r="A1808" s="5">
        <v>1747</v>
      </c>
      <c r="B1808" s="138">
        <f>'Tax Sched 23'!E4</f>
        <v>4581284</v>
      </c>
      <c r="D1808" s="2" t="str">
        <f t="shared" si="27"/>
        <v>Error?</v>
      </c>
    </row>
    <row r="1809" spans="1:4" x14ac:dyDescent="0.2">
      <c r="A1809" s="5">
        <v>1748</v>
      </c>
      <c r="B1809" s="138">
        <f>'Tax Sched 23'!E5</f>
        <v>556802</v>
      </c>
      <c r="D1809" s="2" t="str">
        <f t="shared" si="27"/>
        <v>Error?</v>
      </c>
    </row>
    <row r="1810" spans="1:4" x14ac:dyDescent="0.2">
      <c r="A1810" s="5">
        <v>1749</v>
      </c>
      <c r="B1810" s="138">
        <f>'Tax Sched 23'!E6</f>
        <v>308822</v>
      </c>
      <c r="D1810" s="2" t="str">
        <f t="shared" si="27"/>
        <v>Error?</v>
      </c>
    </row>
    <row r="1811" spans="1:4" x14ac:dyDescent="0.2">
      <c r="A1811" s="5">
        <v>1750</v>
      </c>
      <c r="B1811" s="138">
        <f>'Tax Sched 23'!E7</f>
        <v>202328</v>
      </c>
      <c r="D1811" s="2" t="str">
        <f t="shared" si="27"/>
        <v>Error?</v>
      </c>
    </row>
    <row r="1812" spans="1:4" x14ac:dyDescent="0.2">
      <c r="A1812" s="5">
        <v>1751</v>
      </c>
      <c r="B1812" s="138">
        <f>'Tax Sched 23'!E8</f>
        <v>96981</v>
      </c>
      <c r="D1812" s="2" t="str">
        <f t="shared" si="27"/>
        <v>Error?</v>
      </c>
    </row>
    <row r="1813" spans="1:4" x14ac:dyDescent="0.2">
      <c r="A1813" s="5">
        <v>1752</v>
      </c>
      <c r="B1813" s="138">
        <f>'Tax Sched 23'!E10</f>
        <v>50603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91609</v>
      </c>
      <c r="D1816" s="2" t="str">
        <f t="shared" si="27"/>
        <v>Error?</v>
      </c>
    </row>
    <row r="1817" spans="1:4" x14ac:dyDescent="0.2">
      <c r="A1817" s="5">
        <v>1756</v>
      </c>
      <c r="B1817" s="138">
        <f>'Tax Sched 23'!E12</f>
        <v>48469</v>
      </c>
      <c r="D1817" s="2" t="str">
        <f t="shared" si="27"/>
        <v>Error?</v>
      </c>
    </row>
    <row r="1818" spans="1:4" x14ac:dyDescent="0.2">
      <c r="A1818" s="5">
        <v>1757</v>
      </c>
      <c r="B1818" s="138">
        <f>'Tax Sched 23'!E14</f>
        <v>52106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6174325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10241400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51749</v>
      </c>
      <c r="D1972" s="2" t="str">
        <f t="shared" si="29"/>
        <v>Error?</v>
      </c>
    </row>
    <row r="1973" spans="1:5" x14ac:dyDescent="0.2">
      <c r="A1973" s="5">
        <v>1912</v>
      </c>
      <c r="B1973" s="138">
        <f>'Rest Tax Levies-Tort Im 25'!H6</f>
        <v>776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52525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52525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17546</v>
      </c>
      <c r="D2008" s="2" t="str">
        <f t="shared" si="30"/>
        <v>Error?</v>
      </c>
    </row>
    <row r="2009" spans="1:4" x14ac:dyDescent="0.2">
      <c r="A2009" s="5">
        <v>1948</v>
      </c>
      <c r="B2009" s="138">
        <f>'Cap Outlay Deprec 26'!C8</f>
        <v>23877555</v>
      </c>
      <c r="D2009" s="2" t="str">
        <f t="shared" si="30"/>
        <v>Error?</v>
      </c>
    </row>
    <row r="2010" spans="1:4" x14ac:dyDescent="0.2">
      <c r="A2010" s="5">
        <v>1949</v>
      </c>
      <c r="B2010" s="138">
        <f>'Cap Outlay Deprec 26'!C10</f>
        <v>404504</v>
      </c>
      <c r="D2010" s="2" t="str">
        <f t="shared" si="30"/>
        <v>Error?</v>
      </c>
    </row>
    <row r="2011" spans="1:4" x14ac:dyDescent="0.2">
      <c r="A2011" s="5">
        <v>1950</v>
      </c>
      <c r="B2011" s="138">
        <f>'Cap Outlay Deprec 26'!C12</f>
        <v>1227494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25527099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160185</v>
      </c>
      <c r="D2017" s="2" t="str">
        <f t="shared" si="30"/>
        <v>Error?</v>
      </c>
    </row>
    <row r="2018" spans="1:4" x14ac:dyDescent="0.2">
      <c r="A2018" s="5">
        <v>1957</v>
      </c>
      <c r="B2018" s="138">
        <f>'Cap Outlay Deprec 26'!D13</f>
        <v>27236</v>
      </c>
      <c r="D2018" s="2" t="str">
        <f t="shared" si="30"/>
        <v>Error?</v>
      </c>
    </row>
    <row r="2019" spans="1:4" x14ac:dyDescent="0.2">
      <c r="A2019" s="5">
        <v>1958</v>
      </c>
      <c r="B2019" s="138">
        <f>'Cap Outlay Deprec 26'!D16</f>
        <v>187421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116519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116519</v>
      </c>
      <c r="C2025" s="2" t="s">
        <v>573</v>
      </c>
      <c r="D2025" s="2" t="str">
        <f t="shared" si="30"/>
        <v>Error?</v>
      </c>
    </row>
    <row r="2026" spans="1:4" x14ac:dyDescent="0.2">
      <c r="A2026" s="5">
        <v>1965</v>
      </c>
      <c r="B2026" s="138">
        <f>'Cap Outlay Deprec 26'!F5</f>
        <v>17546</v>
      </c>
      <c r="C2026" s="2" t="s">
        <v>573</v>
      </c>
      <c r="D2026" s="2" t="str">
        <f t="shared" si="30"/>
        <v>Error?</v>
      </c>
    </row>
    <row r="2027" spans="1:4" x14ac:dyDescent="0.2">
      <c r="A2027" s="5">
        <v>1966</v>
      </c>
      <c r="B2027" s="138">
        <f>'Cap Outlay Deprec 26'!F8</f>
        <v>23877555</v>
      </c>
      <c r="C2027" s="2" t="s">
        <v>573</v>
      </c>
      <c r="D2027" s="2" t="str">
        <f t="shared" si="30"/>
        <v>Error?</v>
      </c>
    </row>
    <row r="2028" spans="1:4" x14ac:dyDescent="0.2">
      <c r="A2028" s="5">
        <v>1967</v>
      </c>
      <c r="B2028" s="138">
        <f>'Cap Outlay Deprec 26'!F10</f>
        <v>404504</v>
      </c>
      <c r="C2028" s="2" t="s">
        <v>573</v>
      </c>
      <c r="D2028" s="2" t="str">
        <f t="shared" si="30"/>
        <v>Error?</v>
      </c>
    </row>
    <row r="2029" spans="1:4" x14ac:dyDescent="0.2">
      <c r="A2029" s="5">
        <v>1968</v>
      </c>
      <c r="B2029" s="138">
        <f>'Cap Outlay Deprec 26'!F12</f>
        <v>1271160</v>
      </c>
      <c r="C2029" s="2" t="s">
        <v>573</v>
      </c>
      <c r="D2029" s="2" t="str">
        <f t="shared" si="30"/>
        <v>Error?</v>
      </c>
    </row>
    <row r="2030" spans="1:4" x14ac:dyDescent="0.2">
      <c r="A2030" s="5">
        <v>1969</v>
      </c>
      <c r="B2030" s="138">
        <f>'Cap Outlay Deprec 26'!F13</f>
        <v>27236</v>
      </c>
      <c r="C2030" s="2" t="s">
        <v>573</v>
      </c>
      <c r="D2030" s="2" t="str">
        <f t="shared" si="30"/>
        <v>Error?</v>
      </c>
    </row>
    <row r="2031" spans="1:4" x14ac:dyDescent="0.2">
      <c r="A2031" s="5">
        <v>1970</v>
      </c>
      <c r="B2031" s="138">
        <f>'Cap Outlay Deprec 26'!F16</f>
        <v>25598001</v>
      </c>
      <c r="C2031" s="2" t="s">
        <v>573</v>
      </c>
      <c r="D2031" s="2" t="str">
        <f t="shared" si="30"/>
        <v>Error?</v>
      </c>
    </row>
    <row r="2032" spans="1:4" x14ac:dyDescent="0.2">
      <c r="A2032" s="10">
        <v>1971</v>
      </c>
      <c r="D2032" s="2" t="str">
        <f t="shared" si="30"/>
        <v>OK</v>
      </c>
    </row>
    <row r="2033" spans="1:4" x14ac:dyDescent="0.2">
      <c r="A2033" s="5">
        <v>1972</v>
      </c>
      <c r="B2033" s="138">
        <f>'Cap Outlay Deprec 26'!H8</f>
        <v>7203784</v>
      </c>
      <c r="D2033" s="2" t="str">
        <f t="shared" si="30"/>
        <v>Error?</v>
      </c>
    </row>
    <row r="2034" spans="1:4" x14ac:dyDescent="0.2">
      <c r="A2034" s="5">
        <v>1973</v>
      </c>
      <c r="B2034" s="138">
        <f>'Cap Outlay Deprec 26'!H10</f>
        <v>270645</v>
      </c>
      <c r="D2034" s="2" t="str">
        <f t="shared" si="30"/>
        <v>Error?</v>
      </c>
    </row>
    <row r="2035" spans="1:4" x14ac:dyDescent="0.2">
      <c r="A2035" s="5">
        <v>1974</v>
      </c>
      <c r="B2035" s="138">
        <f>'Cap Outlay Deprec 26'!H12</f>
        <v>653662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8128091</v>
      </c>
      <c r="C2037" s="2" t="s">
        <v>573</v>
      </c>
      <c r="D2037" s="2" t="str">
        <f t="shared" si="30"/>
        <v>Error?</v>
      </c>
    </row>
    <row r="2038" spans="1:4" x14ac:dyDescent="0.2">
      <c r="A2038" s="10">
        <v>1977</v>
      </c>
      <c r="D2038" s="2" t="str">
        <f t="shared" si="30"/>
        <v>OK</v>
      </c>
    </row>
    <row r="2039" spans="1:4" x14ac:dyDescent="0.2">
      <c r="A2039" s="5">
        <v>1978</v>
      </c>
      <c r="B2039" s="138">
        <f>'Cap Outlay Deprec 26'!I8</f>
        <v>444085</v>
      </c>
      <c r="D2039" s="2" t="str">
        <f t="shared" si="30"/>
        <v>Error?</v>
      </c>
    </row>
    <row r="2040" spans="1:4" x14ac:dyDescent="0.2">
      <c r="A2040" s="5">
        <v>1979</v>
      </c>
      <c r="B2040" s="138">
        <f>'Cap Outlay Deprec 26'!I10</f>
        <v>20230</v>
      </c>
      <c r="D2040" s="2" t="str">
        <f t="shared" si="30"/>
        <v>Error?</v>
      </c>
    </row>
    <row r="2041" spans="1:4" x14ac:dyDescent="0.2">
      <c r="A2041" s="5">
        <v>1980</v>
      </c>
      <c r="B2041" s="138">
        <f>'Cap Outlay Deprec 26'!I12</f>
        <v>112580</v>
      </c>
      <c r="D2041" s="2" t="str">
        <f t="shared" si="30"/>
        <v>Error?</v>
      </c>
    </row>
    <row r="2042" spans="1:4" x14ac:dyDescent="0.2">
      <c r="A2042" s="5">
        <v>1981</v>
      </c>
      <c r="B2042" s="138">
        <f>'Cap Outlay Deprec 26'!I13</f>
        <v>5447</v>
      </c>
      <c r="D2042" s="2" t="str">
        <f t="shared" si="30"/>
        <v>Error?</v>
      </c>
    </row>
    <row r="2043" spans="1:4" x14ac:dyDescent="0.2">
      <c r="A2043" s="5">
        <v>1982</v>
      </c>
      <c r="B2043" s="138">
        <f>'Cap Outlay Deprec 26'!I16</f>
        <v>582342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116519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116519</v>
      </c>
      <c r="C2049" s="2" t="s">
        <v>573</v>
      </c>
      <c r="D2049" s="2" t="str">
        <f t="shared" si="31"/>
        <v>Error?</v>
      </c>
    </row>
    <row r="2050" spans="1:4" x14ac:dyDescent="0.2">
      <c r="A2050" s="10">
        <v>1989</v>
      </c>
      <c r="D2050" s="2" t="str">
        <f t="shared" si="31"/>
        <v>OK</v>
      </c>
    </row>
    <row r="2051" spans="1:4" x14ac:dyDescent="0.2">
      <c r="A2051" s="5">
        <v>1990</v>
      </c>
      <c r="B2051" s="138">
        <f>'Cap Outlay Deprec 26'!K8</f>
        <v>7647869</v>
      </c>
      <c r="C2051" s="2" t="s">
        <v>573</v>
      </c>
      <c r="D2051" s="2" t="str">
        <f t="shared" si="31"/>
        <v>Error?</v>
      </c>
    </row>
    <row r="2052" spans="1:4" x14ac:dyDescent="0.2">
      <c r="A2052" s="5">
        <v>1991</v>
      </c>
      <c r="B2052" s="138">
        <f>'Cap Outlay Deprec 26'!K10</f>
        <v>290875</v>
      </c>
      <c r="C2052" s="2" t="s">
        <v>573</v>
      </c>
      <c r="D2052" s="2" t="str">
        <f t="shared" si="31"/>
        <v>Error?</v>
      </c>
    </row>
    <row r="2053" spans="1:4" x14ac:dyDescent="0.2">
      <c r="A2053" s="5">
        <v>1992</v>
      </c>
      <c r="B2053" s="138">
        <f>'Cap Outlay Deprec 26'!K12</f>
        <v>649723</v>
      </c>
      <c r="C2053" s="2" t="s">
        <v>573</v>
      </c>
      <c r="D2053" s="2" t="str">
        <f t="shared" si="31"/>
        <v>Error?</v>
      </c>
    </row>
    <row r="2054" spans="1:4" x14ac:dyDescent="0.2">
      <c r="A2054" s="5">
        <v>1993</v>
      </c>
      <c r="B2054" s="138">
        <f>'Cap Outlay Deprec 26'!K13</f>
        <v>5447</v>
      </c>
      <c r="C2054" s="2" t="s">
        <v>573</v>
      </c>
      <c r="D2054" s="2" t="str">
        <f t="shared" si="31"/>
        <v>Error?</v>
      </c>
    </row>
    <row r="2055" spans="1:4" x14ac:dyDescent="0.2">
      <c r="A2055" s="5">
        <v>1994</v>
      </c>
      <c r="B2055" s="138">
        <f>'Cap Outlay Deprec 26'!K16</f>
        <v>8593914</v>
      </c>
      <c r="C2055" s="2" t="s">
        <v>573</v>
      </c>
      <c r="D2055" s="2" t="str">
        <f t="shared" si="31"/>
        <v>Error?</v>
      </c>
    </row>
    <row r="2056" spans="1:4" x14ac:dyDescent="0.2">
      <c r="A2056" s="5">
        <v>1995</v>
      </c>
      <c r="B2056" s="138">
        <f>'Cap Outlay Deprec 26'!L5</f>
        <v>17546</v>
      </c>
      <c r="C2056" s="2" t="s">
        <v>573</v>
      </c>
      <c r="D2056" s="2" t="str">
        <f t="shared" si="31"/>
        <v>Error?</v>
      </c>
    </row>
    <row r="2057" spans="1:4" x14ac:dyDescent="0.2">
      <c r="A2057" s="5">
        <v>1996</v>
      </c>
      <c r="B2057" s="138">
        <f>'Cap Outlay Deprec 26'!L8</f>
        <v>16229686</v>
      </c>
      <c r="C2057" s="2" t="s">
        <v>573</v>
      </c>
      <c r="D2057" s="2" t="str">
        <f t="shared" si="31"/>
        <v>Error?</v>
      </c>
    </row>
    <row r="2058" spans="1:4" x14ac:dyDescent="0.2">
      <c r="A2058" s="5">
        <v>1997</v>
      </c>
      <c r="B2058" s="138">
        <f>'Cap Outlay Deprec 26'!L10</f>
        <v>113629</v>
      </c>
      <c r="C2058" s="2" t="s">
        <v>573</v>
      </c>
      <c r="D2058" s="2" t="str">
        <f t="shared" si="31"/>
        <v>Error?</v>
      </c>
    </row>
    <row r="2059" spans="1:4" x14ac:dyDescent="0.2">
      <c r="A2059" s="5">
        <v>1998</v>
      </c>
      <c r="B2059" s="138">
        <f>'Cap Outlay Deprec 26'!L12</f>
        <v>621437</v>
      </c>
      <c r="C2059" s="2" t="s">
        <v>573</v>
      </c>
      <c r="D2059" s="2" t="str">
        <f t="shared" si="31"/>
        <v>Error?</v>
      </c>
    </row>
    <row r="2060" spans="1:4" x14ac:dyDescent="0.2">
      <c r="A2060" s="5">
        <v>1999</v>
      </c>
      <c r="B2060" s="138">
        <f>'Cap Outlay Deprec 26'!L13</f>
        <v>21789</v>
      </c>
      <c r="C2060" s="2" t="s">
        <v>573</v>
      </c>
      <c r="D2060" s="2" t="str">
        <f t="shared" si="31"/>
        <v>Error?</v>
      </c>
    </row>
    <row r="2061" spans="1:4" x14ac:dyDescent="0.2">
      <c r="A2061" s="5">
        <v>2000</v>
      </c>
      <c r="B2061" s="138">
        <f>'Cap Outlay Deprec 26'!L16</f>
        <v>17004087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300527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5296766</v>
      </c>
      <c r="C2551" s="2" t="s">
        <v>573</v>
      </c>
      <c r="D2551" s="2" t="str">
        <f t="shared" si="38"/>
        <v>Error?</v>
      </c>
    </row>
    <row r="2552" spans="1:4" x14ac:dyDescent="0.2">
      <c r="A2552" s="10">
        <v>2491</v>
      </c>
      <c r="D2552" s="2" t="str">
        <f t="shared" si="38"/>
        <v>OK</v>
      </c>
    </row>
    <row r="2553" spans="1:4" x14ac:dyDescent="0.2">
      <c r="A2553" s="5">
        <v>2492</v>
      </c>
      <c r="B2553" s="138">
        <f>'Acct Summary 7-8'!C6</f>
        <v>2679146</v>
      </c>
      <c r="C2553" s="2" t="s">
        <v>573</v>
      </c>
      <c r="D2553" s="2" t="str">
        <f t="shared" si="38"/>
        <v>Error?</v>
      </c>
    </row>
    <row r="2554" spans="1:4" x14ac:dyDescent="0.2">
      <c r="A2554" s="5">
        <v>2493</v>
      </c>
      <c r="B2554" s="138">
        <f>'Acct Summary 7-8'!C7</f>
        <v>552689</v>
      </c>
      <c r="C2554" s="2" t="s">
        <v>573</v>
      </c>
      <c r="D2554" s="2" t="str">
        <f t="shared" si="38"/>
        <v>Error?</v>
      </c>
    </row>
    <row r="2555" spans="1:4" x14ac:dyDescent="0.2">
      <c r="A2555" s="5">
        <v>2494</v>
      </c>
      <c r="B2555" s="138">
        <f>'Acct Summary 7-8'!C8</f>
        <v>8528601</v>
      </c>
      <c r="C2555" s="2" t="s">
        <v>573</v>
      </c>
      <c r="D2555" s="2" t="str">
        <f t="shared" si="38"/>
        <v>Error?</v>
      </c>
    </row>
    <row r="2556" spans="1:4" x14ac:dyDescent="0.2">
      <c r="A2556" s="5">
        <v>2495</v>
      </c>
      <c r="B2556" s="138">
        <f>'Acct Summary 7-8'!C12</f>
        <v>4279051</v>
      </c>
      <c r="C2556" s="2" t="s">
        <v>573</v>
      </c>
      <c r="D2556" s="2" t="str">
        <f t="shared" si="38"/>
        <v>Error?</v>
      </c>
    </row>
    <row r="2557" spans="1:4" x14ac:dyDescent="0.2">
      <c r="A2557" s="5">
        <v>2496</v>
      </c>
      <c r="B2557" s="138">
        <f>'Acct Summary 7-8'!C13</f>
        <v>2557134</v>
      </c>
      <c r="C2557" s="2" t="s">
        <v>573</v>
      </c>
      <c r="D2557" s="2" t="str">
        <f t="shared" si="38"/>
        <v>Error?</v>
      </c>
    </row>
    <row r="2558" spans="1:4" x14ac:dyDescent="0.2">
      <c r="A2558" s="5">
        <v>2497</v>
      </c>
      <c r="B2558" s="138">
        <f>'Acct Summary 7-8'!C14</f>
        <v>146867</v>
      </c>
      <c r="C2558" s="2" t="s">
        <v>573</v>
      </c>
      <c r="D2558" s="2" t="str">
        <f t="shared" si="38"/>
        <v>Error?</v>
      </c>
    </row>
    <row r="2559" spans="1:4" x14ac:dyDescent="0.2">
      <c r="A2559" s="5">
        <v>2498</v>
      </c>
      <c r="B2559" s="138">
        <f>'Acct Summary 7-8'!C15</f>
        <v>300527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7283579</v>
      </c>
      <c r="C2561" s="2" t="s">
        <v>573</v>
      </c>
      <c r="D2561" s="2" t="str">
        <f t="shared" si="39"/>
        <v>Error?</v>
      </c>
    </row>
    <row r="2562" spans="1:4" x14ac:dyDescent="0.2">
      <c r="A2562" s="5">
        <v>2501</v>
      </c>
      <c r="B2562" s="138">
        <f>'Acct Summary 7-8'!C20</f>
        <v>1245022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576579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576579</v>
      </c>
      <c r="C2568" s="2" t="s">
        <v>573</v>
      </c>
      <c r="D2568" s="2" t="str">
        <f t="shared" si="39"/>
        <v>Error?</v>
      </c>
    </row>
    <row r="2569" spans="1:4" x14ac:dyDescent="0.2">
      <c r="A2569" s="5">
        <v>2508</v>
      </c>
      <c r="B2569" s="138">
        <f>'Acct Summary 7-8'!D13</f>
        <v>419008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419008</v>
      </c>
      <c r="C2573" s="2" t="s">
        <v>573</v>
      </c>
      <c r="D2573" s="2" t="str">
        <f t="shared" si="39"/>
        <v>Error?</v>
      </c>
    </row>
    <row r="2574" spans="1:4" x14ac:dyDescent="0.2">
      <c r="A2574" s="5">
        <v>2513</v>
      </c>
      <c r="B2574" s="138">
        <f>'Acct Summary 7-8'!D20</f>
        <v>157571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205343</v>
      </c>
      <c r="C2591" s="2" t="s">
        <v>573</v>
      </c>
      <c r="D2591" s="2" t="str">
        <f t="shared" si="39"/>
        <v>Error?</v>
      </c>
    </row>
    <row r="2592" spans="1:4" x14ac:dyDescent="0.2">
      <c r="A2592" s="10">
        <v>2531</v>
      </c>
      <c r="D2592" s="2" t="str">
        <f t="shared" si="39"/>
        <v>OK</v>
      </c>
    </row>
    <row r="2593" spans="1:4" x14ac:dyDescent="0.2">
      <c r="A2593" s="5">
        <v>2532</v>
      </c>
      <c r="B2593" s="138">
        <f>'Acct Summary 7-8'!F6</f>
        <v>251038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456381</v>
      </c>
      <c r="C2595" s="2" t="s">
        <v>573</v>
      </c>
      <c r="D2595" s="2" t="str">
        <f t="shared" si="39"/>
        <v>Error?</v>
      </c>
    </row>
    <row r="2596" spans="1:4" x14ac:dyDescent="0.2">
      <c r="A2596" s="5">
        <v>2535</v>
      </c>
      <c r="B2596" s="138">
        <f>'Acct Summary 7-8'!F13</f>
        <v>547425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547425</v>
      </c>
      <c r="C2600" s="2" t="s">
        <v>573</v>
      </c>
      <c r="D2600" s="2" t="str">
        <f t="shared" si="39"/>
        <v>Error?</v>
      </c>
    </row>
    <row r="2601" spans="1:4" x14ac:dyDescent="0.2">
      <c r="A2601" s="5">
        <v>2540</v>
      </c>
      <c r="B2601" s="138">
        <f>'Acct Summary 7-8'!F20</f>
        <v>-91044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288671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288671</v>
      </c>
      <c r="C2606" s="2" t="s">
        <v>573</v>
      </c>
      <c r="D2606" s="2" t="str">
        <f t="shared" si="39"/>
        <v>Error?</v>
      </c>
    </row>
    <row r="2607" spans="1:4" x14ac:dyDescent="0.2">
      <c r="A2607" s="5">
        <v>2546</v>
      </c>
      <c r="B2607" s="138">
        <f>'Acct Summary 7-8'!G12</f>
        <v>68104</v>
      </c>
      <c r="C2607" s="2" t="s">
        <v>573</v>
      </c>
      <c r="D2607" s="2" t="str">
        <f t="shared" si="39"/>
        <v>Error?</v>
      </c>
    </row>
    <row r="2608" spans="1:4" x14ac:dyDescent="0.2">
      <c r="A2608" s="5">
        <v>2547</v>
      </c>
      <c r="B2608" s="138">
        <f>'Acct Summary 7-8'!G13</f>
        <v>109930</v>
      </c>
      <c r="C2608" s="2" t="s">
        <v>573</v>
      </c>
      <c r="D2608" s="2" t="str">
        <f t="shared" si="39"/>
        <v>Error?</v>
      </c>
    </row>
    <row r="2609" spans="1:4" x14ac:dyDescent="0.2">
      <c r="A2609" s="5">
        <v>2548</v>
      </c>
      <c r="B2609" s="138">
        <f>'Acct Summary 7-8'!G14</f>
        <v>24104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202138</v>
      </c>
      <c r="C2612" s="2" t="s">
        <v>573</v>
      </c>
      <c r="D2612" s="2" t="str">
        <f t="shared" si="39"/>
        <v>Error?</v>
      </c>
    </row>
    <row r="2613" spans="1:4" x14ac:dyDescent="0.2">
      <c r="A2613" s="5">
        <v>2552</v>
      </c>
      <c r="B2613" s="138">
        <f>'Acct Summary 7-8'!G20</f>
        <v>86533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319676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319676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728264</v>
      </c>
      <c r="C2634" s="2" t="s">
        <v>573</v>
      </c>
      <c r="D2634" s="2" t="str">
        <f t="shared" si="40"/>
        <v>Error?</v>
      </c>
    </row>
    <row r="2635" spans="1:4" x14ac:dyDescent="0.2">
      <c r="A2635" s="5">
        <v>2574</v>
      </c>
      <c r="B2635" s="138">
        <f>'Acct Summary 7-8'!E17</f>
        <v>728264</v>
      </c>
      <c r="C2635" s="2" t="s">
        <v>573</v>
      </c>
      <c r="D2635" s="2" t="str">
        <f t="shared" si="40"/>
        <v>Error?</v>
      </c>
    </row>
    <row r="2636" spans="1:4" x14ac:dyDescent="0.2">
      <c r="A2636" s="5">
        <v>2575</v>
      </c>
      <c r="B2636" s="138">
        <f>'Acct Summary 7-8'!E20</f>
        <v>-408588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33399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33399</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33399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300527</v>
      </c>
      <c r="C2789" s="2" t="s">
        <v>573</v>
      </c>
      <c r="D2789" s="2" t="str">
        <f t="shared" si="42"/>
        <v>Error?</v>
      </c>
    </row>
    <row r="2790" spans="1:4" x14ac:dyDescent="0.2">
      <c r="A2790" s="5">
        <v>2729</v>
      </c>
      <c r="B2790" s="138">
        <f>'Expenditures 15-22'!E102</f>
        <v>300527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2080269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126568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2080269</v>
      </c>
      <c r="D2912" s="2" t="str">
        <f t="shared" si="44"/>
        <v>Error?</v>
      </c>
    </row>
    <row r="2913" spans="1:4" x14ac:dyDescent="0.2">
      <c r="A2913" s="5">
        <v>2852</v>
      </c>
      <c r="B2913" s="138">
        <f>'Assets-Liab 5-6'!I41</f>
        <v>2080269</v>
      </c>
      <c r="C2913" s="2" t="s">
        <v>573</v>
      </c>
      <c r="D2913" s="2" t="str">
        <f t="shared" si="44"/>
        <v>Error?</v>
      </c>
    </row>
    <row r="2914" spans="1:4" x14ac:dyDescent="0.2">
      <c r="A2914" s="5">
        <v>2853</v>
      </c>
      <c r="B2914" s="138">
        <f>'Assets-Liab 5-6'!L33</f>
        <v>126568</v>
      </c>
      <c r="D2914" s="2" t="str">
        <f t="shared" si="44"/>
        <v>Error?</v>
      </c>
    </row>
    <row r="2915" spans="1:4" x14ac:dyDescent="0.2">
      <c r="A2915" s="10">
        <v>2854</v>
      </c>
      <c r="D2915" s="2" t="str">
        <f t="shared" si="44"/>
        <v>OK</v>
      </c>
    </row>
    <row r="2916" spans="1:4" x14ac:dyDescent="0.2">
      <c r="A2916" s="5">
        <v>2855</v>
      </c>
      <c r="B2916" s="138">
        <f>'Assets-Liab 5-6'!L34</f>
        <v>126568</v>
      </c>
      <c r="C2916" s="2" t="s">
        <v>573</v>
      </c>
      <c r="D2916" s="2" t="str">
        <f t="shared" si="44"/>
        <v>Error?</v>
      </c>
    </row>
    <row r="2917" spans="1:4" x14ac:dyDescent="0.2">
      <c r="A2917" s="5">
        <v>2856</v>
      </c>
      <c r="B2917" s="138">
        <f>'Assets-Liab 5-6'!L41</f>
        <v>126568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197086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103441</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197086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103441</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53686</v>
      </c>
      <c r="D3055" s="2" t="str">
        <f t="shared" si="46"/>
        <v>Error?</v>
      </c>
    </row>
    <row r="3056" spans="1:4" x14ac:dyDescent="0.2">
      <c r="A3056" s="5">
        <v>2995</v>
      </c>
      <c r="B3056" s="138">
        <f>'Expenditures 15-22'!D10</f>
        <v>1243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33392</v>
      </c>
      <c r="D3058" s="2" t="str">
        <f t="shared" si="46"/>
        <v>Error?</v>
      </c>
    </row>
    <row r="3059" spans="1:4" x14ac:dyDescent="0.2">
      <c r="A3059" s="5">
        <v>2998</v>
      </c>
      <c r="B3059" s="138">
        <f>'Expenditures 15-22'!G10</f>
        <v>1770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90091</v>
      </c>
      <c r="C3062" s="2" t="s">
        <v>573</v>
      </c>
      <c r="D3062" s="2" t="str">
        <f t="shared" si="46"/>
        <v>Error?</v>
      </c>
    </row>
    <row r="3063" spans="1:4" x14ac:dyDescent="0.2">
      <c r="A3063" s="10">
        <v>3002</v>
      </c>
      <c r="D3063" s="2" t="str">
        <f t="shared" si="46"/>
        <v>OK</v>
      </c>
    </row>
    <row r="3064" spans="1:4" x14ac:dyDescent="0.2">
      <c r="A3064" s="5">
        <v>3003</v>
      </c>
      <c r="B3064" s="138">
        <f>'Expenditures 15-22'!D219</f>
        <v>15849</v>
      </c>
      <c r="D3064" s="2" t="str">
        <f t="shared" si="46"/>
        <v>Error?</v>
      </c>
    </row>
    <row r="3065" spans="1:4" x14ac:dyDescent="0.2">
      <c r="A3065" s="5">
        <v>3004</v>
      </c>
      <c r="B3065" s="138">
        <f>'Expenditures 15-22'!K219</f>
        <v>15849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59814</v>
      </c>
      <c r="C3225" s="2" t="s">
        <v>573</v>
      </c>
      <c r="D3225" s="2" t="str">
        <f t="shared" si="49"/>
        <v>Error?</v>
      </c>
    </row>
    <row r="3226" spans="1:4" x14ac:dyDescent="0.2">
      <c r="A3226" s="5">
        <v>3165</v>
      </c>
      <c r="B3226" s="138">
        <f>'Acct Summary 7-8'!I8</f>
        <v>59814</v>
      </c>
      <c r="C3226" s="2" t="s">
        <v>573</v>
      </c>
      <c r="D3226" s="2" t="str">
        <f t="shared" si="49"/>
        <v>Error?</v>
      </c>
    </row>
    <row r="3227" spans="1:4" x14ac:dyDescent="0.2">
      <c r="A3227" s="5">
        <v>3166</v>
      </c>
      <c r="B3227" s="138">
        <f>'Acct Summary 7-8'!I20</f>
        <v>59814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428478</v>
      </c>
      <c r="D3230" s="2" t="str">
        <f t="shared" si="49"/>
        <v>Error?</v>
      </c>
    </row>
    <row r="3231" spans="1:4" x14ac:dyDescent="0.2">
      <c r="A3231" s="5">
        <v>3170</v>
      </c>
      <c r="B3231" s="138">
        <f>'Acct Summary 7-8'!C76</f>
        <v>428478</v>
      </c>
      <c r="C3231" s="2" t="s">
        <v>573</v>
      </c>
      <c r="D3231" s="2" t="str">
        <f t="shared" si="49"/>
        <v>Error?</v>
      </c>
    </row>
    <row r="3232" spans="1:4" x14ac:dyDescent="0.2">
      <c r="A3232" s="5">
        <v>3171</v>
      </c>
      <c r="B3232" s="138">
        <f>'Acct Summary 7-8'!C77</f>
        <v>-428478</v>
      </c>
      <c r="C3232" s="2" t="s">
        <v>573</v>
      </c>
      <c r="D3232" s="2" t="str">
        <f t="shared" si="49"/>
        <v>Error?</v>
      </c>
    </row>
    <row r="3233" spans="1:4" x14ac:dyDescent="0.2">
      <c r="A3233" s="5">
        <v>3172</v>
      </c>
      <c r="B3233" s="138">
        <f>'Acct Summary 7-8'!C78</f>
        <v>816544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157571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-91044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86533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428478</v>
      </c>
      <c r="D3273" s="2" t="str">
        <f t="shared" si="50"/>
        <v>Error?</v>
      </c>
    </row>
    <row r="3274" spans="1:4" x14ac:dyDescent="0.2">
      <c r="A3274" s="5">
        <v>3213</v>
      </c>
      <c r="B3274" s="138">
        <f>'Acct Summary 7-8'!E44</f>
        <v>428478</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428478</v>
      </c>
      <c r="C3277" s="2" t="s">
        <v>573</v>
      </c>
      <c r="D3277" s="2" t="str">
        <f t="shared" si="50"/>
        <v>Error?</v>
      </c>
    </row>
    <row r="3278" spans="1:4" x14ac:dyDescent="0.2">
      <c r="A3278" s="5">
        <v>3217</v>
      </c>
      <c r="B3278" s="138">
        <f>'Acct Summary 7-8'!E78</f>
        <v>19890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33399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59814</v>
      </c>
      <c r="C3320" s="2" t="s">
        <v>573</v>
      </c>
      <c r="D3320" s="2" t="str">
        <f t="shared" si="50"/>
        <v>Error?</v>
      </c>
    </row>
    <row r="3321" spans="1:4" x14ac:dyDescent="0.2">
      <c r="A3321" s="5">
        <v>3260</v>
      </c>
      <c r="B3321" s="138">
        <f>'Acct Summary 7-8'!I79</f>
        <v>2020455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2080269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311709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27612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80020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20562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26089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465992</v>
      </c>
      <c r="C3380" s="2" t="s">
        <v>573</v>
      </c>
      <c r="D3380" s="2" t="str">
        <f t="shared" si="51"/>
        <v>Error?</v>
      </c>
    </row>
    <row r="3381" spans="1:4" x14ac:dyDescent="0.2">
      <c r="A3381" s="5">
        <v>3320</v>
      </c>
      <c r="B3381" s="138">
        <f>'Expenditures 15-22'!K19</f>
        <v>23505</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42262</v>
      </c>
      <c r="D3387" s="2" t="str">
        <f t="shared" si="51"/>
        <v>Error?</v>
      </c>
    </row>
    <row r="3388" spans="1:4" x14ac:dyDescent="0.2">
      <c r="A3388" s="5">
        <v>3327</v>
      </c>
      <c r="B3388" s="138">
        <f>'Expenditures 15-22'!D217</f>
        <v>4241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42262</v>
      </c>
      <c r="C3390" s="2" t="s">
        <v>573</v>
      </c>
      <c r="D3390" s="2" t="str">
        <f t="shared" si="51"/>
        <v>Error?</v>
      </c>
    </row>
    <row r="3391" spans="1:4" x14ac:dyDescent="0.2">
      <c r="A3391" s="5">
        <v>3330</v>
      </c>
      <c r="B3391" s="138">
        <f>'Expenditures 15-22'!K217</f>
        <v>4241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1590676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742261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24165</v>
      </c>
      <c r="D3417" s="2" t="str">
        <f t="shared" si="52"/>
        <v>Error?</v>
      </c>
    </row>
    <row r="3418" spans="1:4" x14ac:dyDescent="0.2">
      <c r="A3418" s="10">
        <v>3357</v>
      </c>
      <c r="D3418" s="2" t="str">
        <f t="shared" si="52"/>
        <v>OK</v>
      </c>
    </row>
    <row r="3419" spans="1:4" x14ac:dyDescent="0.2">
      <c r="A3419" s="5">
        <v>3358</v>
      </c>
      <c r="B3419" s="138">
        <f>'Assets-Liab 5-6'!F4</f>
        <v>192924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198939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108145</v>
      </c>
      <c r="D3425" s="2" t="str">
        <f t="shared" si="52"/>
        <v>Error?</v>
      </c>
    </row>
    <row r="3426" spans="1:4" x14ac:dyDescent="0.2">
      <c r="A3426" s="10">
        <v>3365</v>
      </c>
      <c r="D3426" s="2" t="str">
        <f t="shared" si="52"/>
        <v>OK</v>
      </c>
    </row>
    <row r="3427" spans="1:4" x14ac:dyDescent="0.2">
      <c r="A3427" s="5">
        <v>3366</v>
      </c>
      <c r="B3427" s="138">
        <f>'Assets-Liab 5-6'!I4</f>
        <v>2069246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126568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165820</v>
      </c>
      <c r="C3446" s="2" t="s">
        <v>573</v>
      </c>
      <c r="D3446" s="2" t="str">
        <f t="shared" si="52"/>
        <v>Error?</v>
      </c>
    </row>
    <row r="3447" spans="1:4" x14ac:dyDescent="0.2">
      <c r="A3447" s="5">
        <v>3386</v>
      </c>
      <c r="B3447" s="138">
        <f>'Tax Sched 23'!D16</f>
        <v>165820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133215</v>
      </c>
      <c r="C3449" s="2" t="s">
        <v>573</v>
      </c>
      <c r="D3449" s="2" t="str">
        <f t="shared" si="52"/>
        <v>Error?</v>
      </c>
    </row>
    <row r="3450" spans="1:4" x14ac:dyDescent="0.2">
      <c r="A3450" s="5">
        <v>3389</v>
      </c>
      <c r="B3450" s="138">
        <f>'Tax Sched 23'!E16</f>
        <v>133215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27583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27583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27583</v>
      </c>
      <c r="D3567" s="2" t="str">
        <f t="shared" si="54"/>
        <v>Error?</v>
      </c>
    </row>
    <row r="3568" spans="1:4" x14ac:dyDescent="0.2">
      <c r="A3568" s="5">
        <v>3507</v>
      </c>
      <c r="B3568" s="138">
        <f>'Assets-Liab 5-6'!K41</f>
        <v>27583</v>
      </c>
      <c r="C3568" s="2" t="s">
        <v>573</v>
      </c>
      <c r="D3568" s="2" t="str">
        <f t="shared" si="54"/>
        <v>Error?</v>
      </c>
    </row>
    <row r="3569" spans="1:4" x14ac:dyDescent="0.2">
      <c r="A3569" s="5">
        <v>3508</v>
      </c>
      <c r="B3569" s="138">
        <f>'Acct Summary 7-8'!K4</f>
        <v>1020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1020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1020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1020</v>
      </c>
      <c r="C3588" s="2" t="s">
        <v>573</v>
      </c>
      <c r="D3588" s="2" t="str">
        <f t="shared" si="55"/>
        <v>Error?</v>
      </c>
    </row>
    <row r="3589" spans="1:4" x14ac:dyDescent="0.2">
      <c r="A3589" s="5">
        <v>3528</v>
      </c>
      <c r="B3589" s="138">
        <f>'Acct Summary 7-8'!K79</f>
        <v>26563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27583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1020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51749</v>
      </c>
      <c r="C3725" s="2" t="s">
        <v>573</v>
      </c>
      <c r="D3725" s="2" t="str">
        <f t="shared" si="57"/>
        <v>Error?</v>
      </c>
    </row>
    <row r="3726" spans="1:4" x14ac:dyDescent="0.2">
      <c r="A3726" s="5">
        <v>3665</v>
      </c>
      <c r="B3726" s="138">
        <f>'Tax Sched 23'!D13</f>
        <v>51749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52106</v>
      </c>
      <c r="C3728" s="2" t="s">
        <v>573</v>
      </c>
      <c r="D3728" s="2" t="str">
        <f t="shared" si="57"/>
        <v>Error?</v>
      </c>
    </row>
    <row r="3729" spans="1:4" x14ac:dyDescent="0.2">
      <c r="A3729" s="5">
        <v>3668</v>
      </c>
      <c r="B3729" s="138">
        <f>'Tax Sched 23'!E13</f>
        <v>52106</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2790776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11319377</v>
      </c>
      <c r="C4122" s="2" t="s">
        <v>573</v>
      </c>
      <c r="D4122" s="2" t="str">
        <f t="shared" si="63"/>
        <v>Error?</v>
      </c>
    </row>
    <row r="4123" spans="1:4" x14ac:dyDescent="0.2">
      <c r="A4123" s="5">
        <v>4062</v>
      </c>
      <c r="B4123" s="138">
        <f>'Acct Summary 7-8'!D10</f>
        <v>576579</v>
      </c>
      <c r="C4123" s="2" t="s">
        <v>573</v>
      </c>
      <c r="D4123" s="2" t="str">
        <f t="shared" si="63"/>
        <v>Error?</v>
      </c>
    </row>
    <row r="4124" spans="1:4" x14ac:dyDescent="0.2">
      <c r="A4124" s="5">
        <v>4063</v>
      </c>
      <c r="B4124" s="138">
        <f>'Acct Summary 7-8'!E10</f>
        <v>319676</v>
      </c>
      <c r="C4124" s="2" t="s">
        <v>573</v>
      </c>
      <c r="D4124" s="2" t="str">
        <f t="shared" si="63"/>
        <v>Error?</v>
      </c>
    </row>
    <row r="4125" spans="1:4" x14ac:dyDescent="0.2">
      <c r="A4125" s="5">
        <v>4064</v>
      </c>
      <c r="B4125" s="138">
        <f>'Acct Summary 7-8'!F10</f>
        <v>456381</v>
      </c>
      <c r="C4125" s="2" t="s">
        <v>573</v>
      </c>
      <c r="D4125" s="2" t="str">
        <f t="shared" si="63"/>
        <v>Error?</v>
      </c>
    </row>
    <row r="4126" spans="1:4" x14ac:dyDescent="0.2">
      <c r="A4126" s="5">
        <v>4065</v>
      </c>
      <c r="B4126" s="138">
        <f>'Acct Summary 7-8'!G10</f>
        <v>288671</v>
      </c>
      <c r="C4126" s="2" t="s">
        <v>573</v>
      </c>
      <c r="D4126" s="2" t="str">
        <f t="shared" si="63"/>
        <v>Error?</v>
      </c>
    </row>
    <row r="4127" spans="1:4" x14ac:dyDescent="0.2">
      <c r="A4127" s="5">
        <v>4066</v>
      </c>
      <c r="B4127" s="138">
        <f>'Acct Summary 7-8'!H10</f>
        <v>33399</v>
      </c>
      <c r="C4127" s="2" t="s">
        <v>573</v>
      </c>
      <c r="D4127" s="2" t="str">
        <f t="shared" si="63"/>
        <v>Error?</v>
      </c>
    </row>
    <row r="4128" spans="1:4" x14ac:dyDescent="0.2">
      <c r="A4128" s="5">
        <v>4067</v>
      </c>
      <c r="B4128" s="138">
        <f>'Acct Summary 7-8'!I10</f>
        <v>59814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1020</v>
      </c>
      <c r="C4130" s="2" t="s">
        <v>573</v>
      </c>
      <c r="D4130" s="2" t="str">
        <f t="shared" si="63"/>
        <v>Error?</v>
      </c>
    </row>
    <row r="4131" spans="1:4" x14ac:dyDescent="0.2">
      <c r="A4131" s="5">
        <v>4070</v>
      </c>
      <c r="B4131" s="138">
        <f>'Acct Summary 7-8'!C18</f>
        <v>2790776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10074355</v>
      </c>
      <c r="C4136" s="2" t="s">
        <v>573</v>
      </c>
      <c r="D4136" s="2" t="str">
        <f t="shared" si="63"/>
        <v>Error?</v>
      </c>
    </row>
    <row r="4137" spans="1:4" x14ac:dyDescent="0.2">
      <c r="A4137" s="5">
        <v>4076</v>
      </c>
      <c r="B4137" s="138">
        <f>'Acct Summary 7-8'!D19</f>
        <v>419008</v>
      </c>
      <c r="C4137" s="2" t="s">
        <v>573</v>
      </c>
      <c r="D4137" s="2" t="str">
        <f t="shared" si="63"/>
        <v>Error?</v>
      </c>
    </row>
    <row r="4138" spans="1:4" x14ac:dyDescent="0.2">
      <c r="A4138" s="5">
        <v>4077</v>
      </c>
      <c r="B4138" s="138">
        <f>'Acct Summary 7-8'!E19</f>
        <v>728264</v>
      </c>
      <c r="C4138" s="2" t="s">
        <v>573</v>
      </c>
      <c r="D4138" s="2" t="str">
        <f t="shared" si="63"/>
        <v>Error?</v>
      </c>
    </row>
    <row r="4139" spans="1:4" x14ac:dyDescent="0.2">
      <c r="A4139" s="5">
        <v>4078</v>
      </c>
      <c r="B4139" s="138">
        <f>'Acct Summary 7-8'!F19</f>
        <v>547425</v>
      </c>
      <c r="C4139" s="2" t="s">
        <v>573</v>
      </c>
      <c r="D4139" s="2" t="str">
        <f t="shared" si="63"/>
        <v>Error?</v>
      </c>
    </row>
    <row r="4140" spans="1:4" x14ac:dyDescent="0.2">
      <c r="A4140" s="5">
        <v>4079</v>
      </c>
      <c r="B4140" s="138">
        <f>'Acct Summary 7-8'!G19</f>
        <v>202138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9793100</v>
      </c>
      <c r="C4171" s="2" t="s">
        <v>573</v>
      </c>
      <c r="D4171" s="2" t="str">
        <f t="shared" si="64"/>
        <v>Error?</v>
      </c>
    </row>
    <row r="4172" spans="1:4" x14ac:dyDescent="0.2">
      <c r="A4172" s="5">
        <v>4111</v>
      </c>
      <c r="B4172" s="138">
        <f>'Short-Term Long-Term Debt 24'!J49</f>
        <v>9768935</v>
      </c>
      <c r="C4172" s="2" t="s">
        <v>573</v>
      </c>
      <c r="D4172" s="2" t="str">
        <f t="shared" si="64"/>
        <v>Error?</v>
      </c>
    </row>
    <row r="4173" spans="1:4" x14ac:dyDescent="0.2">
      <c r="A4173" s="5">
        <v>4112</v>
      </c>
      <c r="B4173" s="138">
        <f>'Short-Term Long-Term Debt 24'!H49</f>
        <v>448300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4358.29</v>
      </c>
      <c r="C4265" s="2" t="s">
        <v>573</v>
      </c>
      <c r="D4265" s="2" t="str">
        <f t="shared" si="65"/>
        <v>Error?</v>
      </c>
      <c r="E4265" s="128"/>
    </row>
    <row r="4266" spans="1:5" x14ac:dyDescent="0.2">
      <c r="A4266" s="12">
        <v>4205</v>
      </c>
      <c r="B4266" s="138">
        <f>('FP Info 3'!F10)*100000</f>
        <v>529.69999999999993</v>
      </c>
      <c r="C4266" s="2" t="s">
        <v>573</v>
      </c>
      <c r="D4266" s="2" t="str">
        <f t="shared" si="65"/>
        <v>Error?</v>
      </c>
      <c r="E4266" s="128"/>
    </row>
    <row r="4267" spans="1:5" x14ac:dyDescent="0.2">
      <c r="A4267" s="12">
        <v>4206</v>
      </c>
      <c r="B4267" s="138">
        <f>('FP Info 3'!H10)*100000</f>
        <v>192.48</v>
      </c>
      <c r="C4267" s="2" t="s">
        <v>573</v>
      </c>
      <c r="D4267" s="2" t="str">
        <f t="shared" si="65"/>
        <v>Error?</v>
      </c>
      <c r="E4267" s="128"/>
    </row>
    <row r="4268" spans="1:5" x14ac:dyDescent="0.2">
      <c r="A4268" s="12">
        <v>4207</v>
      </c>
      <c r="B4268" s="138">
        <f>('FP Info 3'!J10)*100000</f>
        <v>5080</v>
      </c>
      <c r="C4268" s="2" t="s">
        <v>573</v>
      </c>
      <c r="D4268" s="2" t="str">
        <f t="shared" si="65"/>
        <v>Error?</v>
      </c>
    </row>
    <row r="4269" spans="1:5" x14ac:dyDescent="0.2">
      <c r="A4269" s="12">
        <v>4208</v>
      </c>
      <c r="B4269" s="138">
        <f>'FP Info 3'!J16</f>
        <v>4578367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38105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10080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29561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48.14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2365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105116544</v>
      </c>
      <c r="D4995" s="2" t="str">
        <f t="shared" si="77"/>
        <v>Error?</v>
      </c>
    </row>
    <row r="4996" spans="1:4" x14ac:dyDescent="0.2">
      <c r="A4996" s="12">
        <v>4935</v>
      </c>
      <c r="B4996" s="138">
        <f>'FP Info 3'!H31</f>
        <v>14506083.072000001</v>
      </c>
      <c r="D4996" s="2" t="str">
        <f t="shared" si="77"/>
        <v>Error?</v>
      </c>
    </row>
    <row r="4997" spans="1:4" x14ac:dyDescent="0.2">
      <c r="A4997" s="12">
        <v>4936</v>
      </c>
      <c r="B4997" s="138">
        <f>'FP Info 3'!H37</f>
        <v>9793100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51749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4531822</v>
      </c>
      <c r="D5061" s="2" t="str">
        <f t="shared" si="78"/>
        <v>Error?</v>
      </c>
    </row>
    <row r="5062" spans="1:4" x14ac:dyDescent="0.2">
      <c r="A5062" s="10">
        <v>5001</v>
      </c>
      <c r="D5062" s="2" t="str">
        <f t="shared" si="78"/>
        <v>OK</v>
      </c>
    </row>
    <row r="5063" spans="1:4" x14ac:dyDescent="0.2">
      <c r="A5063" s="5">
        <v>5002</v>
      </c>
      <c r="B5063" s="138">
        <f>'Revenues 9-14'!C7</f>
        <v>51749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4635320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63248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63248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1380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1380</v>
      </c>
      <c r="C5087" s="2" t="s">
        <v>573</v>
      </c>
      <c r="D5087" s="2" t="str">
        <f t="shared" si="78"/>
        <v>Error?</v>
      </c>
    </row>
    <row r="5088" spans="1:4" x14ac:dyDescent="0.2">
      <c r="A5088" s="5">
        <v>5027</v>
      </c>
      <c r="B5088" s="138">
        <f>'Revenues 9-14'!C65</f>
        <v>34003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34003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12641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1979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221761</v>
      </c>
      <c r="C5096" s="2" t="s">
        <v>573</v>
      </c>
      <c r="D5096" s="2" t="str">
        <f t="shared" si="78"/>
        <v>Error?</v>
      </c>
    </row>
    <row r="5097" spans="1:4" x14ac:dyDescent="0.2">
      <c r="A5097" s="5">
        <v>5036</v>
      </c>
      <c r="B5097" s="138">
        <f>'Revenues 9-14'!C77</f>
        <v>38144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55494</v>
      </c>
      <c r="D5099" s="2" t="str">
        <f t="shared" si="78"/>
        <v>Error?</v>
      </c>
    </row>
    <row r="5100" spans="1:4" x14ac:dyDescent="0.2">
      <c r="A5100" s="5">
        <v>5039</v>
      </c>
      <c r="B5100" s="138">
        <f>'Revenues 9-14'!C80</f>
        <v>2620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96258</v>
      </c>
      <c r="C5102" s="2" t="s">
        <v>573</v>
      </c>
      <c r="D5102" s="2" t="str">
        <f t="shared" si="78"/>
        <v>Error?</v>
      </c>
    </row>
    <row r="5103" spans="1:4" x14ac:dyDescent="0.2">
      <c r="A5103" s="5">
        <v>5042</v>
      </c>
      <c r="B5103" s="138">
        <f>'Revenues 9-14'!C84</f>
        <v>40169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40169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201798</v>
      </c>
      <c r="D5118" s="2" t="str">
        <f t="shared" si="78"/>
        <v>Error?</v>
      </c>
    </row>
    <row r="5119" spans="1:4" x14ac:dyDescent="0.2">
      <c r="A5119" s="5">
        <v>5058</v>
      </c>
      <c r="B5119" s="138">
        <f>'Revenues 9-14'!C107</f>
        <v>2829</v>
      </c>
      <c r="D5119" s="2" t="str">
        <f t="shared" ref="D5119:D5182" si="79">IF(ISBLANK(B5119),"OK",IF(A5119-B5119=0,"OK","Error?"))</f>
        <v>Error?</v>
      </c>
    </row>
    <row r="5120" spans="1:4" x14ac:dyDescent="0.2">
      <c r="A5120" s="5">
        <v>5059</v>
      </c>
      <c r="B5120" s="138">
        <f>'Revenues 9-14'!C108</f>
        <v>204627</v>
      </c>
      <c r="C5120" s="2" t="s">
        <v>573</v>
      </c>
      <c r="D5120" s="2" t="str">
        <f t="shared" si="79"/>
        <v>Error?</v>
      </c>
    </row>
    <row r="5121" spans="1:4" x14ac:dyDescent="0.2">
      <c r="A5121" s="5">
        <v>5060</v>
      </c>
      <c r="B5121" s="138">
        <f>'Revenues 9-14'!C109</f>
        <v>5296766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2542880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2542880</v>
      </c>
      <c r="C5132" s="2" t="s">
        <v>573</v>
      </c>
      <c r="D5132" s="2" t="str">
        <f t="shared" si="79"/>
        <v>Error?</v>
      </c>
    </row>
    <row r="5133" spans="1:4" x14ac:dyDescent="0.2">
      <c r="A5133" s="5">
        <v>5072</v>
      </c>
      <c r="B5133" s="138">
        <f>'Revenues 9-14'!C125</f>
        <v>43592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6392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49984</v>
      </c>
      <c r="C5147" s="2" t="s">
        <v>573</v>
      </c>
      <c r="D5147" s="2" t="str">
        <f t="shared" si="79"/>
        <v>Error?</v>
      </c>
    </row>
    <row r="5148" spans="1:4" x14ac:dyDescent="0.2">
      <c r="A5148" s="5">
        <v>5087</v>
      </c>
      <c r="B5148" s="138">
        <f>'Revenues 9-14'!C134</f>
        <v>16</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4285</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9940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2090</v>
      </c>
      <c r="D5167" s="2" t="str">
        <f t="shared" si="79"/>
        <v>Error?</v>
      </c>
    </row>
    <row r="5168" spans="1:4" x14ac:dyDescent="0.2">
      <c r="A5168" s="5">
        <v>5107</v>
      </c>
      <c r="B5168" s="138">
        <f>'Revenues 9-14'!C148</f>
        <v>12200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59687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136266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2679146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111288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18746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130034</v>
      </c>
      <c r="C5246" s="2" t="s">
        <v>573</v>
      </c>
      <c r="D5246" s="2" t="str">
        <f t="shared" si="80"/>
        <v>Error?</v>
      </c>
    </row>
    <row r="5247" spans="1:4" x14ac:dyDescent="0.2">
      <c r="A5247" s="5">
        <v>5186</v>
      </c>
      <c r="B5247" s="138">
        <f>'Revenues 9-14'!C200</f>
        <v>78338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10080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78338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16625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190788</v>
      </c>
      <c r="D5278" s="2" t="str">
        <f t="shared" si="81"/>
        <v>Error?</v>
      </c>
    </row>
    <row r="5279" spans="1:4" x14ac:dyDescent="0.2">
      <c r="A5279" s="5">
        <v>5218</v>
      </c>
      <c r="B5279" s="138">
        <f>'Revenues 9-14'!C214</f>
        <v>59158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266571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552689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552689</v>
      </c>
      <c r="C5326" s="2" t="s">
        <v>573</v>
      </c>
      <c r="D5326" s="2" t="str">
        <f t="shared" si="82"/>
        <v>Error?</v>
      </c>
    </row>
    <row r="5327" spans="1:5" x14ac:dyDescent="0.2">
      <c r="A5327" s="5">
        <v>5266</v>
      </c>
      <c r="B5327" s="138">
        <f>'Revenues 9-14'!C268</f>
        <v>8528601</v>
      </c>
      <c r="C5327" s="2" t="s">
        <v>573</v>
      </c>
      <c r="D5327" s="2" t="str">
        <f t="shared" si="82"/>
        <v>Error?</v>
      </c>
    </row>
    <row r="5328" spans="1:5" x14ac:dyDescent="0.2">
      <c r="A5328" s="5">
        <v>5267</v>
      </c>
      <c r="B5328" s="138">
        <f>'Revenues 9-14'!D5</f>
        <v>562732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562732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6702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6702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7145</v>
      </c>
      <c r="D5354" s="2" t="str">
        <f t="shared" si="82"/>
        <v>Error?</v>
      </c>
    </row>
    <row r="5355" spans="1:4" x14ac:dyDescent="0.2">
      <c r="A5355" s="5">
        <v>5294</v>
      </c>
      <c r="B5355" s="138">
        <f>'Revenues 9-14'!D108</f>
        <v>7145</v>
      </c>
      <c r="C5355" s="2" t="s">
        <v>573</v>
      </c>
      <c r="D5355" s="2" t="str">
        <f t="shared" si="82"/>
        <v>Error?</v>
      </c>
    </row>
    <row r="5356" spans="1:4" x14ac:dyDescent="0.2">
      <c r="A5356" s="5">
        <v>5295</v>
      </c>
      <c r="B5356" s="138">
        <f>'Revenues 9-14'!D109</f>
        <v>576579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576579</v>
      </c>
      <c r="C5508" s="2" t="s">
        <v>573</v>
      </c>
      <c r="D5508" s="2" t="str">
        <f t="shared" si="85"/>
        <v>Error?</v>
      </c>
    </row>
    <row r="5509" spans="1:4" x14ac:dyDescent="0.2">
      <c r="A5509" s="5">
        <v>5448</v>
      </c>
      <c r="B5509" s="138">
        <f>'Revenues 9-14'!E5</f>
        <v>319676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319676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319676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319676</v>
      </c>
      <c r="C5552" s="2" t="s">
        <v>573</v>
      </c>
      <c r="D5552" s="2" t="str">
        <f t="shared" si="85"/>
        <v>Error?</v>
      </c>
    </row>
    <row r="5553" spans="1:4" x14ac:dyDescent="0.2">
      <c r="A5553" s="5">
        <v>5492</v>
      </c>
      <c r="B5553" s="138">
        <f>'Revenues 9-14'!F5</f>
        <v>200983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200983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946</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40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986</v>
      </c>
      <c r="C5579" s="2" t="s">
        <v>573</v>
      </c>
      <c r="D5579" s="2" t="str">
        <f t="shared" si="86"/>
        <v>Error?</v>
      </c>
    </row>
    <row r="5580" spans="1:4" x14ac:dyDescent="0.2">
      <c r="A5580" s="5">
        <v>5519</v>
      </c>
      <c r="B5580" s="138">
        <f>'Revenues 9-14'!F65</f>
        <v>3374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3374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205343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232470</v>
      </c>
      <c r="D5615" s="2" t="str">
        <f t="shared" si="86"/>
        <v>Error?</v>
      </c>
    </row>
    <row r="5616" spans="1:4" x14ac:dyDescent="0.2">
      <c r="A5616" s="10">
        <v>5555</v>
      </c>
      <c r="D5616" s="2" t="str">
        <f t="shared" si="86"/>
        <v>OK</v>
      </c>
    </row>
    <row r="5617" spans="1:5" x14ac:dyDescent="0.2">
      <c r="A5617" s="5">
        <v>5556</v>
      </c>
      <c r="B5617" s="138">
        <f>'Revenues 9-14'!F153</f>
        <v>18568</v>
      </c>
      <c r="D5617" s="2" t="str">
        <f t="shared" si="86"/>
        <v>Error?</v>
      </c>
    </row>
    <row r="5618" spans="1:5" x14ac:dyDescent="0.2">
      <c r="A5618" s="5">
        <v>5557</v>
      </c>
      <c r="B5618" s="138">
        <f>'Revenues 9-14'!F155</f>
        <v>251038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251038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251038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456381</v>
      </c>
      <c r="C5720" s="2" t="s">
        <v>573</v>
      </c>
      <c r="D5720" s="2" t="str">
        <f t="shared" si="88"/>
        <v>Error?</v>
      </c>
    </row>
    <row r="5721" spans="1:4" x14ac:dyDescent="0.2">
      <c r="A5721" s="5">
        <v>5660</v>
      </c>
      <c r="B5721" s="138">
        <f>'Revenues 9-14'!G5</f>
        <v>120593</v>
      </c>
      <c r="D5721" s="2" t="str">
        <f t="shared" si="88"/>
        <v>Error?</v>
      </c>
    </row>
    <row r="5722" spans="1:4" x14ac:dyDescent="0.2">
      <c r="A5722" s="5">
        <v>5661</v>
      </c>
      <c r="B5722" s="138">
        <f>'Revenues 9-14'!G7</f>
        <v>0</v>
      </c>
      <c r="D5722" s="2" t="str">
        <f t="shared" si="88"/>
        <v>Error?</v>
      </c>
    </row>
    <row r="5723" spans="1:4" x14ac:dyDescent="0.2">
      <c r="A5723" s="5">
        <v>5662</v>
      </c>
      <c r="B5723" s="138">
        <f>'Revenues 9-14'!G8</f>
        <v>165820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286413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2258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2258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288671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2530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2530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30869</v>
      </c>
      <c r="D5885" s="2" t="str">
        <f t="shared" si="90"/>
        <v>Error?</v>
      </c>
    </row>
    <row r="5886" spans="1:4" x14ac:dyDescent="0.2">
      <c r="A5886" s="5">
        <v>5825</v>
      </c>
      <c r="B5886" s="138">
        <f>'Revenues 9-14'!H108</f>
        <v>30869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33399</v>
      </c>
      <c r="C5915" s="2" t="s">
        <v>573</v>
      </c>
      <c r="D5915" s="2" t="str">
        <f t="shared" si="91"/>
        <v>Error?</v>
      </c>
    </row>
    <row r="5916" spans="1:4" x14ac:dyDescent="0.2">
      <c r="A5916" s="5">
        <v>5855</v>
      </c>
      <c r="B5916" s="138">
        <f>'Revenues 9-14'!I5</f>
        <v>50255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50255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9559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9559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59814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1020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1020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1020</v>
      </c>
      <c r="C6023" s="2" t="s">
        <v>573</v>
      </c>
      <c r="D6023" s="2" t="str">
        <f t="shared" si="93"/>
        <v>Error?</v>
      </c>
    </row>
    <row r="6024" spans="1:5" x14ac:dyDescent="0.2">
      <c r="A6024" s="5">
        <v>5963</v>
      </c>
      <c r="B6024" s="138">
        <f>'Revenues 9-14'!G109</f>
        <v>288671</v>
      </c>
      <c r="C6024" s="2" t="s">
        <v>573</v>
      </c>
      <c r="D6024" s="2" t="str">
        <f t="shared" si="93"/>
        <v>Error?</v>
      </c>
    </row>
    <row r="6025" spans="1:5" x14ac:dyDescent="0.2">
      <c r="A6025" s="5">
        <v>5964</v>
      </c>
      <c r="B6025" s="138">
        <f>'Revenues 9-14'!H109</f>
        <v>33399</v>
      </c>
      <c r="C6025" s="2" t="s">
        <v>573</v>
      </c>
      <c r="D6025" s="2" t="str">
        <f t="shared" si="93"/>
        <v>Error?</v>
      </c>
    </row>
    <row r="6026" spans="1:5" x14ac:dyDescent="0.2">
      <c r="A6026" s="5">
        <v>5965</v>
      </c>
      <c r="B6026" s="138">
        <f>'Revenues 9-14'!I109</f>
        <v>59814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1020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207141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18535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743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11023</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241578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11023</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241578</v>
      </c>
      <c r="D6215" s="2" t="str">
        <f t="shared" si="96"/>
        <v>Error?</v>
      </c>
      <c r="E6215" s="2" t="s">
        <v>190</v>
      </c>
    </row>
    <row r="6216" spans="1:5" x14ac:dyDescent="0.2">
      <c r="A6216">
        <v>6155</v>
      </c>
      <c r="B6216" s="138">
        <f>'Assets-Liab 5-6'!J41</f>
        <v>241578</v>
      </c>
      <c r="D6216" s="2" t="str">
        <f t="shared" si="96"/>
        <v>Error?</v>
      </c>
      <c r="E6216" s="2" t="s">
        <v>190</v>
      </c>
    </row>
    <row r="6217" spans="1:5" x14ac:dyDescent="0.2">
      <c r="A6217">
        <v>6156</v>
      </c>
      <c r="B6217" s="138">
        <f>'Assets-Liab 5-6'!J4</f>
        <v>241578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93263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93263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93263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93263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93263</v>
      </c>
      <c r="D6263" s="2" t="str">
        <f t="shared" si="96"/>
        <v>Error?</v>
      </c>
      <c r="E6263" s="2" t="s">
        <v>190</v>
      </c>
    </row>
    <row r="6264" spans="1:5" x14ac:dyDescent="0.2">
      <c r="A6264">
        <v>6203</v>
      </c>
      <c r="B6264" s="138">
        <f>'Acct Summary 7-8'!J79</f>
        <v>148315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241578</v>
      </c>
      <c r="D6266" s="2" t="str">
        <f t="shared" si="96"/>
        <v>Error?</v>
      </c>
      <c r="E6266" s="2" t="s">
        <v>190</v>
      </c>
    </row>
    <row r="6267" spans="1:5" x14ac:dyDescent="0.2">
      <c r="A6267">
        <v>6206</v>
      </c>
      <c r="B6267" s="138">
        <f>'Acct Summary 7-8'!C82</f>
        <v>816544</v>
      </c>
      <c r="D6267" s="2" t="str">
        <f t="shared" si="96"/>
        <v>Error?</v>
      </c>
      <c r="E6267" s="2" t="s">
        <v>190</v>
      </c>
    </row>
    <row r="6268" spans="1:5" x14ac:dyDescent="0.2">
      <c r="A6268">
        <v>6207</v>
      </c>
      <c r="B6268" s="138">
        <f>'Acct Summary 7-8'!D82</f>
        <v>157571</v>
      </c>
      <c r="D6268" s="2" t="str">
        <f t="shared" si="96"/>
        <v>Error?</v>
      </c>
      <c r="E6268" s="2" t="s">
        <v>190</v>
      </c>
    </row>
    <row r="6269" spans="1:5" x14ac:dyDescent="0.2">
      <c r="A6269">
        <v>6208</v>
      </c>
      <c r="B6269" s="138">
        <f>'Acct Summary 7-8'!E82</f>
        <v>19890</v>
      </c>
      <c r="D6269" s="2" t="str">
        <f t="shared" si="96"/>
        <v>Error?</v>
      </c>
      <c r="E6269" s="2" t="s">
        <v>190</v>
      </c>
    </row>
    <row r="6270" spans="1:5" x14ac:dyDescent="0.2">
      <c r="A6270">
        <v>6209</v>
      </c>
      <c r="B6270" s="138">
        <f>'Acct Summary 7-8'!F82</f>
        <v>-91044</v>
      </c>
      <c r="D6270" s="2" t="str">
        <f t="shared" si="96"/>
        <v>Error?</v>
      </c>
      <c r="E6270" s="2" t="s">
        <v>190</v>
      </c>
    </row>
    <row r="6271" spans="1:5" x14ac:dyDescent="0.2">
      <c r="A6271">
        <v>6210</v>
      </c>
      <c r="B6271" s="138">
        <f>'Acct Summary 7-8'!G82</f>
        <v>86533</v>
      </c>
      <c r="D6271" s="2" t="str">
        <f t="shared" ref="D6271:D6334" si="97">IF(ISBLANK(B6271),"OK",IF(A6271-B6271=0,"OK","Error?"))</f>
        <v>Error?</v>
      </c>
      <c r="E6271" s="2" t="s">
        <v>190</v>
      </c>
    </row>
    <row r="6272" spans="1:5" x14ac:dyDescent="0.2">
      <c r="A6272">
        <v>6211</v>
      </c>
      <c r="B6272" s="138">
        <f>'Acct Summary 7-8'!H82</f>
        <v>33399</v>
      </c>
      <c r="D6272" s="2" t="str">
        <f t="shared" si="97"/>
        <v>Error?</v>
      </c>
      <c r="E6272" s="2" t="s">
        <v>190</v>
      </c>
    </row>
    <row r="6273" spans="1:5" x14ac:dyDescent="0.2">
      <c r="A6273">
        <v>6212</v>
      </c>
      <c r="B6273" s="138">
        <f>'Acct Summary 7-8'!I82</f>
        <v>59814</v>
      </c>
      <c r="D6273" s="2" t="str">
        <f t="shared" si="97"/>
        <v>Error?</v>
      </c>
      <c r="E6273" s="2" t="s">
        <v>190</v>
      </c>
    </row>
    <row r="6274" spans="1:5" x14ac:dyDescent="0.2">
      <c r="A6274">
        <v>6213</v>
      </c>
      <c r="B6274" s="138">
        <f>'Acct Summary 7-8'!J82</f>
        <v>93263</v>
      </c>
      <c r="D6274" s="2" t="str">
        <f t="shared" si="97"/>
        <v>Error?</v>
      </c>
      <c r="E6274" s="2" t="s">
        <v>190</v>
      </c>
    </row>
    <row r="6275" spans="1:5" x14ac:dyDescent="0.2">
      <c r="A6275">
        <v>6214</v>
      </c>
      <c r="B6275" s="138">
        <f>'Acct Summary 7-8'!K82</f>
        <v>1020</v>
      </c>
      <c r="D6275" s="2" t="str">
        <f t="shared" si="97"/>
        <v>Error?</v>
      </c>
      <c r="E6275" s="2" t="s">
        <v>190</v>
      </c>
    </row>
    <row r="6276" spans="1:5" x14ac:dyDescent="0.2">
      <c r="A6276">
        <v>6215</v>
      </c>
      <c r="B6276" s="138">
        <f>'Acct Summary 7-8'!C83</f>
        <v>0.52245006599855526</v>
      </c>
      <c r="D6276" s="2" t="str">
        <f t="shared" si="97"/>
        <v>Error?</v>
      </c>
      <c r="E6276" s="2" t="s">
        <v>190</v>
      </c>
    </row>
    <row r="6277" spans="1:5" x14ac:dyDescent="0.2">
      <c r="A6277">
        <v>6216</v>
      </c>
      <c r="B6277" s="138">
        <f>'Acct Summary 7-8'!D83</f>
        <v>0.21228516653845481</v>
      </c>
      <c r="D6277" s="2" t="str">
        <f t="shared" si="97"/>
        <v>Error?</v>
      </c>
      <c r="E6277" s="2" t="s">
        <v>190</v>
      </c>
    </row>
    <row r="6278" spans="1:5" x14ac:dyDescent="0.2">
      <c r="A6278">
        <v>6217</v>
      </c>
      <c r="B6278" s="138">
        <f>'Acct Summary 7-8'!E83</f>
        <v>0.82309124767225328</v>
      </c>
      <c r="D6278" s="2" t="str">
        <f t="shared" si="97"/>
        <v>Error?</v>
      </c>
      <c r="E6278" s="2" t="s">
        <v>190</v>
      </c>
    </row>
    <row r="6279" spans="1:5" x14ac:dyDescent="0.2">
      <c r="A6279">
        <v>6218</v>
      </c>
      <c r="B6279" s="138">
        <f>'Acct Summary 7-8'!F83</f>
        <v>-0.4719164023138645</v>
      </c>
      <c r="D6279" s="2" t="str">
        <f t="shared" si="97"/>
        <v>Error?</v>
      </c>
      <c r="E6279" s="2" t="s">
        <v>190</v>
      </c>
    </row>
    <row r="6280" spans="1:5" x14ac:dyDescent="0.2">
      <c r="A6280">
        <v>6219</v>
      </c>
      <c r="B6280" s="138">
        <f>'Acct Summary 7-8'!G83</f>
        <v>0.43497252926776547</v>
      </c>
      <c r="D6280" s="2" t="str">
        <f t="shared" si="97"/>
        <v>Error?</v>
      </c>
      <c r="E6280" s="2" t="s">
        <v>190</v>
      </c>
    </row>
    <row r="6281" spans="1:5" x14ac:dyDescent="0.2">
      <c r="A6281">
        <v>6220</v>
      </c>
      <c r="B6281" s="138">
        <f>'Acct Summary 7-8'!H83</f>
        <v>0.34388706987088402</v>
      </c>
      <c r="D6281" s="2" t="str">
        <f t="shared" si="97"/>
        <v>Error?</v>
      </c>
      <c r="E6281" s="2" t="s">
        <v>190</v>
      </c>
    </row>
    <row r="6282" spans="1:5" x14ac:dyDescent="0.2">
      <c r="A6282">
        <v>6221</v>
      </c>
      <c r="B6282" s="138">
        <f>'Acct Summary 7-8'!I83</f>
        <v>2.8753012230629788E-2</v>
      </c>
      <c r="D6282" s="2" t="str">
        <f t="shared" si="97"/>
        <v>Error?</v>
      </c>
      <c r="E6282" s="2" t="s">
        <v>190</v>
      </c>
    </row>
    <row r="6283" spans="1:5" x14ac:dyDescent="0.2">
      <c r="A6283">
        <v>6222</v>
      </c>
      <c r="B6283" s="138">
        <f>'Acct Summary 7-8'!J83</f>
        <v>0.38605750523640397</v>
      </c>
      <c r="D6283" s="2" t="str">
        <f t="shared" si="97"/>
        <v>Error?</v>
      </c>
      <c r="E6283" s="2" t="s">
        <v>190</v>
      </c>
    </row>
    <row r="6284" spans="1:5" x14ac:dyDescent="0.2">
      <c r="A6284">
        <v>6223</v>
      </c>
      <c r="B6284" s="138">
        <f>'Acct Summary 7-8'!K83</f>
        <v>3.6979298843490556E-2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90987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90987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2276</v>
      </c>
      <c r="D6350" s="2" t="str">
        <f t="shared" si="98"/>
        <v>Error?</v>
      </c>
      <c r="E6350" s="2" t="s">
        <v>190</v>
      </c>
    </row>
    <row r="6351" spans="1:5" x14ac:dyDescent="0.2">
      <c r="A6351">
        <v>6290</v>
      </c>
      <c r="B6351" s="138">
        <f>'Revenues 9-14'!J108</f>
        <v>2276</v>
      </c>
      <c r="D6351" s="2" t="str">
        <f t="shared" si="98"/>
        <v>Error?</v>
      </c>
      <c r="E6351" s="2" t="s">
        <v>190</v>
      </c>
    </row>
    <row r="6352" spans="1:5" x14ac:dyDescent="0.2">
      <c r="A6352">
        <v>6291</v>
      </c>
      <c r="B6352" s="138">
        <f>'Revenues 9-14'!J109</f>
        <v>93263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5639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28710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23505</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23505</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23505</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93263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93263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28710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582342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12200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12200</v>
      </c>
      <c r="D7719" s="2" t="str">
        <f t="shared" si="126"/>
        <v>Error?</v>
      </c>
      <c r="E7719" s="2" t="s">
        <v>827</v>
      </c>
    </row>
    <row r="7720" spans="1:6" x14ac:dyDescent="0.2">
      <c r="A7720">
        <v>7659</v>
      </c>
      <c r="B7720" s="138">
        <f>'Rest Tax Levies-Tort Im 25'!H14</f>
        <v>52525</v>
      </c>
      <c r="D7720" s="2" t="str">
        <f t="shared" si="126"/>
        <v>Error?</v>
      </c>
      <c r="E7720" s="2" t="s">
        <v>827</v>
      </c>
    </row>
    <row r="7721" spans="1:6" x14ac:dyDescent="0.2">
      <c r="A7721">
        <v>7660</v>
      </c>
      <c r="B7721" s="138">
        <f>'Rest Tax Levies-Tort Im 25'!K14</f>
        <v>12200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X29" sqref="X2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1191</v>
      </c>
      <c r="B2" s="2408"/>
      <c r="C2" s="2408"/>
      <c r="D2" s="2408"/>
      <c r="E2" s="2408"/>
      <c r="F2" s="2408"/>
      <c r="G2" s="2408"/>
      <c r="H2" s="2408"/>
      <c r="I2" s="2408"/>
      <c r="J2" s="2408"/>
      <c r="K2" s="2408"/>
      <c r="L2" s="2408"/>
    </row>
    <row r="3" spans="1:29" ht="13.5" customHeight="1" x14ac:dyDescent="0.2">
      <c r="A3" s="2394" t="s">
        <v>1190</v>
      </c>
      <c r="B3" s="2394"/>
      <c r="C3" s="2394"/>
      <c r="D3" s="2394"/>
      <c r="E3" s="2394"/>
      <c r="F3" s="2394"/>
      <c r="G3" s="2394"/>
      <c r="H3" s="2394"/>
      <c r="I3" s="2394"/>
      <c r="J3" s="2394"/>
      <c r="K3" s="2394"/>
      <c r="L3" s="2394"/>
    </row>
    <row r="4" spans="1:29" ht="13.5" customHeight="1" x14ac:dyDescent="0.2">
      <c r="A4" s="2408" t="s">
        <v>1989</v>
      </c>
      <c r="B4" s="2425"/>
      <c r="C4" s="2425"/>
      <c r="D4" s="2425"/>
      <c r="E4" s="2425"/>
      <c r="F4" s="2425"/>
      <c r="G4" s="2425"/>
      <c r="H4" s="2425"/>
      <c r="I4" s="2425"/>
      <c r="J4" s="2425"/>
      <c r="K4" s="2425"/>
      <c r="L4" s="242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8" t="str">
        <f>COVER!A17</f>
        <v>Dakota CUSD 201</v>
      </c>
      <c r="B7" s="2389"/>
      <c r="C7" s="2389"/>
      <c r="D7" s="2426"/>
      <c r="E7" s="2427">
        <f>COVER!A13</f>
        <v>8089201026</v>
      </c>
      <c r="F7" s="2428"/>
      <c r="G7" s="2395" t="str">
        <f>COVER!T23</f>
        <v>066-004023</v>
      </c>
      <c r="H7" s="2396"/>
      <c r="I7" s="2396"/>
      <c r="J7" s="2396"/>
      <c r="K7" s="2396"/>
      <c r="L7" s="239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8"/>
      <c r="B9" s="2399"/>
      <c r="C9" s="2399"/>
      <c r="D9" s="2399"/>
      <c r="E9" s="2399"/>
      <c r="F9" s="2400"/>
      <c r="G9" s="2401" t="str">
        <f>COVER!T13</f>
        <v>Wipfli LLP</v>
      </c>
      <c r="H9" s="2402"/>
      <c r="I9" s="2402"/>
      <c r="J9" s="2402"/>
      <c r="K9" s="2402"/>
      <c r="L9" s="2403"/>
    </row>
    <row r="10" spans="1:29" ht="13.5" customHeight="1" x14ac:dyDescent="0.2">
      <c r="A10" s="2385" t="str">
        <f>COVER!A38</f>
        <v>Jason Grey</v>
      </c>
      <c r="B10" s="2386"/>
      <c r="C10" s="2386"/>
      <c r="D10" s="2386"/>
      <c r="E10" s="2386"/>
      <c r="F10" s="2387"/>
      <c r="G10" s="2401" t="str">
        <f>COVER!T17</f>
        <v>403 East 3rd Street</v>
      </c>
      <c r="H10" s="2414"/>
      <c r="I10" s="2414"/>
      <c r="J10" s="2414"/>
      <c r="K10" s="2414"/>
      <c r="L10" s="2415"/>
    </row>
    <row r="11" spans="1:29" ht="13.5" customHeight="1" x14ac:dyDescent="0.2">
      <c r="A11" s="1184" t="s">
        <v>1519</v>
      </c>
      <c r="B11" s="1185"/>
      <c r="C11" s="1186"/>
      <c r="D11" s="1191"/>
      <c r="E11" s="1186"/>
      <c r="F11" s="1190"/>
      <c r="G11" s="2401" t="str">
        <f>COVER!T19</f>
        <v>Sterling</v>
      </c>
      <c r="H11" s="2414"/>
      <c r="I11" s="2414"/>
      <c r="J11" s="2414"/>
      <c r="K11" s="2414"/>
      <c r="L11" s="2415"/>
    </row>
    <row r="12" spans="1:29" ht="13.5" customHeight="1" x14ac:dyDescent="0.2">
      <c r="A12" s="2419" t="s">
        <v>1518</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1520</v>
      </c>
      <c r="H13" s="2410"/>
      <c r="I13" s="2422" t="str">
        <f>COVER!T25</f>
        <v>mschueler@wipfli.com</v>
      </c>
      <c r="J13" s="2423"/>
      <c r="K13" s="2423"/>
      <c r="L13" s="2424"/>
    </row>
    <row r="14" spans="1:29" ht="13.5" customHeight="1" x14ac:dyDescent="0.2">
      <c r="A14" s="2401" t="str">
        <f>COVER!A19</f>
        <v>400 Campus Drive</v>
      </c>
      <c r="B14" s="2414"/>
      <c r="C14" s="2414"/>
      <c r="D14" s="2414"/>
      <c r="E14" s="2414"/>
      <c r="F14" s="2415"/>
      <c r="G14" s="1195" t="s">
        <v>1185</v>
      </c>
      <c r="H14" s="1193"/>
      <c r="I14" s="1193"/>
      <c r="J14" s="1193"/>
      <c r="K14" s="1193"/>
      <c r="L14" s="1194"/>
    </row>
    <row r="15" spans="1:29" ht="13.5" customHeight="1" x14ac:dyDescent="0.2">
      <c r="A15" s="2401" t="str">
        <f>COVER!A21</f>
        <v xml:space="preserve">Dakota  </v>
      </c>
      <c r="B15" s="2414"/>
      <c r="C15" s="2414"/>
      <c r="D15" s="2414"/>
      <c r="E15" s="2414"/>
      <c r="F15" s="2415"/>
      <c r="G15" s="2411" t="str">
        <f>COVER!T15</f>
        <v>Matthew Schueler</v>
      </c>
      <c r="H15" s="2412"/>
      <c r="I15" s="2412"/>
      <c r="J15" s="2412"/>
      <c r="K15" s="2412"/>
      <c r="L15" s="2413"/>
    </row>
    <row r="16" spans="1:29" ht="12.2" customHeight="1" x14ac:dyDescent="0.2">
      <c r="A16" s="2391">
        <f>COVER!A25</f>
        <v>61018</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5" t="s">
        <v>1184</v>
      </c>
      <c r="H17" s="1193"/>
      <c r="I17" s="1193"/>
      <c r="J17" s="1193"/>
      <c r="K17" s="1197" t="s">
        <v>1183</v>
      </c>
      <c r="L17" s="1190"/>
      <c r="M17" s="1183"/>
    </row>
    <row r="18" spans="1:13" ht="12.2" customHeight="1" x14ac:dyDescent="0.2">
      <c r="A18" s="2385"/>
      <c r="B18" s="2386"/>
      <c r="C18" s="2386"/>
      <c r="D18" s="2386"/>
      <c r="E18" s="2386"/>
      <c r="F18" s="2387"/>
      <c r="G18" s="2388" t="str">
        <f>COVER!T21</f>
        <v>815-626-1277</v>
      </c>
      <c r="H18" s="2389"/>
      <c r="I18" s="2389"/>
      <c r="J18" s="2389"/>
      <c r="K18" s="2388" t="str">
        <f>COVER!X21</f>
        <v>815-626-9118</v>
      </c>
      <c r="L18" s="239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X29" sqref="X2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Dakota CUSD 201</v>
      </c>
      <c r="B1" s="2425"/>
      <c r="C1" s="2425"/>
      <c r="D1" s="2425"/>
    </row>
    <row r="2" spans="1:11" s="1212" customFormat="1" ht="12.75" x14ac:dyDescent="0.2">
      <c r="A2" s="2430">
        <f>'Single Audit Cover'!E7</f>
        <v>8089201026</v>
      </c>
      <c r="B2" s="2431"/>
      <c r="C2" s="2431"/>
      <c r="D2" s="2431"/>
    </row>
    <row r="3" spans="1:11" s="1212" customFormat="1" ht="12.75" x14ac:dyDescent="0.2">
      <c r="A3" s="2429" t="s">
        <v>1513</v>
      </c>
      <c r="B3" s="2425"/>
      <c r="C3" s="2425"/>
      <c r="D3" s="242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X29" sqref="X2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Dakota CUSD 201</v>
      </c>
      <c r="B1" s="2433"/>
      <c r="C1" s="2433"/>
      <c r="D1" s="2433"/>
      <c r="E1" s="2433"/>
    </row>
    <row r="2" spans="1:5" x14ac:dyDescent="0.2">
      <c r="A2" s="2434">
        <f>'Single Audit Cover'!E7</f>
        <v>8089201026</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552689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18535</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-38105</v>
      </c>
    </row>
    <row r="19" spans="1:4" ht="13.5" thickBot="1" x14ac:dyDescent="0.25">
      <c r="A19" s="1262" t="s">
        <v>1235</v>
      </c>
      <c r="D19" s="1263">
        <f>SUM(D10:D17)</f>
        <v>533119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533119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533119</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19"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4" t="str">
        <f>'Single Audit Cover'!A7</f>
        <v>Dakota CUSD 201</v>
      </c>
      <c r="C1" s="2437"/>
      <c r="D1" s="2437"/>
      <c r="E1" s="2437"/>
      <c r="F1" s="2437"/>
      <c r="G1" s="2437"/>
      <c r="H1" s="2437"/>
      <c r="I1" s="2437"/>
      <c r="J1" s="2437"/>
      <c r="K1" s="2437"/>
      <c r="L1" s="2437"/>
      <c r="M1" s="2437"/>
    </row>
    <row r="2" spans="2:14" ht="15" x14ac:dyDescent="0.2">
      <c r="B2" s="2438">
        <f>'Single Audit Cover'!E7</f>
        <v>8089201026</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X29" sqref="X2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Dakota CUSD 201</v>
      </c>
      <c r="B1" s="2442"/>
      <c r="C1" s="2442"/>
      <c r="D1" s="2442"/>
      <c r="E1" s="2442"/>
      <c r="F1" s="2442"/>
    </row>
    <row r="2" spans="1:7" ht="13.5" customHeight="1" x14ac:dyDescent="0.2">
      <c r="A2" s="2438">
        <f>'Single Audit Cover'!E7</f>
        <v>8089201026</v>
      </c>
      <c r="B2" s="2438"/>
      <c r="C2" s="2438"/>
      <c r="D2" s="2438"/>
      <c r="E2" s="2438"/>
      <c r="F2" s="2438"/>
      <c r="G2" s="1272"/>
    </row>
    <row r="3" spans="1:7" ht="15.75" customHeight="1" x14ac:dyDescent="0.2">
      <c r="A3" s="2443" t="s">
        <v>1271</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3" t="s">
        <v>1728</v>
      </c>
      <c r="C6" s="317"/>
      <c r="D6" s="317"/>
    </row>
    <row r="7" spans="1:7" ht="60.95" customHeight="1" x14ac:dyDescent="0.2">
      <c r="A7" s="2441" t="s">
        <v>1729</v>
      </c>
      <c r="B7" s="2441"/>
      <c r="C7" s="2441"/>
      <c r="D7" s="2441"/>
      <c r="E7" s="2441"/>
      <c r="F7" s="2441"/>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1" t="s">
        <v>1731</v>
      </c>
      <c r="B13" s="2441"/>
      <c r="C13" s="2441"/>
      <c r="D13" s="2441"/>
      <c r="E13" s="2441"/>
      <c r="F13" s="2441"/>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9" t="s">
        <v>1732</v>
      </c>
      <c r="B32" s="2449"/>
      <c r="C32" s="2449"/>
      <c r="D32" s="2449"/>
      <c r="E32" s="2449"/>
      <c r="F32" s="244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0">
        <f>+C33+C34</f>
        <v>0</v>
      </c>
      <c r="F34" s="245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2" t="s">
        <v>1590</v>
      </c>
      <c r="C49" s="2452"/>
      <c r="D49" s="2452"/>
      <c r="E49" s="1396"/>
    </row>
    <row r="50" spans="1:5" s="1297" customFormat="1" ht="3.75" customHeight="1" x14ac:dyDescent="0.2">
      <c r="A50" s="1296"/>
      <c r="B50" s="1845"/>
      <c r="C50" s="1845"/>
      <c r="D50" s="1845"/>
      <c r="E50" s="1396"/>
    </row>
    <row r="51" spans="1:5" s="1297" customFormat="1" ht="20.25" customHeight="1" x14ac:dyDescent="0.2">
      <c r="A51" s="1298">
        <v>6</v>
      </c>
      <c r="B51" s="2448" t="s">
        <v>1551</v>
      </c>
      <c r="C51" s="2448"/>
      <c r="D51" s="2448"/>
    </row>
    <row r="52" spans="1:5" ht="14.25" customHeight="1" x14ac:dyDescent="0.2">
      <c r="A52" s="1298"/>
      <c r="B52" s="2448"/>
      <c r="C52" s="2448"/>
      <c r="D52" s="244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5" colorId="8" zoomScale="110" zoomScaleNormal="110" workbookViewId="0">
      <selection activeCell="E124" sqref="E12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t="s">
        <v>2072</v>
      </c>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2072</v>
      </c>
      <c r="C53" s="179">
        <v>22</v>
      </c>
      <c r="D53" s="247" t="s">
        <v>1462</v>
      </c>
      <c r="E53" s="248"/>
      <c r="F53" s="249"/>
      <c r="G53" s="249" t="s">
        <v>1461</v>
      </c>
      <c r="H53" s="250">
        <v>35521</v>
      </c>
      <c r="I53" s="237" t="s">
        <v>1483</v>
      </c>
    </row>
    <row r="54" spans="1:10" s="181" customFormat="1" x14ac:dyDescent="0.2">
      <c r="A54" s="219"/>
      <c r="B54" s="220" t="s">
        <v>2072</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t="s">
        <v>2088</v>
      </c>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2064</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t="s">
        <v>2089</v>
      </c>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 xml:space="preserve">&amp;C </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28" zoomScale="110" zoomScaleNormal="110" workbookViewId="0">
      <selection activeCell="X29" sqref="X2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Dakota CUSD 201</v>
      </c>
      <c r="C1" s="2458"/>
      <c r="D1" s="2458"/>
      <c r="E1" s="2458"/>
      <c r="F1" s="2458"/>
      <c r="G1" s="2458"/>
      <c r="H1" s="2458"/>
      <c r="I1" s="2458"/>
      <c r="J1" s="1406"/>
    </row>
    <row r="2" spans="2:10" s="317" customFormat="1" ht="12.75" customHeight="1" x14ac:dyDescent="0.2">
      <c r="B2" s="2459">
        <f>'Single Audit Cover'!E7</f>
        <v>8089201026</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71" t="s">
        <v>1593</v>
      </c>
      <c r="D43" s="2472"/>
      <c r="E43" s="2472"/>
      <c r="F43" s="2473"/>
      <c r="G43" s="2474">
        <f>SUM(G38:I42)</f>
        <v>0</v>
      </c>
      <c r="H43" s="2474"/>
      <c r="I43" s="2474"/>
    </row>
    <row r="44" spans="2:9" ht="12.75" customHeight="1" x14ac:dyDescent="0.2"/>
    <row r="45" spans="2:9" ht="12.75" customHeight="1" x14ac:dyDescent="0.2">
      <c r="B45" s="1419" t="s">
        <v>1841</v>
      </c>
      <c r="D45" s="2475">
        <v>0</v>
      </c>
      <c r="E45" s="247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7"/>
      <c r="F49" s="2477"/>
      <c r="G49" s="247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Dakota CUSD 201</v>
      </c>
      <c r="C1" s="2457"/>
      <c r="D1" s="2457"/>
      <c r="E1" s="2457"/>
      <c r="F1" s="2457"/>
      <c r="G1" s="2457"/>
      <c r="H1" s="2457"/>
      <c r="I1" s="2457"/>
      <c r="J1" s="2457"/>
      <c r="K1" s="2457"/>
      <c r="L1" s="1371"/>
      <c r="M1" s="1371"/>
    </row>
    <row r="2" spans="1:13" ht="12" customHeight="1" x14ac:dyDescent="0.2">
      <c r="B2" s="2459">
        <f>'Single Audit Cover'!E7</f>
        <v>8089201026</v>
      </c>
      <c r="C2" s="2459"/>
      <c r="D2" s="2459"/>
      <c r="E2" s="2459"/>
      <c r="F2" s="2459"/>
      <c r="G2" s="2459"/>
      <c r="H2" s="2459"/>
      <c r="I2" s="2459"/>
      <c r="J2" s="2459"/>
      <c r="K2" s="2459"/>
      <c r="L2" s="1372"/>
      <c r="M2" s="1373"/>
    </row>
    <row r="3" spans="1:13" ht="10.35" customHeight="1" x14ac:dyDescent="0.2">
      <c r="B3" s="2480" t="s">
        <v>1285</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9"/>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Dakota CUSD 201</v>
      </c>
      <c r="C1" s="2484"/>
      <c r="D1" s="2484"/>
      <c r="E1" s="2484"/>
      <c r="F1" s="2484"/>
      <c r="G1" s="2484"/>
      <c r="H1" s="2484"/>
      <c r="I1" s="2484"/>
      <c r="J1" s="2484"/>
      <c r="K1" s="2484"/>
      <c r="L1" s="1449"/>
    </row>
    <row r="2" spans="1:12" ht="12.75" customHeight="1" x14ac:dyDescent="0.2">
      <c r="B2" s="2485">
        <f>'Single Audit Cover'!E7</f>
        <v>8089201026</v>
      </c>
      <c r="C2" s="2485"/>
      <c r="D2" s="2485"/>
      <c r="E2" s="2485"/>
      <c r="F2" s="2485"/>
      <c r="G2" s="2485"/>
      <c r="H2" s="2485"/>
      <c r="I2" s="2485"/>
      <c r="J2" s="2485"/>
      <c r="K2" s="2485"/>
      <c r="L2" s="1450"/>
    </row>
    <row r="3" spans="1:12" ht="12.75" customHeight="1" x14ac:dyDescent="0.2">
      <c r="B3" s="2480" t="s">
        <v>1285</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c r="E14" s="2487"/>
      <c r="F14" s="2487"/>
      <c r="H14" s="1459" t="s">
        <v>1303</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c r="E16" s="2488"/>
      <c r="F16" s="2488"/>
      <c r="G16" s="2488"/>
      <c r="H16" s="2488"/>
      <c r="I16" s="2488"/>
      <c r="J16" s="2488"/>
      <c r="K16" s="2488"/>
      <c r="L16" s="322"/>
    </row>
    <row r="17" spans="2:12" ht="13.5" customHeight="1" x14ac:dyDescent="0.2">
      <c r="B17" s="1384" t="s">
        <v>1301</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Dakota CUSD 201</v>
      </c>
      <c r="C1" s="2457"/>
      <c r="D1" s="2457"/>
      <c r="E1" s="1469"/>
    </row>
    <row r="2" spans="2:5" s="1279" customFormat="1" ht="12.75" customHeight="1" x14ac:dyDescent="0.2">
      <c r="B2" s="2459">
        <f>'Single Audit Cover'!E7</f>
        <v>8089201026</v>
      </c>
      <c r="C2" s="2459"/>
      <c r="D2" s="2459"/>
      <c r="E2" s="1470"/>
    </row>
    <row r="3" spans="2:5" ht="12.75" customHeight="1" x14ac:dyDescent="0.2">
      <c r="B3" s="2480" t="s">
        <v>1766</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H36" sqref="H3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105116544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4.3582900000000001E-2</v>
      </c>
      <c r="E10" s="356" t="s">
        <v>1005</v>
      </c>
      <c r="F10" s="355">
        <v>5.2969999999999996E-3</v>
      </c>
      <c r="G10" s="356" t="s">
        <v>1005</v>
      </c>
      <c r="H10" s="355">
        <v>1.9247999999999999E-3</v>
      </c>
      <c r="I10" s="356" t="s">
        <v>1006</v>
      </c>
      <c r="J10" s="1732">
        <f>ROUND(D10+F10+H10,5)</f>
        <v>5.0799999999999998E-2</v>
      </c>
      <c r="K10" s="222"/>
      <c r="L10" s="355">
        <v>4.8139999999999999E-4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9621375</v>
      </c>
      <c r="E16" s="356"/>
      <c r="F16" s="1733">
        <f>SUM('Acct Summary 7-8'!C17,'Acct Summary 7-8'!D17,'Acct Summary 7-8'!F17)</f>
        <v>8250012</v>
      </c>
      <c r="G16" s="356"/>
      <c r="H16" s="1733">
        <f>SUM(D16-F16)</f>
        <v>1371363</v>
      </c>
      <c r="I16" s="222"/>
      <c r="J16" s="1733">
        <f>SUM('Acct Summary 7-8'!C81,'Acct Summary 7-8'!D81,'Acct Summary 7-8'!F81,'Acct Summary 7-8'!I81)</f>
        <v>4578367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14506083.072000001</v>
      </c>
      <c r="I31" s="368"/>
      <c r="J31" s="222"/>
      <c r="K31" s="222"/>
      <c r="L31" s="222"/>
      <c r="M31" s="222"/>
    </row>
    <row r="32" spans="1:13" ht="13.35" customHeight="1" x14ac:dyDescent="0.2">
      <c r="B32" s="369" t="s">
        <v>2072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9793100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4" zoomScale="110" zoomScaleNormal="110" workbookViewId="0">
      <selection activeCell="X29" sqref="X2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Dakota CUSD 201</v>
      </c>
      <c r="E7" s="391"/>
      <c r="G7" s="252"/>
      <c r="H7" s="387"/>
      <c r="I7" s="387"/>
      <c r="J7" s="387"/>
      <c r="K7" s="387"/>
      <c r="L7" s="329"/>
      <c r="M7" s="329"/>
      <c r="N7" s="329"/>
      <c r="O7" s="329"/>
      <c r="P7" s="329"/>
    </row>
    <row r="8" spans="1:18" ht="12.75" x14ac:dyDescent="0.2">
      <c r="A8" s="329"/>
      <c r="B8" s="329"/>
      <c r="C8" s="389" t="s">
        <v>1125</v>
      </c>
      <c r="D8" s="392">
        <f>COVER!A13</f>
        <v>8089201026</v>
      </c>
      <c r="E8" s="393"/>
      <c r="G8" s="329"/>
      <c r="H8" s="329"/>
      <c r="I8" s="329"/>
      <c r="J8" s="329"/>
      <c r="K8" s="329"/>
      <c r="L8" s="329"/>
      <c r="M8" s="329"/>
      <c r="N8" s="329"/>
      <c r="O8" s="329"/>
      <c r="P8" s="329"/>
    </row>
    <row r="9" spans="1:18" ht="12.75" x14ac:dyDescent="0.2">
      <c r="A9" s="329"/>
      <c r="B9" s="329"/>
      <c r="C9" s="389" t="s">
        <v>713</v>
      </c>
      <c r="D9" s="394" t="str">
        <f>COVER!A15</f>
        <v>Stephenson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4578367</v>
      </c>
      <c r="I12" s="404"/>
      <c r="J12" s="404"/>
      <c r="K12" s="405">
        <f>TRUNC((H12/H13*100000),5)/100000</f>
        <v>0.47585371110000002</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9621375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8250012</v>
      </c>
      <c r="I17" s="404"/>
      <c r="J17" s="416"/>
      <c r="K17" s="405">
        <f>TRUNC((H17/H18*100000),5)/100000</f>
        <v>0.85746704600000001</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9621375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4595107</v>
      </c>
      <c r="I24" s="422"/>
      <c r="J24" s="422"/>
      <c r="K24" s="423">
        <f>TRUNC(((H24/H25*100000)/100000),2)</f>
        <v>200.51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22916.7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4538932.3699200004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9793100</v>
      </c>
      <c r="I32" s="420"/>
      <c r="J32" s="420"/>
      <c r="K32" s="423">
        <f>TRUNC(100-((((H32/H33*100))*100)/100),2)</f>
        <v>32.479999999999997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14506083.072000001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5" activePane="bottomLeft" state="frozen"/>
      <selection activeCell="X29" sqref="X29"/>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9"/>
      <c r="D3" s="1560"/>
      <c r="E3" s="1560"/>
      <c r="F3" s="1560"/>
      <c r="G3" s="1560"/>
      <c r="H3" s="1560"/>
      <c r="I3" s="1560"/>
      <c r="J3" s="1560"/>
      <c r="K3" s="1560"/>
      <c r="L3" s="1560"/>
      <c r="M3" s="1561"/>
      <c r="N3" s="1562"/>
    </row>
    <row r="4" spans="1:14" ht="13.5" customHeight="1" x14ac:dyDescent="0.2">
      <c r="A4" s="463" t="s">
        <v>1651</v>
      </c>
      <c r="B4" s="464"/>
      <c r="C4" s="465">
        <v>1590676</v>
      </c>
      <c r="D4" s="466">
        <v>742261</v>
      </c>
      <c r="E4" s="466">
        <v>24165</v>
      </c>
      <c r="F4" s="466">
        <v>192924</v>
      </c>
      <c r="G4" s="466">
        <v>198939</v>
      </c>
      <c r="H4" s="466">
        <v>108145</v>
      </c>
      <c r="I4" s="466">
        <v>2069246</v>
      </c>
      <c r="J4" s="467">
        <v>241578</v>
      </c>
      <c r="K4" s="466">
        <v>27583</v>
      </c>
      <c r="L4" s="466">
        <v>126568</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11023</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1590676</v>
      </c>
      <c r="D13" s="1737">
        <f t="shared" ref="D13:L13" si="0">SUM(D4:D12)</f>
        <v>742261</v>
      </c>
      <c r="E13" s="1737">
        <f t="shared" si="0"/>
        <v>24165</v>
      </c>
      <c r="F13" s="1737">
        <f t="shared" si="0"/>
        <v>192924</v>
      </c>
      <c r="G13" s="1737">
        <f t="shared" si="0"/>
        <v>198939</v>
      </c>
      <c r="H13" s="1737">
        <f t="shared" si="0"/>
        <v>108145</v>
      </c>
      <c r="I13" s="1737">
        <f t="shared" si="0"/>
        <v>2080269</v>
      </c>
      <c r="J13" s="1737">
        <f t="shared" si="0"/>
        <v>241578</v>
      </c>
      <c r="K13" s="1737">
        <f t="shared" si="0"/>
        <v>27583</v>
      </c>
      <c r="L13" s="1737">
        <f t="shared" si="0"/>
        <v>126568</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17546</v>
      </c>
      <c r="N16" s="484"/>
    </row>
    <row r="17" spans="1:14" s="485" customFormat="1" ht="12.75" customHeight="1" x14ac:dyDescent="0.2">
      <c r="A17" s="482" t="s">
        <v>1403</v>
      </c>
      <c r="B17" s="483">
        <v>230</v>
      </c>
      <c r="C17" s="477"/>
      <c r="D17" s="477"/>
      <c r="E17" s="477"/>
      <c r="F17" s="477"/>
      <c r="G17" s="477"/>
      <c r="H17" s="477"/>
      <c r="I17" s="477"/>
      <c r="J17" s="477"/>
      <c r="K17" s="477"/>
      <c r="L17" s="477"/>
      <c r="M17" s="467">
        <v>23877555</v>
      </c>
      <c r="N17" s="484"/>
    </row>
    <row r="18" spans="1:14" s="485" customFormat="1" ht="12.75" customHeight="1" x14ac:dyDescent="0.2">
      <c r="A18" s="482" t="s">
        <v>1404</v>
      </c>
      <c r="B18" s="483">
        <v>240</v>
      </c>
      <c r="C18" s="477"/>
      <c r="D18" s="477"/>
      <c r="E18" s="477"/>
      <c r="F18" s="477"/>
      <c r="G18" s="477"/>
      <c r="H18" s="477"/>
      <c r="I18" s="477"/>
      <c r="J18" s="477"/>
      <c r="K18" s="477"/>
      <c r="L18" s="477"/>
      <c r="M18" s="467">
        <v>404504</v>
      </c>
      <c r="N18" s="484"/>
    </row>
    <row r="19" spans="1:14" s="485" customFormat="1" ht="12.75" customHeight="1" x14ac:dyDescent="0.2">
      <c r="A19" s="482" t="s">
        <v>1405</v>
      </c>
      <c r="B19" s="483">
        <v>250</v>
      </c>
      <c r="C19" s="477"/>
      <c r="D19" s="477"/>
      <c r="E19" s="477"/>
      <c r="F19" s="477"/>
      <c r="G19" s="477"/>
      <c r="H19" s="477"/>
      <c r="I19" s="477"/>
      <c r="J19" s="477"/>
      <c r="K19" s="477"/>
      <c r="L19" s="477"/>
      <c r="M19" s="467">
        <v>1298396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24165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9768935</v>
      </c>
    </row>
    <row r="23" spans="1:14" ht="13.5" customHeight="1" thickBot="1" x14ac:dyDescent="0.25">
      <c r="A23" s="1736" t="s">
        <v>643</v>
      </c>
      <c r="B23" s="1741"/>
      <c r="C23" s="468"/>
      <c r="D23" s="468"/>
      <c r="E23" s="468"/>
      <c r="F23" s="468"/>
      <c r="G23" s="468"/>
      <c r="H23" s="468"/>
      <c r="I23" s="468"/>
      <c r="J23" s="468"/>
      <c r="K23" s="468"/>
      <c r="L23" s="468"/>
      <c r="M23" s="1688">
        <f>SUM(M15:M22)</f>
        <v>25598001</v>
      </c>
      <c r="N23" s="1688">
        <f>SUM(N21:N22)</f>
        <v>9793100</v>
      </c>
    </row>
    <row r="24" spans="1:14" ht="18" customHeight="1" thickTop="1" x14ac:dyDescent="0.2">
      <c r="A24" s="2116" t="s">
        <v>598</v>
      </c>
      <c r="B24" s="211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v>11023</v>
      </c>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27763</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126568</v>
      </c>
      <c r="M33" s="468"/>
      <c r="N33" s="469"/>
    </row>
    <row r="34" spans="1:14" ht="13.5" customHeight="1" thickBot="1" x14ac:dyDescent="0.25">
      <c r="A34" s="1738" t="s">
        <v>654</v>
      </c>
      <c r="B34" s="1739"/>
      <c r="C34" s="1740">
        <f>SUM(C25:C33)</f>
        <v>27763</v>
      </c>
      <c r="D34" s="1740">
        <f t="shared" ref="D34:K34" si="1">SUM(D25:D33)</f>
        <v>0</v>
      </c>
      <c r="E34" s="1740">
        <f t="shared" si="1"/>
        <v>0</v>
      </c>
      <c r="F34" s="1740">
        <f t="shared" si="1"/>
        <v>0</v>
      </c>
      <c r="G34" s="1740">
        <f t="shared" si="1"/>
        <v>0</v>
      </c>
      <c r="H34" s="1740">
        <f t="shared" si="1"/>
        <v>11023</v>
      </c>
      <c r="I34" s="1740">
        <f t="shared" si="1"/>
        <v>0</v>
      </c>
      <c r="J34" s="1740">
        <f t="shared" si="1"/>
        <v>0</v>
      </c>
      <c r="K34" s="1740">
        <f t="shared" si="1"/>
        <v>0</v>
      </c>
      <c r="L34" s="1721">
        <f>SUM(L33)</f>
        <v>126568</v>
      </c>
      <c r="M34" s="468"/>
      <c r="N34" s="480"/>
    </row>
    <row r="35" spans="1:14" ht="18" customHeight="1" thickTop="1" x14ac:dyDescent="0.2">
      <c r="A35" s="2118" t="s">
        <v>529</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9793100</v>
      </c>
    </row>
    <row r="37" spans="1:14" ht="13.5" thickBot="1" x14ac:dyDescent="0.25">
      <c r="A37" s="1736" t="s">
        <v>653</v>
      </c>
      <c r="B37" s="1741"/>
      <c r="C37" s="477"/>
      <c r="D37" s="477"/>
      <c r="E37" s="477"/>
      <c r="F37" s="477"/>
      <c r="G37" s="477"/>
      <c r="H37" s="477"/>
      <c r="I37" s="477"/>
      <c r="J37" s="477"/>
      <c r="K37" s="477"/>
      <c r="L37" s="480"/>
      <c r="M37" s="468"/>
      <c r="N37" s="1688">
        <f>SUM(N36:N36)</f>
        <v>9793100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1562913</v>
      </c>
      <c r="D39" s="466">
        <v>742261</v>
      </c>
      <c r="E39" s="466">
        <v>24165</v>
      </c>
      <c r="F39" s="466">
        <v>192924</v>
      </c>
      <c r="G39" s="466">
        <v>198939</v>
      </c>
      <c r="H39" s="466">
        <v>97122</v>
      </c>
      <c r="I39" s="466">
        <v>2080269</v>
      </c>
      <c r="J39" s="467">
        <v>241578</v>
      </c>
      <c r="K39" s="466">
        <v>27583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25598001</v>
      </c>
      <c r="N40" s="497"/>
    </row>
    <row r="41" spans="1:14" ht="13.5" customHeight="1" thickBot="1" x14ac:dyDescent="0.25">
      <c r="A41" s="1736" t="s">
        <v>655</v>
      </c>
      <c r="B41" s="1706"/>
      <c r="C41" s="1688">
        <f>(SUM(C34,C37,C38,C39))</f>
        <v>1590676</v>
      </c>
      <c r="D41" s="1688">
        <f t="shared" ref="D41:L41" si="2">SUM(D34,D37,D38:D39)</f>
        <v>742261</v>
      </c>
      <c r="E41" s="1688">
        <f t="shared" si="2"/>
        <v>24165</v>
      </c>
      <c r="F41" s="1688">
        <f t="shared" si="2"/>
        <v>192924</v>
      </c>
      <c r="G41" s="1688">
        <f t="shared" si="2"/>
        <v>198939</v>
      </c>
      <c r="H41" s="1688">
        <f t="shared" si="2"/>
        <v>108145</v>
      </c>
      <c r="I41" s="1688">
        <f t="shared" si="2"/>
        <v>2080269</v>
      </c>
      <c r="J41" s="1688">
        <f t="shared" si="2"/>
        <v>241578</v>
      </c>
      <c r="K41" s="1688">
        <f t="shared" si="2"/>
        <v>27583</v>
      </c>
      <c r="L41" s="1688">
        <f t="shared" si="2"/>
        <v>126568</v>
      </c>
      <c r="M41" s="1688">
        <f>SUM(M40)</f>
        <v>25598001</v>
      </c>
      <c r="N41" s="1688">
        <f>SUM(N37)</f>
        <v>9793100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2019
</oddHeader>
    <oddFooter>&amp;L&amp;8Print Date:  &amp;D
&amp;F&amp;CSee Notes to the Accompanying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4" activePane="bottomLeft" state="frozen"/>
      <selection activeCell="X29" sqref="X29"/>
      <selection pane="bottomLeft" activeCell="C22" sqref="C2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3"/>
      <c r="D3" s="1574"/>
      <c r="E3" s="1574"/>
      <c r="F3" s="1574"/>
      <c r="G3" s="1574"/>
      <c r="H3" s="1574"/>
      <c r="I3" s="1574"/>
      <c r="J3" s="1574"/>
      <c r="K3" s="1575"/>
      <c r="L3" s="506"/>
    </row>
    <row r="4" spans="1:13" ht="15.75" customHeight="1" x14ac:dyDescent="0.2">
      <c r="A4" s="1928" t="s">
        <v>1499</v>
      </c>
      <c r="B4" s="1929">
        <v>1000</v>
      </c>
      <c r="C4" s="1742">
        <f>'Revenues 9-14'!C109</f>
        <v>5296766</v>
      </c>
      <c r="D4" s="1742">
        <f>'Revenues 9-14'!D109</f>
        <v>576579</v>
      </c>
      <c r="E4" s="1742">
        <f>'Revenues 9-14'!E109</f>
        <v>319676</v>
      </c>
      <c r="F4" s="1742">
        <f>'Revenues 9-14'!F109</f>
        <v>205343</v>
      </c>
      <c r="G4" s="1742">
        <f>'Revenues 9-14'!G109</f>
        <v>288671</v>
      </c>
      <c r="H4" s="1742">
        <f>'Revenues 9-14'!H109</f>
        <v>33399</v>
      </c>
      <c r="I4" s="1742">
        <f>'Revenues 9-14'!I109</f>
        <v>59814</v>
      </c>
      <c r="J4" s="1742">
        <f>'Revenues 9-14'!J109</f>
        <v>93263</v>
      </c>
      <c r="K4" s="1742">
        <f>'Revenues 9-14'!K109</f>
        <v>1020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2679146</v>
      </c>
      <c r="D6" s="1743">
        <f>'Revenues 9-14'!D170</f>
        <v>0</v>
      </c>
      <c r="E6" s="1743">
        <f>'Revenues 9-14'!E170</f>
        <v>0</v>
      </c>
      <c r="F6" s="1743">
        <f>'Revenues 9-14'!F170</f>
        <v>251038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552689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8528601</v>
      </c>
      <c r="D8" s="1688">
        <f t="shared" ref="D8:K8" si="0">SUM(D4:D7)</f>
        <v>576579</v>
      </c>
      <c r="E8" s="1688">
        <f t="shared" si="0"/>
        <v>319676</v>
      </c>
      <c r="F8" s="1688">
        <f t="shared" si="0"/>
        <v>456381</v>
      </c>
      <c r="G8" s="1688">
        <f t="shared" si="0"/>
        <v>288671</v>
      </c>
      <c r="H8" s="1688">
        <f t="shared" si="0"/>
        <v>33399</v>
      </c>
      <c r="I8" s="1688">
        <f t="shared" si="0"/>
        <v>59814</v>
      </c>
      <c r="J8" s="1688">
        <f t="shared" si="0"/>
        <v>93263</v>
      </c>
      <c r="K8" s="1688">
        <f t="shared" si="0"/>
        <v>1020</v>
      </c>
      <c r="L8" s="347"/>
    </row>
    <row r="9" spans="1:13" ht="15.75" thickTop="1" x14ac:dyDescent="0.2">
      <c r="A9" s="514" t="s">
        <v>1653</v>
      </c>
      <c r="B9" s="515">
        <v>3998</v>
      </c>
      <c r="C9" s="481">
        <v>2790776</v>
      </c>
      <c r="D9" s="516"/>
      <c r="E9" s="481"/>
      <c r="F9" s="481"/>
      <c r="G9" s="517"/>
      <c r="H9" s="481"/>
      <c r="I9" s="509" t="s">
        <v>1169</v>
      </c>
      <c r="J9" s="478"/>
      <c r="K9" s="481"/>
      <c r="L9" s="347"/>
    </row>
    <row r="10" spans="1:13" s="519" customFormat="1" ht="13.5" thickBot="1" x14ac:dyDescent="0.25">
      <c r="A10" s="1736" t="s">
        <v>1173</v>
      </c>
      <c r="B10" s="1709"/>
      <c r="C10" s="1688">
        <f>SUM(C8:C9)</f>
        <v>11319377</v>
      </c>
      <c r="D10" s="1688">
        <f t="shared" ref="D10:K10" si="1">SUM(D8:D9)</f>
        <v>576579</v>
      </c>
      <c r="E10" s="1688">
        <f t="shared" si="1"/>
        <v>319676</v>
      </c>
      <c r="F10" s="1688">
        <f t="shared" si="1"/>
        <v>456381</v>
      </c>
      <c r="G10" s="1688">
        <f t="shared" si="1"/>
        <v>288671</v>
      </c>
      <c r="H10" s="1688">
        <f t="shared" si="1"/>
        <v>33399</v>
      </c>
      <c r="I10" s="1688">
        <f t="shared" si="1"/>
        <v>59814</v>
      </c>
      <c r="J10" s="1688">
        <f t="shared" si="1"/>
        <v>93263</v>
      </c>
      <c r="K10" s="1688">
        <f t="shared" si="1"/>
        <v>1020</v>
      </c>
      <c r="L10" s="518"/>
    </row>
    <row r="11" spans="1:13" s="519" customFormat="1" ht="16.7" customHeight="1" thickTop="1" x14ac:dyDescent="0.2">
      <c r="A11" s="2114" t="s">
        <v>1176</v>
      </c>
      <c r="B11" s="2115"/>
      <c r="C11" s="1570"/>
      <c r="D11" s="1571"/>
      <c r="E11" s="1571"/>
      <c r="F11" s="1571"/>
      <c r="G11" s="1571"/>
      <c r="H11" s="1571"/>
      <c r="I11" s="1571"/>
      <c r="J11" s="1571"/>
      <c r="K11" s="1572"/>
      <c r="L11" s="518"/>
    </row>
    <row r="12" spans="1:13" ht="15.75" customHeight="1" x14ac:dyDescent="0.2">
      <c r="A12" s="1576" t="s">
        <v>456</v>
      </c>
      <c r="B12" s="1578">
        <v>1000</v>
      </c>
      <c r="C12" s="1742">
        <f>'Expenditures 15-22'!K33</f>
        <v>4279051</v>
      </c>
      <c r="D12" s="520" t="s">
        <v>1169</v>
      </c>
      <c r="E12" s="468" t="s">
        <v>1169</v>
      </c>
      <c r="F12" s="468" t="s">
        <v>1169</v>
      </c>
      <c r="G12" s="1742">
        <f>'Expenditures 15-22'!K229</f>
        <v>68104</v>
      </c>
      <c r="H12" s="521"/>
      <c r="I12" s="468" t="s">
        <v>1169</v>
      </c>
      <c r="J12" s="468" t="s">
        <v>1169</v>
      </c>
      <c r="K12" s="521" t="s">
        <v>1169</v>
      </c>
      <c r="L12" s="347"/>
    </row>
    <row r="13" spans="1:13" ht="15.75" customHeight="1" x14ac:dyDescent="0.2">
      <c r="A13" s="1576" t="s">
        <v>457</v>
      </c>
      <c r="B13" s="1578">
        <v>2000</v>
      </c>
      <c r="C13" s="1743">
        <f>'Expenditures 15-22'!K74</f>
        <v>2557134</v>
      </c>
      <c r="D13" s="1743">
        <f>'Expenditures 15-22'!K129</f>
        <v>419008</v>
      </c>
      <c r="E13" s="469" t="s">
        <v>1169</v>
      </c>
      <c r="F13" s="1743">
        <f>'Expenditures 15-22'!K184</f>
        <v>547425</v>
      </c>
      <c r="G13" s="1743">
        <f>'Expenditures 15-22'!K279</f>
        <v>109930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146867</v>
      </c>
      <c r="D14" s="1743">
        <f>'Expenditures 15-22'!K130</f>
        <v>0</v>
      </c>
      <c r="E14" s="520" t="s">
        <v>1169</v>
      </c>
      <c r="F14" s="1743">
        <f>'Expenditures 15-22'!K185</f>
        <v>0</v>
      </c>
      <c r="G14" s="1743">
        <f>'Expenditures 15-22'!K280</f>
        <v>24104</v>
      </c>
      <c r="H14" s="512"/>
      <c r="I14" s="468" t="s">
        <v>1169</v>
      </c>
      <c r="J14" s="468" t="s">
        <v>1169</v>
      </c>
      <c r="K14" s="512" t="s">
        <v>1169</v>
      </c>
      <c r="L14" s="347"/>
    </row>
    <row r="15" spans="1:13" ht="15.75" customHeight="1" x14ac:dyDescent="0.2">
      <c r="A15" s="1576" t="s">
        <v>107</v>
      </c>
      <c r="B15" s="1578">
        <v>4000</v>
      </c>
      <c r="C15" s="1743">
        <f>'Expenditures 15-22'!K102</f>
        <v>300527</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728264</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7283579</v>
      </c>
      <c r="D17" s="1688">
        <f t="shared" si="2"/>
        <v>419008</v>
      </c>
      <c r="E17" s="1688">
        <f t="shared" si="2"/>
        <v>728264</v>
      </c>
      <c r="F17" s="1688">
        <f t="shared" si="2"/>
        <v>547425</v>
      </c>
      <c r="G17" s="1688">
        <f t="shared" si="2"/>
        <v>202138</v>
      </c>
      <c r="H17" s="1688">
        <f t="shared" si="2"/>
        <v>0</v>
      </c>
      <c r="I17" s="468"/>
      <c r="J17" s="1688">
        <f>SUM(J12:J16)</f>
        <v>0</v>
      </c>
      <c r="K17" s="1688">
        <f>SUM(K12:K16)</f>
        <v>0</v>
      </c>
      <c r="L17" s="347"/>
    </row>
    <row r="18" spans="1:12" ht="15" customHeight="1" thickTop="1" x14ac:dyDescent="0.2">
      <c r="A18" s="1744" t="s">
        <v>1654</v>
      </c>
      <c r="B18" s="1745">
        <v>4180</v>
      </c>
      <c r="C18" s="1742">
        <f t="shared" ref="C18:H18" si="3">C9</f>
        <v>2790776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10074355</v>
      </c>
      <c r="D19" s="1688">
        <f t="shared" si="4"/>
        <v>419008</v>
      </c>
      <c r="E19" s="1688">
        <f t="shared" si="4"/>
        <v>728264</v>
      </c>
      <c r="F19" s="1688">
        <f t="shared" si="4"/>
        <v>547425</v>
      </c>
      <c r="G19" s="1688">
        <f t="shared" si="4"/>
        <v>202138</v>
      </c>
      <c r="H19" s="1688">
        <f t="shared" si="4"/>
        <v>0</v>
      </c>
      <c r="I19" s="468"/>
      <c r="J19" s="1688">
        <f>SUM(J17:J18)</f>
        <v>0</v>
      </c>
      <c r="K19" s="1688">
        <f>SUM(K17:K18)</f>
        <v>0</v>
      </c>
      <c r="L19" s="347"/>
    </row>
    <row r="20" spans="1:12" ht="16.5" thickTop="1" thickBot="1" x14ac:dyDescent="0.25">
      <c r="A20" s="2130" t="s">
        <v>1655</v>
      </c>
      <c r="B20" s="2131"/>
      <c r="C20" s="1746">
        <f>C8-C17</f>
        <v>1245022</v>
      </c>
      <c r="D20" s="1746">
        <f t="shared" ref="D20:K20" si="5">D8-D17</f>
        <v>157571</v>
      </c>
      <c r="E20" s="1746">
        <f t="shared" si="5"/>
        <v>-408588</v>
      </c>
      <c r="F20" s="1746">
        <f t="shared" si="5"/>
        <v>-91044</v>
      </c>
      <c r="G20" s="1746">
        <f t="shared" si="5"/>
        <v>86533</v>
      </c>
      <c r="H20" s="1746">
        <f t="shared" si="5"/>
        <v>33399</v>
      </c>
      <c r="I20" s="1746">
        <f t="shared" si="5"/>
        <v>59814</v>
      </c>
      <c r="J20" s="1746">
        <f t="shared" si="5"/>
        <v>93263</v>
      </c>
      <c r="K20" s="1746">
        <f t="shared" si="5"/>
        <v>1020</v>
      </c>
      <c r="L20" s="347"/>
    </row>
    <row r="21" spans="1:12" ht="16.7" customHeight="1" thickTop="1" x14ac:dyDescent="0.2">
      <c r="A21" s="2142" t="s">
        <v>595</v>
      </c>
      <c r="B21" s="2143"/>
      <c r="C21" s="1570"/>
      <c r="D21" s="1571"/>
      <c r="E21" s="1571"/>
      <c r="F21" s="1571"/>
      <c r="G21" s="1571"/>
      <c r="H21" s="1571"/>
      <c r="I21" s="1571"/>
      <c r="J21" s="1571"/>
      <c r="K21" s="1572"/>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428478</v>
      </c>
      <c r="F43" s="467"/>
      <c r="G43" s="467"/>
      <c r="H43" s="467"/>
      <c r="I43" s="467"/>
      <c r="J43" s="467"/>
      <c r="K43" s="467"/>
      <c r="L43" s="524"/>
    </row>
    <row r="44" spans="1:12" s="485" customFormat="1" ht="13.5" customHeight="1" thickBot="1" x14ac:dyDescent="0.25">
      <c r="A44" s="2144" t="s">
        <v>374</v>
      </c>
      <c r="B44" s="2145"/>
      <c r="C44" s="1703">
        <f>SUM(C24:C43)</f>
        <v>0</v>
      </c>
      <c r="D44" s="1703">
        <f t="shared" ref="D44:K44" si="6">SUM(D24:D43)</f>
        <v>0</v>
      </c>
      <c r="E44" s="1703">
        <f t="shared" si="6"/>
        <v>428478</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v>428478</v>
      </c>
      <c r="D75" s="531"/>
      <c r="E75" s="530"/>
      <c r="F75" s="532"/>
      <c r="G75" s="532"/>
      <c r="H75" s="532"/>
      <c r="I75" s="530"/>
      <c r="J75" s="530"/>
      <c r="K75" s="532"/>
      <c r="L75" s="524"/>
    </row>
    <row r="76" spans="1:12" s="485" customFormat="1" ht="14.25" thickTop="1" thickBot="1" x14ac:dyDescent="0.25">
      <c r="A76" s="2120" t="s">
        <v>440</v>
      </c>
      <c r="B76" s="2121"/>
      <c r="C76" s="1703">
        <f t="shared" ref="C76:K76" si="7">SUM(C47:C75)</f>
        <v>428478</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2" t="s">
        <v>1177</v>
      </c>
      <c r="B77" s="2123"/>
      <c r="C77" s="1703">
        <f t="shared" ref="C77:K77" si="8">C44-C76</f>
        <v>-428478</v>
      </c>
      <c r="D77" s="1703">
        <f t="shared" si="8"/>
        <v>0</v>
      </c>
      <c r="E77" s="1703">
        <f t="shared" si="8"/>
        <v>428478</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6" t="s">
        <v>597</v>
      </c>
      <c r="B78" s="2127"/>
      <c r="C78" s="1702">
        <f t="shared" ref="C78:K78" si="9">C20+C77</f>
        <v>816544</v>
      </c>
      <c r="D78" s="1702">
        <f t="shared" si="9"/>
        <v>157571</v>
      </c>
      <c r="E78" s="1702">
        <f t="shared" si="9"/>
        <v>19890</v>
      </c>
      <c r="F78" s="1702">
        <f t="shared" si="9"/>
        <v>-91044</v>
      </c>
      <c r="G78" s="1702">
        <f t="shared" si="9"/>
        <v>86533</v>
      </c>
      <c r="H78" s="1702">
        <f t="shared" si="9"/>
        <v>33399</v>
      </c>
      <c r="I78" s="1702">
        <f t="shared" si="9"/>
        <v>59814</v>
      </c>
      <c r="J78" s="1702">
        <f t="shared" si="9"/>
        <v>93263</v>
      </c>
      <c r="K78" s="1702">
        <f t="shared" si="9"/>
        <v>1020</v>
      </c>
      <c r="L78" s="533"/>
    </row>
    <row r="79" spans="1:12" ht="13.5" thickTop="1" x14ac:dyDescent="0.2">
      <c r="A79" s="1494" t="s">
        <v>1949</v>
      </c>
      <c r="B79" s="534"/>
      <c r="C79" s="478">
        <v>746369</v>
      </c>
      <c r="D79" s="535">
        <v>584690</v>
      </c>
      <c r="E79" s="535">
        <v>4275</v>
      </c>
      <c r="F79" s="535">
        <v>283968</v>
      </c>
      <c r="G79" s="535">
        <v>112406</v>
      </c>
      <c r="H79" s="535">
        <v>63723</v>
      </c>
      <c r="I79" s="535">
        <v>2020455</v>
      </c>
      <c r="J79" s="535">
        <v>148315</v>
      </c>
      <c r="K79" s="535">
        <v>26563</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1950</v>
      </c>
      <c r="B81" s="2125"/>
      <c r="C81" s="1688">
        <f>(SUM(C78:C80))</f>
        <v>1562913</v>
      </c>
      <c r="D81" s="1688">
        <f>SUM(D78:D80)</f>
        <v>742261</v>
      </c>
      <c r="E81" s="1688">
        <f t="shared" ref="E81:K81" si="10">SUM(E78:E80)</f>
        <v>24165</v>
      </c>
      <c r="F81" s="1688">
        <f t="shared" si="10"/>
        <v>192924</v>
      </c>
      <c r="G81" s="1688">
        <f t="shared" si="10"/>
        <v>198939</v>
      </c>
      <c r="H81" s="1688">
        <f t="shared" si="10"/>
        <v>97122</v>
      </c>
      <c r="I81" s="1688">
        <f t="shared" si="10"/>
        <v>2080269</v>
      </c>
      <c r="J81" s="1688">
        <f t="shared" si="10"/>
        <v>241578</v>
      </c>
      <c r="K81" s="1688">
        <f t="shared" si="10"/>
        <v>27583</v>
      </c>
      <c r="L81" s="347"/>
    </row>
    <row r="82" spans="1:12" ht="0.75" customHeight="1" thickTop="1" thickBot="1" x14ac:dyDescent="0.25">
      <c r="A82" s="536" t="s">
        <v>343</v>
      </c>
      <c r="B82" s="537"/>
      <c r="C82" s="538">
        <f>(C81-C79)</f>
        <v>816544</v>
      </c>
      <c r="D82" s="538">
        <f t="shared" ref="D82:K82" si="11">(D81-D79)</f>
        <v>157571</v>
      </c>
      <c r="E82" s="538">
        <f t="shared" si="11"/>
        <v>19890</v>
      </c>
      <c r="F82" s="538">
        <f t="shared" si="11"/>
        <v>-91044</v>
      </c>
      <c r="G82" s="538">
        <f t="shared" si="11"/>
        <v>86533</v>
      </c>
      <c r="H82" s="538">
        <f t="shared" si="11"/>
        <v>33399</v>
      </c>
      <c r="I82" s="538">
        <f t="shared" si="11"/>
        <v>59814</v>
      </c>
      <c r="J82" s="538">
        <f t="shared" si="11"/>
        <v>93263</v>
      </c>
      <c r="K82" s="538">
        <f t="shared" si="11"/>
        <v>1020</v>
      </c>
    </row>
    <row r="83" spans="1:12" ht="14.25" hidden="1" thickTop="1" thickBot="1" x14ac:dyDescent="0.25">
      <c r="A83" s="539" t="s">
        <v>344</v>
      </c>
      <c r="B83" s="464"/>
      <c r="C83" s="540">
        <f>C82/C81</f>
        <v>0.52245006599855526</v>
      </c>
      <c r="D83" s="540">
        <f t="shared" ref="D83:K83" si="12">D82/D81</f>
        <v>0.21228516653845481</v>
      </c>
      <c r="E83" s="540">
        <f t="shared" si="12"/>
        <v>0.82309124767225328</v>
      </c>
      <c r="F83" s="540">
        <f t="shared" si="12"/>
        <v>-0.4719164023138645</v>
      </c>
      <c r="G83" s="540">
        <f t="shared" si="12"/>
        <v>0.43497252926776547</v>
      </c>
      <c r="H83" s="540">
        <f t="shared" si="12"/>
        <v>0.34388706987088402</v>
      </c>
      <c r="I83" s="540">
        <f t="shared" si="12"/>
        <v>2.8753012230629788E-2</v>
      </c>
      <c r="J83" s="540">
        <f t="shared" si="12"/>
        <v>0.38605750523640397</v>
      </c>
      <c r="K83" s="540">
        <f t="shared" si="12"/>
        <v>3.6979298843490556E-2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2019 </oddHeader>
    <oddFooter>&amp;L&amp;8Print Date: &amp;D
&amp;F&amp;CSee Notes to the Accompanying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96" activePane="bottomLeft" state="frozen"/>
      <selection activeCell="X29" sqref="X29"/>
      <selection pane="bottomLeft" activeCell="J108" sqref="J10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4531822</v>
      </c>
      <c r="D5" s="481">
        <v>562732</v>
      </c>
      <c r="E5" s="466">
        <v>319676</v>
      </c>
      <c r="F5" s="548">
        <v>200983</v>
      </c>
      <c r="G5" s="466">
        <v>120593</v>
      </c>
      <c r="H5" s="466"/>
      <c r="I5" s="466">
        <v>50255</v>
      </c>
      <c r="J5" s="467">
        <v>90987</v>
      </c>
      <c r="K5" s="466">
        <v>1020</v>
      </c>
    </row>
    <row r="6" spans="1:12" ht="15" x14ac:dyDescent="0.2">
      <c r="A6" s="463" t="s">
        <v>1662</v>
      </c>
      <c r="B6" s="470">
        <v>1130</v>
      </c>
      <c r="C6" s="466">
        <v>51749</v>
      </c>
      <c r="D6" s="466"/>
      <c r="E6" s="475"/>
      <c r="F6" s="475"/>
      <c r="G6" s="468"/>
      <c r="H6" s="468"/>
      <c r="I6" s="468"/>
      <c r="J6" s="468"/>
      <c r="K6" s="468"/>
    </row>
    <row r="7" spans="1:12" x14ac:dyDescent="0.2">
      <c r="A7" s="463" t="s">
        <v>110</v>
      </c>
      <c r="B7" s="549">
        <v>1140</v>
      </c>
      <c r="C7" s="466">
        <v>51749</v>
      </c>
      <c r="D7" s="466"/>
      <c r="E7" s="468"/>
      <c r="F7" s="467"/>
      <c r="G7" s="467"/>
      <c r="H7" s="467"/>
      <c r="I7" s="468"/>
      <c r="J7" s="468"/>
      <c r="K7" s="468"/>
    </row>
    <row r="8" spans="1:12" x14ac:dyDescent="0.2">
      <c r="A8" s="463" t="s">
        <v>413</v>
      </c>
      <c r="B8" s="470">
        <v>1150</v>
      </c>
      <c r="C8" s="475"/>
      <c r="D8" s="475"/>
      <c r="E8" s="477"/>
      <c r="F8" s="477"/>
      <c r="G8" s="481">
        <v>165820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4635320</v>
      </c>
      <c r="D12" s="1707">
        <f t="shared" si="0"/>
        <v>562732</v>
      </c>
      <c r="E12" s="1707">
        <f t="shared" si="0"/>
        <v>319676</v>
      </c>
      <c r="F12" s="1707">
        <f t="shared" si="0"/>
        <v>200983</v>
      </c>
      <c r="G12" s="1707">
        <f t="shared" si="0"/>
        <v>286413</v>
      </c>
      <c r="H12" s="1707">
        <f t="shared" si="0"/>
        <v>0</v>
      </c>
      <c r="I12" s="1707">
        <f t="shared" si="0"/>
        <v>50255</v>
      </c>
      <c r="J12" s="1707">
        <f t="shared" si="0"/>
        <v>90987</v>
      </c>
      <c r="K12" s="1688">
        <f t="shared" si="0"/>
        <v>1020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63248</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63248</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1380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1380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946</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40</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986</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34003</v>
      </c>
      <c r="D65" s="466">
        <v>6702</v>
      </c>
      <c r="E65" s="466"/>
      <c r="F65" s="467">
        <v>3374</v>
      </c>
      <c r="G65" s="466">
        <v>2258</v>
      </c>
      <c r="H65" s="466">
        <v>2530</v>
      </c>
      <c r="I65" s="466">
        <v>9559</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34003</v>
      </c>
      <c r="D67" s="1688">
        <f t="shared" ref="D67:K67" si="2">SUM(D65:D66)</f>
        <v>6702</v>
      </c>
      <c r="E67" s="1688">
        <f t="shared" si="2"/>
        <v>0</v>
      </c>
      <c r="F67" s="1688">
        <f t="shared" si="2"/>
        <v>3374</v>
      </c>
      <c r="G67" s="1688">
        <f t="shared" si="2"/>
        <v>2258</v>
      </c>
      <c r="H67" s="1688">
        <f t="shared" si="2"/>
        <v>2530</v>
      </c>
      <c r="I67" s="1688">
        <f t="shared" si="2"/>
        <v>9559</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207141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12641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1979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221761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38144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55494</v>
      </c>
      <c r="D79" s="466"/>
      <c r="E79" s="468"/>
      <c r="F79" s="468"/>
      <c r="G79" s="468"/>
      <c r="H79" s="468"/>
      <c r="I79" s="468"/>
      <c r="J79" s="468"/>
      <c r="K79" s="468"/>
    </row>
    <row r="80" spans="1:11" ht="12.75" customHeight="1" x14ac:dyDescent="0.2">
      <c r="A80" s="463" t="s">
        <v>551</v>
      </c>
      <c r="B80" s="470">
        <v>1730</v>
      </c>
      <c r="C80" s="551">
        <v>2620</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96258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40169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40169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201798</v>
      </c>
      <c r="D106" s="489"/>
      <c r="E106" s="467"/>
      <c r="F106" s="467"/>
      <c r="G106" s="467"/>
      <c r="H106" s="467"/>
      <c r="I106" s="521"/>
      <c r="J106" s="467"/>
      <c r="K106" s="467"/>
    </row>
    <row r="107" spans="1:12" ht="12.75" customHeight="1" x14ac:dyDescent="0.2">
      <c r="A107" s="463" t="s">
        <v>78</v>
      </c>
      <c r="B107" s="470">
        <v>1999</v>
      </c>
      <c r="C107" s="551">
        <v>2829</v>
      </c>
      <c r="D107" s="466">
        <v>7145</v>
      </c>
      <c r="E107" s="466"/>
      <c r="F107" s="466"/>
      <c r="G107" s="466"/>
      <c r="H107" s="466">
        <v>30869</v>
      </c>
      <c r="I107" s="466"/>
      <c r="J107" s="467">
        <v>2276</v>
      </c>
      <c r="K107" s="466"/>
    </row>
    <row r="108" spans="1:12" ht="12.75" customHeight="1" thickBot="1" x14ac:dyDescent="0.25">
      <c r="A108" s="1708" t="s">
        <v>487</v>
      </c>
      <c r="B108" s="1712"/>
      <c r="C108" s="1707">
        <f>SUM(C95:C107)</f>
        <v>204627</v>
      </c>
      <c r="D108" s="1707">
        <f t="shared" ref="D108:K108" si="3">SUM(D95:D107)</f>
        <v>7145</v>
      </c>
      <c r="E108" s="1707">
        <f t="shared" si="3"/>
        <v>0</v>
      </c>
      <c r="F108" s="1707">
        <f t="shared" si="3"/>
        <v>0</v>
      </c>
      <c r="G108" s="1707">
        <f t="shared" si="3"/>
        <v>0</v>
      </c>
      <c r="H108" s="1707">
        <f t="shared" si="3"/>
        <v>30869</v>
      </c>
      <c r="I108" s="1707">
        <f t="shared" si="3"/>
        <v>0</v>
      </c>
      <c r="J108" s="1707">
        <f t="shared" si="3"/>
        <v>2276</v>
      </c>
      <c r="K108" s="1688">
        <f t="shared" si="3"/>
        <v>0</v>
      </c>
    </row>
    <row r="109" spans="1:12" ht="14.25" thickTop="1" thickBot="1" x14ac:dyDescent="0.25">
      <c r="A109" s="1713" t="s">
        <v>248</v>
      </c>
      <c r="B109" s="1714" t="s">
        <v>570</v>
      </c>
      <c r="C109" s="1715">
        <f t="shared" ref="C109:K109" si="4">SUM(C12,C18,C40,C63,C67,C75,C82,C93,C108,)</f>
        <v>5296766</v>
      </c>
      <c r="D109" s="1715">
        <f t="shared" si="4"/>
        <v>576579</v>
      </c>
      <c r="E109" s="1715">
        <f t="shared" si="4"/>
        <v>319676</v>
      </c>
      <c r="F109" s="1715">
        <f t="shared" si="4"/>
        <v>205343</v>
      </c>
      <c r="G109" s="1715">
        <f t="shared" si="4"/>
        <v>288671</v>
      </c>
      <c r="H109" s="1715">
        <f t="shared" si="4"/>
        <v>33399</v>
      </c>
      <c r="I109" s="1715">
        <f t="shared" si="4"/>
        <v>59814</v>
      </c>
      <c r="J109" s="1715">
        <f t="shared" si="4"/>
        <v>93263</v>
      </c>
      <c r="K109" s="1702">
        <f t="shared" si="4"/>
        <v>1020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2542880</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2542880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43592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6392</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49984</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16</v>
      </c>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v>4285</v>
      </c>
      <c r="D136" s="466"/>
      <c r="E136" s="561"/>
      <c r="F136" s="468"/>
      <c r="G136" s="467"/>
      <c r="H136" s="468"/>
      <c r="I136" s="468"/>
      <c r="J136" s="468"/>
      <c r="K136" s="468"/>
    </row>
    <row r="137" spans="1:11" ht="12.75" customHeight="1" x14ac:dyDescent="0.2">
      <c r="A137" s="463" t="s">
        <v>600</v>
      </c>
      <c r="B137" s="562">
        <v>3235</v>
      </c>
      <c r="C137" s="489">
        <v>5639</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9940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2090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12200</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232470</v>
      </c>
      <c r="G152" s="467"/>
      <c r="H152" s="468"/>
      <c r="I152" s="468"/>
      <c r="J152" s="468"/>
      <c r="K152" s="468"/>
    </row>
    <row r="153" spans="1:11" ht="12.75" customHeight="1" x14ac:dyDescent="0.2">
      <c r="A153" s="463" t="s">
        <v>1057</v>
      </c>
      <c r="B153" s="562">
        <v>3510</v>
      </c>
      <c r="C153" s="551"/>
      <c r="D153" s="466"/>
      <c r="E153" s="561"/>
      <c r="F153" s="466">
        <v>18568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251038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59687</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f>750+1615</f>
        <v>2365</v>
      </c>
      <c r="D168" s="580"/>
      <c r="E168" s="580"/>
      <c r="F168" s="580"/>
      <c r="G168" s="581"/>
      <c r="H168" s="582"/>
      <c r="I168" s="581"/>
      <c r="J168" s="581"/>
      <c r="K168" s="582"/>
    </row>
    <row r="169" spans="1:11" ht="12.75" customHeight="1" thickTop="1" thickBot="1" x14ac:dyDescent="0.25">
      <c r="A169" s="2148" t="s">
        <v>398</v>
      </c>
      <c r="B169" s="2149"/>
      <c r="C169" s="1722">
        <f t="shared" ref="C169:K169" si="6">SUM(C132,C141,C145,C146:C150,C155,C156:C167,C168)</f>
        <v>136266</v>
      </c>
      <c r="D169" s="1722">
        <f t="shared" si="6"/>
        <v>0</v>
      </c>
      <c r="E169" s="1722">
        <f t="shared" si="6"/>
        <v>0</v>
      </c>
      <c r="F169" s="1722">
        <f t="shared" si="6"/>
        <v>251038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2679146</v>
      </c>
      <c r="D170" s="1715">
        <f t="shared" si="7"/>
        <v>0</v>
      </c>
      <c r="E170" s="1715">
        <f t="shared" si="7"/>
        <v>0</v>
      </c>
      <c r="F170" s="1715">
        <f t="shared" si="7"/>
        <v>251038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4" t="s">
        <v>1665</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6" t="s">
        <v>785</v>
      </c>
      <c r="B181" s="215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111288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18746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130034</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78338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78338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10080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10080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16625</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190788</v>
      </c>
      <c r="D213" s="466"/>
      <c r="E213" s="468"/>
      <c r="F213" s="466"/>
      <c r="G213" s="466"/>
      <c r="H213" s="468"/>
      <c r="I213" s="468"/>
      <c r="J213" s="468"/>
      <c r="K213" s="468"/>
    </row>
    <row r="214" spans="1:11" ht="12.75" customHeight="1" x14ac:dyDescent="0.2">
      <c r="A214" s="463" t="s">
        <v>1054</v>
      </c>
      <c r="B214" s="470">
        <v>4625</v>
      </c>
      <c r="C214" s="551">
        <v>59158</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266571</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29561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1937</v>
      </c>
      <c r="B261" s="470">
        <v>4981</v>
      </c>
      <c r="C261" s="575"/>
      <c r="D261" s="576"/>
      <c r="E261" s="468"/>
      <c r="F261" s="576"/>
      <c r="G261" s="576"/>
      <c r="H261" s="468"/>
      <c r="I261" s="468"/>
      <c r="J261" s="468"/>
      <c r="K261" s="468"/>
    </row>
    <row r="262" spans="1:11" ht="12.75" customHeight="1" thickTop="1" thickBot="1" x14ac:dyDescent="0.25">
      <c r="A262" s="1932"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38105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552689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552689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8528601</v>
      </c>
      <c r="D268" s="1715">
        <f t="shared" si="12"/>
        <v>576579</v>
      </c>
      <c r="E268" s="1715">
        <f t="shared" si="12"/>
        <v>319676</v>
      </c>
      <c r="F268" s="1715">
        <f t="shared" si="12"/>
        <v>456381</v>
      </c>
      <c r="G268" s="1715">
        <f t="shared" si="12"/>
        <v>288671</v>
      </c>
      <c r="H268" s="1715">
        <f t="shared" si="12"/>
        <v>33399</v>
      </c>
      <c r="I268" s="1715">
        <f t="shared" si="12"/>
        <v>59814</v>
      </c>
      <c r="J268" s="1715">
        <f t="shared" si="12"/>
        <v>93263</v>
      </c>
      <c r="K268" s="1702">
        <f t="shared" si="12"/>
        <v>1020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 right="0.15" top="0.66" bottom="0.46" header="0.26" footer="0.17"/>
  <pageSetup scale="70" firstPageNumber="9" fitToHeight="0" orientation="landscape" useFirstPageNumber="1" r:id="rId1"/>
  <headerFooter alignWithMargins="0">
    <oddHeader>&amp;C&amp;"Arial,Bold"&amp;9STATEMENT OF REVENUES RECEIVED
FOR THE YEAR ENDING JUNE 30, 2019</oddHeader>
    <oddFooter>&amp;L&amp;8Printed Date: &amp;D
&amp;F&amp;CSee Notes to the Accompanying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N368"/>
  <sheetViews>
    <sheetView showGridLines="0" defaultGridColor="0" colorId="8" zoomScale="110" zoomScaleNormal="110" workbookViewId="0">
      <pane ySplit="2" topLeftCell="A176" activePane="bottomLeft" state="frozen"/>
      <selection activeCell="X29" sqref="X29"/>
      <selection pane="bottomLeft" activeCell="F182" sqref="F18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2782589</v>
      </c>
      <c r="D5" s="466">
        <v>320798</v>
      </c>
      <c r="E5" s="466">
        <v>14984</v>
      </c>
      <c r="F5" s="466">
        <v>108216</v>
      </c>
      <c r="G5" s="466">
        <v>3133</v>
      </c>
      <c r="H5" s="466">
        <v>1832</v>
      </c>
      <c r="I5" s="467"/>
      <c r="J5" s="467"/>
      <c r="K5" s="1671">
        <f>SUM(C5:J5)</f>
        <v>3231552</v>
      </c>
      <c r="L5" s="466">
        <v>3320476</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311709</v>
      </c>
      <c r="D8" s="466">
        <v>27612</v>
      </c>
      <c r="E8" s="466">
        <v>80020</v>
      </c>
      <c r="F8" s="466">
        <v>20562</v>
      </c>
      <c r="G8" s="466">
        <v>26089</v>
      </c>
      <c r="H8" s="466"/>
      <c r="I8" s="467"/>
      <c r="J8" s="467"/>
      <c r="K8" s="1671">
        <f t="shared" si="0"/>
        <v>465992</v>
      </c>
      <c r="L8" s="466">
        <v>483347</v>
      </c>
    </row>
    <row r="9" spans="1:14" x14ac:dyDescent="0.2">
      <c r="A9" s="1504" t="s">
        <v>721</v>
      </c>
      <c r="B9" s="614" t="s">
        <v>968</v>
      </c>
      <c r="C9" s="467"/>
      <c r="D9" s="467"/>
      <c r="E9" s="467"/>
      <c r="F9" s="467"/>
      <c r="G9" s="467"/>
      <c r="H9" s="467"/>
      <c r="I9" s="467"/>
      <c r="J9" s="467"/>
      <c r="K9" s="1671">
        <f t="shared" si="0"/>
        <v>0</v>
      </c>
      <c r="L9" s="466">
        <v>5500</v>
      </c>
    </row>
    <row r="10" spans="1:14" x14ac:dyDescent="0.2">
      <c r="A10" s="1504" t="s">
        <v>722</v>
      </c>
      <c r="B10" s="614">
        <v>1250</v>
      </c>
      <c r="C10" s="466">
        <v>53686</v>
      </c>
      <c r="D10" s="466">
        <v>1243</v>
      </c>
      <c r="E10" s="466"/>
      <c r="F10" s="466">
        <v>33392</v>
      </c>
      <c r="G10" s="466">
        <v>1770</v>
      </c>
      <c r="H10" s="466"/>
      <c r="I10" s="467"/>
      <c r="J10" s="467"/>
      <c r="K10" s="1671">
        <f t="shared" si="0"/>
        <v>90091</v>
      </c>
      <c r="L10" s="466">
        <v>96834</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176190</v>
      </c>
      <c r="D13" s="466">
        <v>24377</v>
      </c>
      <c r="E13" s="466">
        <v>1218</v>
      </c>
      <c r="F13" s="466">
        <v>1105</v>
      </c>
      <c r="G13" s="466"/>
      <c r="H13" s="466">
        <v>8071</v>
      </c>
      <c r="I13" s="467"/>
      <c r="J13" s="467"/>
      <c r="K13" s="1671">
        <f t="shared" si="0"/>
        <v>210961</v>
      </c>
      <c r="L13" s="466">
        <v>216097</v>
      </c>
    </row>
    <row r="14" spans="1:14" x14ac:dyDescent="0.2">
      <c r="A14" s="1504" t="s">
        <v>963</v>
      </c>
      <c r="B14" s="614">
        <v>1500</v>
      </c>
      <c r="C14" s="466">
        <v>136421</v>
      </c>
      <c r="D14" s="466">
        <v>11473</v>
      </c>
      <c r="E14" s="466">
        <v>39908</v>
      </c>
      <c r="F14" s="466">
        <v>12015</v>
      </c>
      <c r="G14" s="466">
        <v>17477</v>
      </c>
      <c r="H14" s="466">
        <v>10946</v>
      </c>
      <c r="I14" s="467"/>
      <c r="J14" s="467"/>
      <c r="K14" s="1671">
        <f t="shared" si="0"/>
        <v>228240</v>
      </c>
      <c r="L14" s="466">
        <v>222482</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v>28710</v>
      </c>
      <c r="F17" s="467"/>
      <c r="G17" s="467"/>
      <c r="H17" s="467"/>
      <c r="I17" s="467"/>
      <c r="J17" s="467"/>
      <c r="K17" s="1671">
        <f t="shared" si="0"/>
        <v>28710</v>
      </c>
      <c r="L17" s="466">
        <v>29000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v>23505</v>
      </c>
      <c r="K19" s="1671">
        <f t="shared" si="0"/>
        <v>23505</v>
      </c>
      <c r="L19" s="466">
        <v>25000</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3460595</v>
      </c>
      <c r="D33" s="1670">
        <f t="shared" ref="D33:L33" si="1">SUM(D5:D32)</f>
        <v>385503</v>
      </c>
      <c r="E33" s="1670">
        <f t="shared" si="1"/>
        <v>164840</v>
      </c>
      <c r="F33" s="1670">
        <f t="shared" si="1"/>
        <v>175290</v>
      </c>
      <c r="G33" s="1670">
        <f t="shared" si="1"/>
        <v>48469</v>
      </c>
      <c r="H33" s="1670">
        <f t="shared" si="1"/>
        <v>20849</v>
      </c>
      <c r="I33" s="1670">
        <f t="shared" si="1"/>
        <v>0</v>
      </c>
      <c r="J33" s="1670">
        <f t="shared" si="1"/>
        <v>23505</v>
      </c>
      <c r="K33" s="1670">
        <f t="shared" si="1"/>
        <v>4279051</v>
      </c>
      <c r="L33" s="1670">
        <f t="shared" si="1"/>
        <v>4398736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99379</v>
      </c>
      <c r="D36" s="481">
        <v>11992</v>
      </c>
      <c r="E36" s="481">
        <v>5944</v>
      </c>
      <c r="F36" s="481">
        <v>10080</v>
      </c>
      <c r="G36" s="481"/>
      <c r="H36" s="481"/>
      <c r="I36" s="467"/>
      <c r="J36" s="467"/>
      <c r="K36" s="1671">
        <f t="shared" ref="K36:K41" si="2">SUM(C36:J36)</f>
        <v>127395</v>
      </c>
      <c r="L36" s="466">
        <v>125877</v>
      </c>
    </row>
    <row r="37" spans="1:14" x14ac:dyDescent="0.2">
      <c r="A37" s="1504" t="s">
        <v>1090</v>
      </c>
      <c r="B37" s="614">
        <v>2120</v>
      </c>
      <c r="C37" s="466">
        <v>5683</v>
      </c>
      <c r="D37" s="466"/>
      <c r="E37" s="466">
        <v>512</v>
      </c>
      <c r="F37" s="466">
        <v>194</v>
      </c>
      <c r="G37" s="466"/>
      <c r="H37" s="466"/>
      <c r="I37" s="467"/>
      <c r="J37" s="467"/>
      <c r="K37" s="1671">
        <f t="shared" si="2"/>
        <v>6389</v>
      </c>
      <c r="L37" s="466">
        <v>800</v>
      </c>
    </row>
    <row r="38" spans="1:14" x14ac:dyDescent="0.2">
      <c r="A38" s="1504" t="s">
        <v>198</v>
      </c>
      <c r="B38" s="614">
        <v>2130</v>
      </c>
      <c r="C38" s="466">
        <v>29359</v>
      </c>
      <c r="D38" s="466"/>
      <c r="E38" s="466">
        <v>163</v>
      </c>
      <c r="F38" s="466">
        <v>924</v>
      </c>
      <c r="G38" s="466">
        <v>261</v>
      </c>
      <c r="H38" s="466"/>
      <c r="I38" s="467"/>
      <c r="J38" s="467"/>
      <c r="K38" s="1671">
        <f t="shared" si="2"/>
        <v>30707</v>
      </c>
      <c r="L38" s="466">
        <v>34847</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57291</v>
      </c>
      <c r="D40" s="466">
        <v>6414</v>
      </c>
      <c r="E40" s="466">
        <v>399</v>
      </c>
      <c r="F40" s="466">
        <v>339</v>
      </c>
      <c r="G40" s="466"/>
      <c r="H40" s="466">
        <v>225</v>
      </c>
      <c r="I40" s="467"/>
      <c r="J40" s="467"/>
      <c r="K40" s="1671">
        <f t="shared" si="2"/>
        <v>64668</v>
      </c>
      <c r="L40" s="466">
        <v>62720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191712</v>
      </c>
      <c r="D42" s="1670">
        <f t="shared" ref="D42:L42" si="3">SUM(D36:D41)</f>
        <v>18406</v>
      </c>
      <c r="E42" s="1670">
        <f t="shared" si="3"/>
        <v>7018</v>
      </c>
      <c r="F42" s="1670">
        <f t="shared" si="3"/>
        <v>11537</v>
      </c>
      <c r="G42" s="1670">
        <f t="shared" si="3"/>
        <v>261</v>
      </c>
      <c r="H42" s="1670">
        <f t="shared" si="3"/>
        <v>225</v>
      </c>
      <c r="I42" s="1670">
        <f t="shared" si="3"/>
        <v>0</v>
      </c>
      <c r="J42" s="1670">
        <f t="shared" si="3"/>
        <v>0</v>
      </c>
      <c r="K42" s="1670">
        <f t="shared" si="3"/>
        <v>229159</v>
      </c>
      <c r="L42" s="1670">
        <f t="shared" si="3"/>
        <v>224244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15085</v>
      </c>
      <c r="E44" s="481">
        <v>26381</v>
      </c>
      <c r="F44" s="481"/>
      <c r="G44" s="481"/>
      <c r="H44" s="481"/>
      <c r="I44" s="467"/>
      <c r="J44" s="467"/>
      <c r="K44" s="1672">
        <f>SUM(C44:J44)</f>
        <v>41466</v>
      </c>
      <c r="L44" s="481">
        <v>24000</v>
      </c>
    </row>
    <row r="45" spans="1:14" x14ac:dyDescent="0.2">
      <c r="A45" s="1504" t="s">
        <v>815</v>
      </c>
      <c r="B45" s="614">
        <v>2220</v>
      </c>
      <c r="C45" s="466">
        <v>146244</v>
      </c>
      <c r="D45" s="466">
        <v>8701</v>
      </c>
      <c r="E45" s="466">
        <v>27665</v>
      </c>
      <c r="F45" s="466">
        <v>119299</v>
      </c>
      <c r="G45" s="466">
        <v>75548</v>
      </c>
      <c r="H45" s="466">
        <v>721</v>
      </c>
      <c r="I45" s="467"/>
      <c r="J45" s="467"/>
      <c r="K45" s="1672">
        <f>SUM(C45:J45)</f>
        <v>378178</v>
      </c>
      <c r="L45" s="466">
        <v>553821</v>
      </c>
    </row>
    <row r="46" spans="1:14" x14ac:dyDescent="0.2">
      <c r="A46" s="1504" t="s">
        <v>816</v>
      </c>
      <c r="B46" s="614">
        <v>2230</v>
      </c>
      <c r="C46" s="466"/>
      <c r="D46" s="466"/>
      <c r="E46" s="466">
        <v>513</v>
      </c>
      <c r="F46" s="466"/>
      <c r="G46" s="466"/>
      <c r="H46" s="466"/>
      <c r="I46" s="467"/>
      <c r="J46" s="467"/>
      <c r="K46" s="1672">
        <f>SUM(C46:J46)</f>
        <v>513</v>
      </c>
      <c r="L46" s="466">
        <v>12500</v>
      </c>
    </row>
    <row r="47" spans="1:14" ht="12.75" customHeight="1" thickBot="1" x14ac:dyDescent="0.25">
      <c r="A47" s="1668" t="s">
        <v>561</v>
      </c>
      <c r="B47" s="1669" t="s">
        <v>32</v>
      </c>
      <c r="C47" s="1670">
        <f>SUM(C44:C46)</f>
        <v>146244</v>
      </c>
      <c r="D47" s="1670">
        <f t="shared" ref="D47:K47" si="4">SUM(D44:D46)</f>
        <v>23786</v>
      </c>
      <c r="E47" s="1670">
        <f t="shared" si="4"/>
        <v>54559</v>
      </c>
      <c r="F47" s="1670">
        <f t="shared" si="4"/>
        <v>119299</v>
      </c>
      <c r="G47" s="1670">
        <f t="shared" si="4"/>
        <v>75548</v>
      </c>
      <c r="H47" s="1670">
        <f t="shared" si="4"/>
        <v>721</v>
      </c>
      <c r="I47" s="1670">
        <f t="shared" si="4"/>
        <v>0</v>
      </c>
      <c r="J47" s="1670">
        <f t="shared" si="4"/>
        <v>0</v>
      </c>
      <c r="K47" s="1670">
        <f t="shared" si="4"/>
        <v>420157</v>
      </c>
      <c r="L47" s="1670">
        <f>SUM(L44:L46)</f>
        <v>590321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2519</v>
      </c>
      <c r="D49" s="481">
        <v>526336</v>
      </c>
      <c r="E49" s="481">
        <v>57663</v>
      </c>
      <c r="F49" s="481">
        <v>6752</v>
      </c>
      <c r="G49" s="481">
        <v>4808</v>
      </c>
      <c r="H49" s="481">
        <v>11629</v>
      </c>
      <c r="I49" s="467"/>
      <c r="J49" s="467"/>
      <c r="K49" s="1672">
        <f>SUM(C49:J49)</f>
        <v>609707</v>
      </c>
      <c r="L49" s="481">
        <v>866249</v>
      </c>
    </row>
    <row r="50" spans="1:14" x14ac:dyDescent="0.2">
      <c r="A50" s="1504" t="s">
        <v>818</v>
      </c>
      <c r="B50" s="614">
        <v>2320</v>
      </c>
      <c r="C50" s="466">
        <v>190417</v>
      </c>
      <c r="D50" s="466"/>
      <c r="E50" s="466">
        <v>2276</v>
      </c>
      <c r="F50" s="466">
        <v>1031</v>
      </c>
      <c r="G50" s="466"/>
      <c r="H50" s="466">
        <v>628</v>
      </c>
      <c r="I50" s="467"/>
      <c r="J50" s="467"/>
      <c r="K50" s="1672">
        <f>SUM(C50:J50)</f>
        <v>194352</v>
      </c>
      <c r="L50" s="466">
        <v>200020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192936</v>
      </c>
      <c r="D53" s="1670">
        <f t="shared" ref="D53:L53" si="5">SUM(D49:D52)</f>
        <v>526336</v>
      </c>
      <c r="E53" s="1670">
        <f t="shared" si="5"/>
        <v>59939</v>
      </c>
      <c r="F53" s="1670">
        <f t="shared" si="5"/>
        <v>7783</v>
      </c>
      <c r="G53" s="1670">
        <f t="shared" si="5"/>
        <v>4808</v>
      </c>
      <c r="H53" s="1670">
        <f t="shared" si="5"/>
        <v>12257</v>
      </c>
      <c r="I53" s="1670">
        <f t="shared" si="5"/>
        <v>0</v>
      </c>
      <c r="J53" s="1670">
        <f t="shared" si="5"/>
        <v>0</v>
      </c>
      <c r="K53" s="1670">
        <f t="shared" si="5"/>
        <v>804059</v>
      </c>
      <c r="L53" s="1670">
        <f t="shared" si="5"/>
        <v>1066269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387842</v>
      </c>
      <c r="D55" s="481">
        <v>33078</v>
      </c>
      <c r="E55" s="481">
        <v>1671</v>
      </c>
      <c r="F55" s="481">
        <v>22899</v>
      </c>
      <c r="G55" s="481">
        <v>26491</v>
      </c>
      <c r="H55" s="481">
        <v>2423</v>
      </c>
      <c r="I55" s="467"/>
      <c r="J55" s="467"/>
      <c r="K55" s="1672">
        <f>SUM(C55:J55)</f>
        <v>474404</v>
      </c>
      <c r="L55" s="481">
        <v>511880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387842</v>
      </c>
      <c r="D57" s="1674">
        <f t="shared" ref="D57:K57" si="6">SUM(D55:D56)</f>
        <v>33078</v>
      </c>
      <c r="E57" s="1674">
        <f t="shared" si="6"/>
        <v>1671</v>
      </c>
      <c r="F57" s="1674">
        <f t="shared" si="6"/>
        <v>22899</v>
      </c>
      <c r="G57" s="1674">
        <f t="shared" si="6"/>
        <v>26491</v>
      </c>
      <c r="H57" s="1674">
        <f t="shared" si="6"/>
        <v>2423</v>
      </c>
      <c r="I57" s="1674">
        <f t="shared" si="6"/>
        <v>0</v>
      </c>
      <c r="J57" s="1674">
        <f t="shared" si="6"/>
        <v>0</v>
      </c>
      <c r="K57" s="1674">
        <f t="shared" si="6"/>
        <v>474404</v>
      </c>
      <c r="L57" s="1670">
        <f>SUM(L55:L56)</f>
        <v>511880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60331</v>
      </c>
      <c r="D60" s="466">
        <v>319</v>
      </c>
      <c r="E60" s="466">
        <v>1708</v>
      </c>
      <c r="F60" s="466">
        <v>2340</v>
      </c>
      <c r="G60" s="466"/>
      <c r="H60" s="466">
        <v>10022</v>
      </c>
      <c r="I60" s="467"/>
      <c r="J60" s="467"/>
      <c r="K60" s="1672">
        <f t="shared" si="7"/>
        <v>74720</v>
      </c>
      <c r="L60" s="466">
        <v>101450</v>
      </c>
      <c r="M60" s="609"/>
      <c r="N60" s="609"/>
    </row>
    <row r="61" spans="1:14" s="343" customFormat="1" x14ac:dyDescent="0.2">
      <c r="A61" s="1504" t="s">
        <v>197</v>
      </c>
      <c r="B61" s="614">
        <v>2540</v>
      </c>
      <c r="C61" s="466">
        <v>188650</v>
      </c>
      <c r="D61" s="466"/>
      <c r="E61" s="466"/>
      <c r="F61" s="466"/>
      <c r="G61" s="466"/>
      <c r="H61" s="466"/>
      <c r="I61" s="467"/>
      <c r="J61" s="467"/>
      <c r="K61" s="1672">
        <f t="shared" si="7"/>
        <v>188650</v>
      </c>
      <c r="L61" s="466">
        <v>217046</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95632</v>
      </c>
      <c r="D63" s="466"/>
      <c r="E63" s="466">
        <v>9237</v>
      </c>
      <c r="F63" s="466">
        <v>257568</v>
      </c>
      <c r="G63" s="466">
        <v>658</v>
      </c>
      <c r="H63" s="466">
        <v>2890</v>
      </c>
      <c r="I63" s="467"/>
      <c r="J63" s="467"/>
      <c r="K63" s="1672">
        <f t="shared" si="7"/>
        <v>365985</v>
      </c>
      <c r="L63" s="466">
        <v>339800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344613</v>
      </c>
      <c r="D65" s="1670">
        <f t="shared" ref="D65:L65" si="8">SUM(D59:D64)</f>
        <v>319</v>
      </c>
      <c r="E65" s="1670">
        <f t="shared" si="8"/>
        <v>10945</v>
      </c>
      <c r="F65" s="1670">
        <f t="shared" si="8"/>
        <v>259908</v>
      </c>
      <c r="G65" s="1670">
        <f t="shared" si="8"/>
        <v>658</v>
      </c>
      <c r="H65" s="1670">
        <f t="shared" si="8"/>
        <v>12912</v>
      </c>
      <c r="I65" s="1670">
        <f t="shared" si="8"/>
        <v>0</v>
      </c>
      <c r="J65" s="1670">
        <f t="shared" si="8"/>
        <v>0</v>
      </c>
      <c r="K65" s="1670">
        <f t="shared" si="8"/>
        <v>629355</v>
      </c>
      <c r="L65" s="1670">
        <f t="shared" si="8"/>
        <v>658296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1263347</v>
      </c>
      <c r="D74" s="1677">
        <f t="shared" ref="D74:K74" si="10">SUM(D42,D47,D53,D57,D65,D72,D73)</f>
        <v>601925</v>
      </c>
      <c r="E74" s="1677">
        <f t="shared" si="10"/>
        <v>134132</v>
      </c>
      <c r="F74" s="1677">
        <f t="shared" si="10"/>
        <v>421426</v>
      </c>
      <c r="G74" s="1677">
        <f t="shared" si="10"/>
        <v>107766</v>
      </c>
      <c r="H74" s="1677">
        <f t="shared" si="10"/>
        <v>28538</v>
      </c>
      <c r="I74" s="1677">
        <f t="shared" si="10"/>
        <v>0</v>
      </c>
      <c r="J74" s="1677">
        <f t="shared" si="10"/>
        <v>0</v>
      </c>
      <c r="K74" s="1677">
        <f t="shared" si="10"/>
        <v>2557134</v>
      </c>
      <c r="L74" s="1677">
        <f>SUM(L42,L47,L53,L57,L65,L72,L73)</f>
        <v>3051010</v>
      </c>
    </row>
    <row r="75" spans="1:14" s="259" customFormat="1" ht="15.75" customHeight="1" thickTop="1" thickBot="1" x14ac:dyDescent="0.25">
      <c r="A75" s="1610" t="s">
        <v>47</v>
      </c>
      <c r="B75" s="1611" t="s">
        <v>575</v>
      </c>
      <c r="C75" s="573">
        <v>138178</v>
      </c>
      <c r="D75" s="573"/>
      <c r="E75" s="573">
        <v>152</v>
      </c>
      <c r="F75" s="573">
        <v>8487</v>
      </c>
      <c r="G75" s="573"/>
      <c r="H75" s="573">
        <v>50</v>
      </c>
      <c r="I75" s="531"/>
      <c r="J75" s="531"/>
      <c r="K75" s="1670">
        <f>SUM(C75:J75)</f>
        <v>146867</v>
      </c>
      <c r="L75" s="576">
        <v>159050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197086</v>
      </c>
      <c r="F79" s="616"/>
      <c r="G79" s="616"/>
      <c r="H79" s="466"/>
      <c r="I79" s="477"/>
      <c r="J79" s="477"/>
      <c r="K79" s="1671">
        <f t="shared" si="11"/>
        <v>197086</v>
      </c>
      <c r="L79" s="466">
        <v>300000</v>
      </c>
    </row>
    <row r="80" spans="1:14" x14ac:dyDescent="0.2">
      <c r="A80" s="1504" t="s">
        <v>305</v>
      </c>
      <c r="B80" s="614">
        <v>4130</v>
      </c>
      <c r="C80" s="616"/>
      <c r="D80" s="616"/>
      <c r="E80" s="466"/>
      <c r="F80" s="616"/>
      <c r="G80" s="616"/>
      <c r="H80" s="466"/>
      <c r="I80" s="477"/>
      <c r="J80" s="477"/>
      <c r="K80" s="1671">
        <f t="shared" si="11"/>
        <v>0</v>
      </c>
      <c r="L80" s="466">
        <v>25000</v>
      </c>
    </row>
    <row r="81" spans="1:12" x14ac:dyDescent="0.2">
      <c r="A81" s="1504" t="s">
        <v>697</v>
      </c>
      <c r="B81" s="614">
        <v>4140</v>
      </c>
      <c r="C81" s="616"/>
      <c r="D81" s="616"/>
      <c r="E81" s="466">
        <v>103441</v>
      </c>
      <c r="F81" s="616"/>
      <c r="G81" s="616"/>
      <c r="H81" s="466"/>
      <c r="I81" s="477"/>
      <c r="J81" s="477"/>
      <c r="K81" s="1671">
        <f t="shared" si="11"/>
        <v>103441</v>
      </c>
      <c r="L81" s="466">
        <v>68296</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300527</v>
      </c>
      <c r="F84" s="616"/>
      <c r="G84" s="616"/>
      <c r="H84" s="1670">
        <f>SUM(H78:H83)</f>
        <v>0</v>
      </c>
      <c r="I84" s="477"/>
      <c r="J84" s="477"/>
      <c r="K84" s="1670">
        <f>SUM(K78:K83)</f>
        <v>300527</v>
      </c>
      <c r="L84" s="1670">
        <f>SUM(L78:L83)</f>
        <v>393296</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300527</v>
      </c>
      <c r="F102" s="616"/>
      <c r="G102" s="616"/>
      <c r="H102" s="1677">
        <f>SUM(H84,H92,H100,H101)</f>
        <v>0</v>
      </c>
      <c r="I102" s="477"/>
      <c r="J102" s="477"/>
      <c r="K102" s="1677">
        <f>SUM(K84,K92,K100,K101)</f>
        <v>300527</v>
      </c>
      <c r="L102" s="1677">
        <f>SUM(L84,L92,L100,L101)</f>
        <v>393296</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4862120</v>
      </c>
      <c r="D114" s="1670">
        <f t="shared" ref="D114:K114" si="13">SUM(D33,D74,D75,D102,D112,D113)</f>
        <v>987428</v>
      </c>
      <c r="E114" s="1670">
        <f t="shared" si="13"/>
        <v>599651</v>
      </c>
      <c r="F114" s="1670">
        <f t="shared" si="13"/>
        <v>605203</v>
      </c>
      <c r="G114" s="1670">
        <f t="shared" si="13"/>
        <v>156235</v>
      </c>
      <c r="H114" s="1670">
        <f>SUM(H33,H74,H75,H102,H112,H113)</f>
        <v>49437</v>
      </c>
      <c r="I114" s="1670">
        <f t="shared" si="13"/>
        <v>0</v>
      </c>
      <c r="J114" s="1670">
        <f t="shared" si="13"/>
        <v>23505</v>
      </c>
      <c r="K114" s="1670">
        <f t="shared" si="13"/>
        <v>7283579</v>
      </c>
      <c r="L114" s="1670">
        <f>SUM(L33,L74,L75,L102,L112,L113)</f>
        <v>8002092</v>
      </c>
    </row>
    <row r="115" spans="1:14" ht="13.5" thickTop="1" x14ac:dyDescent="0.2">
      <c r="A115" s="2160" t="s">
        <v>996</v>
      </c>
      <c r="B115" s="2161"/>
      <c r="C115" s="618"/>
      <c r="D115" s="618"/>
      <c r="E115" s="618"/>
      <c r="F115" s="618"/>
      <c r="G115" s="618"/>
      <c r="H115" s="618"/>
      <c r="I115" s="618"/>
      <c r="J115" s="618"/>
      <c r="K115" s="1684">
        <f>'Revenues 9-14'!C268-'Expenditures 15-22'!K114</f>
        <v>1245022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v>179021</v>
      </c>
      <c r="F124" s="466">
        <v>236037</v>
      </c>
      <c r="G124" s="466">
        <v>3950</v>
      </c>
      <c r="H124" s="466"/>
      <c r="I124" s="467"/>
      <c r="J124" s="467"/>
      <c r="K124" s="1670">
        <f>SUM(C124:J124)</f>
        <v>419008</v>
      </c>
      <c r="L124" s="466">
        <v>420550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179021</v>
      </c>
      <c r="F127" s="1670">
        <f t="shared" si="14"/>
        <v>236037</v>
      </c>
      <c r="G127" s="1670">
        <f t="shared" si="14"/>
        <v>3950</v>
      </c>
      <c r="H127" s="1670">
        <f t="shared" si="14"/>
        <v>0</v>
      </c>
      <c r="I127" s="1670">
        <f t="shared" si="14"/>
        <v>0</v>
      </c>
      <c r="J127" s="1670">
        <f t="shared" si="14"/>
        <v>0</v>
      </c>
      <c r="K127" s="1670">
        <f t="shared" si="14"/>
        <v>419008</v>
      </c>
      <c r="L127" s="1670">
        <f t="shared" si="14"/>
        <v>420550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179021</v>
      </c>
      <c r="F129" s="1677">
        <f t="shared" si="15"/>
        <v>236037</v>
      </c>
      <c r="G129" s="1677">
        <f t="shared" si="15"/>
        <v>3950</v>
      </c>
      <c r="H129" s="1677">
        <f t="shared" si="15"/>
        <v>0</v>
      </c>
      <c r="I129" s="1677">
        <f t="shared" si="15"/>
        <v>0</v>
      </c>
      <c r="J129" s="1677">
        <f t="shared" si="15"/>
        <v>0</v>
      </c>
      <c r="K129" s="1677">
        <f t="shared" si="15"/>
        <v>419008</v>
      </c>
      <c r="L129" s="1677">
        <f t="shared" si="15"/>
        <v>420550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7" t="s">
        <v>620</v>
      </c>
      <c r="B151" s="2157"/>
      <c r="C151" s="1670">
        <f>SUM(C129,C130,C139,C149,C150)</f>
        <v>0</v>
      </c>
      <c r="D151" s="1670">
        <f t="shared" ref="D151:K151" si="16">SUM(D129,D130,D139,D149,D150)</f>
        <v>0</v>
      </c>
      <c r="E151" s="1670">
        <f t="shared" si="16"/>
        <v>179021</v>
      </c>
      <c r="F151" s="1670">
        <f t="shared" si="16"/>
        <v>236037</v>
      </c>
      <c r="G151" s="1670">
        <f t="shared" si="16"/>
        <v>3950</v>
      </c>
      <c r="H151" s="1670">
        <f t="shared" si="16"/>
        <v>0</v>
      </c>
      <c r="I151" s="1670">
        <f t="shared" si="16"/>
        <v>0</v>
      </c>
      <c r="J151" s="1670">
        <f t="shared" si="16"/>
        <v>0</v>
      </c>
      <c r="K151" s="1670">
        <f t="shared" si="16"/>
        <v>419008</v>
      </c>
      <c r="L151" s="1670">
        <f>SUM(L129,L130,L139,L149,L150)</f>
        <v>420550</v>
      </c>
    </row>
    <row r="152" spans="1:14" ht="12.75" customHeight="1" thickTop="1" x14ac:dyDescent="0.2">
      <c r="A152" s="2180" t="s">
        <v>1178</v>
      </c>
      <c r="B152" s="2181"/>
      <c r="C152" s="618"/>
      <c r="D152" s="618"/>
      <c r="E152" s="618"/>
      <c r="F152" s="618"/>
      <c r="G152" s="618"/>
      <c r="H152" s="618"/>
      <c r="I152" s="618"/>
      <c r="J152" s="616"/>
      <c r="K152" s="1684">
        <f>'Revenues 9-14'!D268-'Expenditures 15-22'!K151</f>
        <v>157571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279964</v>
      </c>
      <c r="I169" s="616"/>
      <c r="J169" s="616"/>
      <c r="K169" s="1671">
        <f>SUM(C169:H169)</f>
        <v>279964</v>
      </c>
      <c r="L169" s="656"/>
    </row>
    <row r="170" spans="1:14" ht="33.75" customHeight="1" x14ac:dyDescent="0.2">
      <c r="A170" s="669" t="s">
        <v>1670</v>
      </c>
      <c r="B170" s="671" t="s">
        <v>31</v>
      </c>
      <c r="C170" s="616"/>
      <c r="D170" s="616"/>
      <c r="E170" s="616"/>
      <c r="F170" s="616"/>
      <c r="G170" s="616"/>
      <c r="H170" s="569">
        <v>448300</v>
      </c>
      <c r="I170" s="616"/>
      <c r="J170" s="616"/>
      <c r="K170" s="1671">
        <f>SUM(C170:J170)</f>
        <v>448300</v>
      </c>
      <c r="L170" s="569">
        <v>784217</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728264</v>
      </c>
      <c r="I172" s="638"/>
      <c r="J172" s="616"/>
      <c r="K172" s="1677">
        <f>SUM(K168,K169,K170,K171)</f>
        <v>728264</v>
      </c>
      <c r="L172" s="1677">
        <f>SUM(L168,L169,L170,L171)</f>
        <v>784217</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728264</v>
      </c>
      <c r="I174" s="638"/>
      <c r="J174" s="616"/>
      <c r="K174" s="1677">
        <f>SUM(K160,K172,K173)</f>
        <v>728264</v>
      </c>
      <c r="L174" s="1677">
        <f>SUM(L160,L172,L173)</f>
        <v>784217</v>
      </c>
    </row>
    <row r="175" spans="1:14" ht="13.5" thickTop="1" x14ac:dyDescent="0.2">
      <c r="A175" s="2160" t="s">
        <v>996</v>
      </c>
      <c r="B175" s="2161"/>
      <c r="C175" s="616"/>
      <c r="D175" s="616"/>
      <c r="E175" s="616"/>
      <c r="F175" s="616"/>
      <c r="G175" s="616"/>
      <c r="H175" s="618"/>
      <c r="I175" s="616"/>
      <c r="J175" s="616"/>
      <c r="K175" s="1684">
        <f>'Revenues 9-14'!E268-'Expenditures 15-22'!K174</f>
        <v>-408588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513451</v>
      </c>
      <c r="F182" s="466">
        <v>6738</v>
      </c>
      <c r="G182" s="466">
        <v>27236</v>
      </c>
      <c r="H182" s="466"/>
      <c r="I182" s="467"/>
      <c r="J182" s="467"/>
      <c r="K182" s="1671">
        <f>SUM(C182:J182)</f>
        <v>547425</v>
      </c>
      <c r="L182" s="466">
        <v>528200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513451</v>
      </c>
      <c r="F184" s="1677">
        <f t="shared" si="17"/>
        <v>6738</v>
      </c>
      <c r="G184" s="1677">
        <f t="shared" si="17"/>
        <v>27236</v>
      </c>
      <c r="H184" s="1677">
        <f t="shared" si="17"/>
        <v>0</v>
      </c>
      <c r="I184" s="1677">
        <f t="shared" si="17"/>
        <v>0</v>
      </c>
      <c r="J184" s="1677">
        <f t="shared" si="17"/>
        <v>0</v>
      </c>
      <c r="K184" s="1677">
        <f>SUM(K180,K182,K183)</f>
        <v>547425</v>
      </c>
      <c r="L184" s="1677">
        <f>SUM(L180, L182:L183)</f>
        <v>528200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513451</v>
      </c>
      <c r="F210" s="1670">
        <f>SUM(F184,F185)</f>
        <v>6738</v>
      </c>
      <c r="G210" s="1670">
        <f>SUM(G184,G185)</f>
        <v>27236</v>
      </c>
      <c r="H210" s="1670">
        <f>SUM(H184,H185,H196,H208,H209)</f>
        <v>0</v>
      </c>
      <c r="I210" s="1670">
        <f>SUM(I184,I185)</f>
        <v>0</v>
      </c>
      <c r="J210" s="1670">
        <f>SUM(J184,J185)</f>
        <v>0</v>
      </c>
      <c r="K210" s="1671">
        <f>SUM(K184,K185,K196,K208,K209)</f>
        <v>547425</v>
      </c>
      <c r="L210" s="1670">
        <f>SUM(L184,L185,L196,L208,L209)</f>
        <v>528200</v>
      </c>
    </row>
    <row r="211" spans="1:14" ht="13.5" thickTop="1" x14ac:dyDescent="0.2">
      <c r="A211" s="2160" t="s">
        <v>996</v>
      </c>
      <c r="B211" s="2161"/>
      <c r="C211" s="618"/>
      <c r="D211" s="618"/>
      <c r="E211" s="618"/>
      <c r="F211" s="618"/>
      <c r="G211" s="618"/>
      <c r="H211" s="618"/>
      <c r="I211" s="616"/>
      <c r="J211" s="616"/>
      <c r="K211" s="1684">
        <f>'Revenues 9-14'!F268-'Expenditures 15-22'!K210</f>
        <v>-91044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42262</v>
      </c>
      <c r="E215" s="616"/>
      <c r="F215" s="616"/>
      <c r="G215" s="616"/>
      <c r="H215" s="616"/>
      <c r="I215" s="616"/>
      <c r="J215" s="616"/>
      <c r="K215" s="1671">
        <f>D215</f>
        <v>42262</v>
      </c>
      <c r="L215" s="466">
        <v>26299</v>
      </c>
    </row>
    <row r="216" spans="1:14" x14ac:dyDescent="0.2">
      <c r="A216" s="1504" t="s">
        <v>163</v>
      </c>
      <c r="B216" s="614" t="s">
        <v>967</v>
      </c>
      <c r="C216" s="616"/>
      <c r="D216" s="467"/>
      <c r="E216" s="616"/>
      <c r="F216" s="616"/>
      <c r="G216" s="616"/>
      <c r="H216" s="616"/>
      <c r="I216" s="616"/>
      <c r="J216" s="616"/>
      <c r="K216" s="1671">
        <f t="shared" ref="K216:K228" si="19">D216</f>
        <v>0</v>
      </c>
      <c r="L216" s="466">
        <v>16975</v>
      </c>
    </row>
    <row r="217" spans="1:14" x14ac:dyDescent="0.2">
      <c r="A217" s="1504" t="s">
        <v>164</v>
      </c>
      <c r="B217" s="614">
        <v>1200</v>
      </c>
      <c r="C217" s="616"/>
      <c r="D217" s="466">
        <v>4241</v>
      </c>
      <c r="E217" s="616"/>
      <c r="F217" s="616"/>
      <c r="G217" s="616"/>
      <c r="H217" s="616"/>
      <c r="I217" s="616"/>
      <c r="J217" s="616"/>
      <c r="K217" s="1671">
        <f t="shared" si="19"/>
        <v>4241</v>
      </c>
      <c r="L217" s="466">
        <v>22704</v>
      </c>
    </row>
    <row r="218" spans="1:14" x14ac:dyDescent="0.2">
      <c r="A218" s="1504" t="s">
        <v>278</v>
      </c>
      <c r="B218" s="614" t="s">
        <v>968</v>
      </c>
      <c r="C218" s="616"/>
      <c r="D218" s="467"/>
      <c r="E218" s="616"/>
      <c r="F218" s="616"/>
      <c r="G218" s="616"/>
      <c r="H218" s="616"/>
      <c r="I218" s="616"/>
      <c r="J218" s="616"/>
      <c r="K218" s="1671">
        <f t="shared" si="19"/>
        <v>0</v>
      </c>
      <c r="L218" s="466">
        <v>1053</v>
      </c>
    </row>
    <row r="219" spans="1:14" x14ac:dyDescent="0.2">
      <c r="A219" s="1504" t="s">
        <v>279</v>
      </c>
      <c r="B219" s="614">
        <v>1250</v>
      </c>
      <c r="C219" s="616"/>
      <c r="D219" s="466">
        <v>15849</v>
      </c>
      <c r="E219" s="616"/>
      <c r="F219" s="616"/>
      <c r="G219" s="616"/>
      <c r="H219" s="616"/>
      <c r="I219" s="616"/>
      <c r="J219" s="616"/>
      <c r="K219" s="1671">
        <f t="shared" si="19"/>
        <v>15849</v>
      </c>
      <c r="L219" s="466">
        <v>8746</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2367</v>
      </c>
      <c r="E222" s="616"/>
      <c r="F222" s="616"/>
      <c r="G222" s="616"/>
      <c r="H222" s="616"/>
      <c r="I222" s="616"/>
      <c r="J222" s="616"/>
      <c r="K222" s="1671">
        <f t="shared" si="19"/>
        <v>2367</v>
      </c>
      <c r="L222" s="466">
        <v>2551</v>
      </c>
    </row>
    <row r="223" spans="1:14" x14ac:dyDescent="0.2">
      <c r="A223" s="1504" t="s">
        <v>963</v>
      </c>
      <c r="B223" s="614">
        <v>1500</v>
      </c>
      <c r="C223" s="616"/>
      <c r="D223" s="466">
        <v>3385</v>
      </c>
      <c r="E223" s="616"/>
      <c r="F223" s="616"/>
      <c r="G223" s="616"/>
      <c r="H223" s="616"/>
      <c r="I223" s="616"/>
      <c r="J223" s="616"/>
      <c r="K223" s="1671">
        <f t="shared" si="19"/>
        <v>3385</v>
      </c>
      <c r="L223" s="466">
        <v>3570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68104</v>
      </c>
      <c r="E229" s="616"/>
      <c r="F229" s="616"/>
      <c r="G229" s="616"/>
      <c r="H229" s="616"/>
      <c r="I229" s="616"/>
      <c r="J229" s="616"/>
      <c r="K229" s="1670">
        <f>SUM(K215:K228)</f>
        <v>68104</v>
      </c>
      <c r="L229" s="1670">
        <f>SUM(L215:L228)</f>
        <v>81898</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670</v>
      </c>
      <c r="E232" s="616"/>
      <c r="F232" s="616"/>
      <c r="G232" s="616"/>
      <c r="H232" s="616"/>
      <c r="I232" s="616"/>
      <c r="J232" s="616"/>
      <c r="K232" s="1671">
        <f t="shared" ref="K232:K237" si="20">D232</f>
        <v>670</v>
      </c>
      <c r="L232" s="466">
        <v>1497</v>
      </c>
    </row>
    <row r="233" spans="1:12" x14ac:dyDescent="0.2">
      <c r="A233" s="1504" t="s">
        <v>1090</v>
      </c>
      <c r="B233" s="614">
        <v>2120</v>
      </c>
      <c r="C233" s="616"/>
      <c r="D233" s="466">
        <v>71</v>
      </c>
      <c r="E233" s="616"/>
      <c r="F233" s="616"/>
      <c r="G233" s="616"/>
      <c r="H233" s="616"/>
      <c r="I233" s="616"/>
      <c r="J233" s="616"/>
      <c r="K233" s="1671">
        <f t="shared" si="20"/>
        <v>71</v>
      </c>
      <c r="L233" s="466"/>
    </row>
    <row r="234" spans="1:12" x14ac:dyDescent="0.2">
      <c r="A234" s="1504" t="s">
        <v>198</v>
      </c>
      <c r="B234" s="614">
        <v>2130</v>
      </c>
      <c r="C234" s="616"/>
      <c r="D234" s="466">
        <v>4198</v>
      </c>
      <c r="E234" s="616"/>
      <c r="F234" s="616"/>
      <c r="G234" s="616"/>
      <c r="H234" s="616"/>
      <c r="I234" s="616"/>
      <c r="J234" s="616"/>
      <c r="K234" s="1671">
        <f t="shared" si="20"/>
        <v>4198</v>
      </c>
      <c r="L234" s="466">
        <v>5720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711</v>
      </c>
      <c r="E236" s="616"/>
      <c r="F236" s="616"/>
      <c r="G236" s="616"/>
      <c r="H236" s="616"/>
      <c r="I236" s="616"/>
      <c r="J236" s="616"/>
      <c r="K236" s="1671">
        <f t="shared" si="20"/>
        <v>711</v>
      </c>
      <c r="L236" s="466">
        <v>810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5650</v>
      </c>
      <c r="E238" s="616"/>
      <c r="F238" s="616"/>
      <c r="G238" s="616"/>
      <c r="H238" s="616"/>
      <c r="I238" s="616"/>
      <c r="J238" s="616"/>
      <c r="K238" s="1670">
        <f>SUM(K232:K237)</f>
        <v>5650</v>
      </c>
      <c r="L238" s="1670">
        <f>SUM(L232:L237)</f>
        <v>8027</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579</v>
      </c>
      <c r="E240" s="616"/>
      <c r="F240" s="616"/>
      <c r="G240" s="616"/>
      <c r="H240" s="616"/>
      <c r="I240" s="616"/>
      <c r="J240" s="616"/>
      <c r="K240" s="1672">
        <f>D240</f>
        <v>579</v>
      </c>
      <c r="L240" s="481"/>
    </row>
    <row r="241" spans="1:12" x14ac:dyDescent="0.2">
      <c r="A241" s="1504" t="s">
        <v>815</v>
      </c>
      <c r="B241" s="614">
        <v>2220</v>
      </c>
      <c r="C241" s="616"/>
      <c r="D241" s="466">
        <v>14122</v>
      </c>
      <c r="E241" s="616"/>
      <c r="F241" s="616"/>
      <c r="G241" s="616"/>
      <c r="H241" s="616"/>
      <c r="I241" s="616"/>
      <c r="J241" s="616"/>
      <c r="K241" s="1672">
        <f>D241</f>
        <v>14122</v>
      </c>
      <c r="L241" s="466">
        <v>15827</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14701</v>
      </c>
      <c r="E243" s="616"/>
      <c r="F243" s="616"/>
      <c r="G243" s="616"/>
      <c r="H243" s="616"/>
      <c r="I243" s="616"/>
      <c r="J243" s="616"/>
      <c r="K243" s="1670">
        <f>SUM(K240:K242)</f>
        <v>14701</v>
      </c>
      <c r="L243" s="1670">
        <f>SUM(L240:L242)</f>
        <v>15827</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453</v>
      </c>
      <c r="E245" s="616"/>
      <c r="F245" s="616"/>
      <c r="G245" s="616"/>
      <c r="H245" s="616"/>
      <c r="I245" s="616"/>
      <c r="J245" s="616"/>
      <c r="K245" s="1672">
        <f>D245</f>
        <v>453</v>
      </c>
      <c r="L245" s="481">
        <v>505</v>
      </c>
    </row>
    <row r="246" spans="1:12" x14ac:dyDescent="0.2">
      <c r="A246" s="1504" t="s">
        <v>818</v>
      </c>
      <c r="B246" s="614">
        <v>2320</v>
      </c>
      <c r="C246" s="616"/>
      <c r="D246" s="466">
        <v>9246</v>
      </c>
      <c r="E246" s="616"/>
      <c r="F246" s="616"/>
      <c r="G246" s="616"/>
      <c r="H246" s="616"/>
      <c r="I246" s="616"/>
      <c r="J246" s="616"/>
      <c r="K246" s="1672">
        <f t="shared" ref="K246:K256" si="21">D246</f>
        <v>9246</v>
      </c>
      <c r="L246" s="466">
        <v>10186</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9699</v>
      </c>
      <c r="E257" s="616"/>
      <c r="F257" s="616"/>
      <c r="G257" s="616"/>
      <c r="H257" s="616"/>
      <c r="I257" s="616"/>
      <c r="J257" s="616"/>
      <c r="K257" s="1670">
        <f>SUM(K245:K256)</f>
        <v>9699</v>
      </c>
      <c r="L257" s="1670">
        <f>SUM(L245:L256)</f>
        <v>10691</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22783</v>
      </c>
      <c r="E259" s="616"/>
      <c r="F259" s="616"/>
      <c r="G259" s="616"/>
      <c r="H259" s="616"/>
      <c r="I259" s="616"/>
      <c r="J259" s="616"/>
      <c r="K259" s="1672">
        <f>D259</f>
        <v>22783</v>
      </c>
      <c r="L259" s="481">
        <v>23449</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22783</v>
      </c>
      <c r="E261" s="616"/>
      <c r="F261" s="616"/>
      <c r="G261" s="616"/>
      <c r="H261" s="616"/>
      <c r="I261" s="616"/>
      <c r="J261" s="616"/>
      <c r="K261" s="1670">
        <f>SUM(K259:K260)</f>
        <v>22783</v>
      </c>
      <c r="L261" s="1670">
        <f>SUM(L259:L260)</f>
        <v>23449</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11040</v>
      </c>
      <c r="E264" s="616"/>
      <c r="F264" s="616"/>
      <c r="G264" s="616"/>
      <c r="H264" s="616"/>
      <c r="I264" s="616"/>
      <c r="J264" s="616"/>
      <c r="K264" s="1672">
        <f t="shared" ref="K264:K269" si="22">D264</f>
        <v>11040</v>
      </c>
      <c r="L264" s="466">
        <v>12435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31555</v>
      </c>
      <c r="E266" s="616"/>
      <c r="F266" s="616"/>
      <c r="G266" s="616"/>
      <c r="H266" s="616"/>
      <c r="I266" s="616"/>
      <c r="J266" s="616"/>
      <c r="K266" s="1672">
        <f t="shared" si="22"/>
        <v>31555</v>
      </c>
      <c r="L266" s="466">
        <v>37047</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14502</v>
      </c>
      <c r="E268" s="616"/>
      <c r="F268" s="616"/>
      <c r="G268" s="616"/>
      <c r="H268" s="616"/>
      <c r="I268" s="616"/>
      <c r="J268" s="616"/>
      <c r="K268" s="1672">
        <f t="shared" si="22"/>
        <v>14502</v>
      </c>
      <c r="L268" s="466">
        <v>16690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57097</v>
      </c>
      <c r="E270" s="616"/>
      <c r="F270" s="616"/>
      <c r="G270" s="616"/>
      <c r="H270" s="616"/>
      <c r="I270" s="616"/>
      <c r="J270" s="616"/>
      <c r="K270" s="1670">
        <f>SUM(K263:K269)</f>
        <v>57097</v>
      </c>
      <c r="L270" s="1670">
        <f>SUM(L263:L269)</f>
        <v>66172</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109930</v>
      </c>
      <c r="E279" s="616"/>
      <c r="F279" s="616"/>
      <c r="G279" s="616"/>
      <c r="H279" s="616"/>
      <c r="I279" s="616"/>
      <c r="J279" s="616"/>
      <c r="K279" s="1677">
        <f>SUM(K238,K243,K257,K261,K270,K277,K278)</f>
        <v>109930</v>
      </c>
      <c r="L279" s="1677">
        <f>SUM(L238,L243,L257,L261,L270,L277,L278)</f>
        <v>124166</v>
      </c>
    </row>
    <row r="280" spans="1:12" ht="15.75" customHeight="1" thickTop="1" thickBot="1" x14ac:dyDescent="0.25">
      <c r="A280" s="1624" t="s">
        <v>875</v>
      </c>
      <c r="B280" s="1613">
        <v>3000</v>
      </c>
      <c r="C280" s="616"/>
      <c r="D280" s="576">
        <v>24104</v>
      </c>
      <c r="E280" s="616"/>
      <c r="F280" s="616"/>
      <c r="G280" s="616"/>
      <c r="H280" s="616"/>
      <c r="I280" s="616"/>
      <c r="J280" s="616"/>
      <c r="K280" s="1679">
        <f>D280</f>
        <v>24104</v>
      </c>
      <c r="L280" s="576">
        <v>29078</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8" t="s">
        <v>505</v>
      </c>
      <c r="B295" s="2179"/>
      <c r="C295" s="616"/>
      <c r="D295" s="1670">
        <f>SUM(D229,D279,D280,D285)</f>
        <v>202138</v>
      </c>
      <c r="E295" s="616"/>
      <c r="F295" s="616"/>
      <c r="G295" s="616"/>
      <c r="H295" s="1670">
        <f>H293</f>
        <v>0</v>
      </c>
      <c r="I295" s="616"/>
      <c r="J295" s="616"/>
      <c r="K295" s="1670">
        <f>SUM(K229,K279,K280,K285,K293,K294)</f>
        <v>202138</v>
      </c>
      <c r="L295" s="1670">
        <f>SUM(L229,L279,L280,L285,L293,L294)</f>
        <v>235142</v>
      </c>
    </row>
    <row r="296" spans="1:14" ht="13.5" thickTop="1" x14ac:dyDescent="0.2">
      <c r="A296" s="2160" t="s">
        <v>996</v>
      </c>
      <c r="B296" s="2161"/>
      <c r="C296" s="616"/>
      <c r="D296" s="618"/>
      <c r="E296" s="616"/>
      <c r="F296" s="616"/>
      <c r="G296" s="616"/>
      <c r="H296" s="687"/>
      <c r="I296" s="616"/>
      <c r="J296" s="616"/>
      <c r="K296" s="1684">
        <f>'Revenues 9-14'!G268-'Expenditures 15-22'!K295</f>
        <v>86533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1" t="s">
        <v>996</v>
      </c>
      <c r="B313" s="2172"/>
      <c r="C313" s="626"/>
      <c r="D313" s="626"/>
      <c r="E313" s="626"/>
      <c r="F313" s="626"/>
      <c r="G313" s="626"/>
      <c r="H313" s="626"/>
      <c r="I313" s="626"/>
      <c r="J313" s="626"/>
      <c r="K313" s="1685">
        <f>'Revenues 9-14'!H268-'Expenditures 15-22'!K312</f>
        <v>33399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75838</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75838</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75838</v>
      </c>
    </row>
    <row r="343" spans="1:14" ht="12.75" customHeight="1" thickTop="1" x14ac:dyDescent="0.2">
      <c r="A343" s="2173" t="s">
        <v>996</v>
      </c>
      <c r="B343" s="2174"/>
      <c r="C343" s="616"/>
      <c r="D343" s="616"/>
      <c r="E343" s="616"/>
      <c r="F343" s="616"/>
      <c r="G343" s="616"/>
      <c r="H343" s="616"/>
      <c r="I343" s="616"/>
      <c r="J343" s="616"/>
      <c r="K343" s="1684">
        <f>'Revenues 9-14'!J268-'Expenditures 15-22'!K342</f>
        <v>93263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60" t="s">
        <v>996</v>
      </c>
      <c r="B368" s="2161"/>
      <c r="C368" s="654"/>
      <c r="D368" s="654"/>
      <c r="E368" s="626"/>
      <c r="F368" s="626"/>
      <c r="G368" s="626"/>
      <c r="H368" s="626"/>
      <c r="I368" s="626"/>
      <c r="J368" s="623"/>
      <c r="K368" s="1671">
        <f>'Revenues 9-14'!K268-'Expenditures 15-22'!K367</f>
        <v>1020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56" firstPageNumber="15" fitToHeight="0" orientation="landscape" useFirstPageNumber="1" r:id="rId1"/>
  <headerFooter alignWithMargins="0">
    <oddHeader>&amp;C&amp;"Arial,Bold"&amp;9STATEMENT OF EXPENDITURES DISBURSED BUDGET TO ACTUAL
FOR THE YEAR ENDING JUNE 30, 2019</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terms/"/>
    <ds:schemaRef ds:uri="http://purl.org/dc/elements/1.1/"/>
    <ds:schemaRef ds:uri="http://schemas.microsoft.com/sharepoint/v3"/>
    <ds:schemaRef ds:uri="http://schemas.microsoft.com/office/2006/documentManagement/types"/>
    <ds:schemaRef ds:uri="d21dc803-237d-4c68-8692-8d731fd29118"/>
    <ds:schemaRef ds:uri="http://schemas.microsoft.com/office/infopath/2007/PartnerControls"/>
    <ds:schemaRef ds:uri="http://schemas.openxmlformats.org/package/2006/metadata/core-properties"/>
    <ds:schemaRef ds:uri="http://schemas.microsoft.com/office/2006/metadata/properties"/>
    <ds:schemaRef ds:uri="4d435f69-8686-490b-bd6d-b153bf22ab50"/>
    <ds:schemaRef ds:uri="6ce3111e-7420-4802-b50a-75d4e9a0b98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2019-11-07T13:47:46Z</cp:lastPrinted>
  <dcterms:created xsi:type="dcterms:W3CDTF">2003-10-29T19:06:34Z</dcterms:created>
  <dcterms:modified xsi:type="dcterms:W3CDTF">2019-12-23T17:19:32Z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