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0370" yWindow="-3555" windowWidth="24240" windowHeight="13140" tabRatio="87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2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D26" i="108"/>
  <c r="E26" i="108"/>
  <c r="F26" i="108"/>
  <c r="E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B4268" i="106" l="1"/>
  <c r="D4268" i="106" s="1"/>
  <c r="L5" i="11"/>
  <c r="B2056" i="106" s="1"/>
  <c r="D2056" i="106" s="1"/>
  <c r="D27" i="108"/>
  <c r="F38" i="34"/>
  <c r="F34" i="34"/>
  <c r="D9" i="7"/>
  <c r="B1767" i="106" s="1"/>
  <c r="D1767" i="106" s="1"/>
  <c r="C342" i="29"/>
  <c r="B7216" i="106" s="1"/>
  <c r="D7216" i="106" s="1"/>
  <c r="H365" i="29"/>
  <c r="B7242" i="106" s="1"/>
  <c r="D7242" i="106" s="1"/>
  <c r="I24" i="12"/>
  <c r="B1996" i="106" s="1"/>
  <c r="D1996" i="106" s="1"/>
  <c r="F49" i="34"/>
  <c r="F36" i="34"/>
  <c r="J41" i="3"/>
  <c r="B6216" i="106" s="1"/>
  <c r="D6216" i="106" s="1"/>
  <c r="L342" i="29"/>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D51" i="36"/>
  <c r="B1381" i="106"/>
  <c r="D1381" i="106" s="1"/>
  <c r="B5527" i="106"/>
  <c r="D5527" i="106" s="1"/>
  <c r="C114" i="29"/>
  <c r="B757" i="106" s="1"/>
  <c r="D757" i="106" s="1"/>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J78" i="4" s="1"/>
  <c r="J19" i="4"/>
  <c r="B6229" i="106" s="1"/>
  <c r="D6229"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<sst xmlns="http://schemas.openxmlformats.org/spreadsheetml/2006/main" count="5102" uniqueCount="2121">
  <si>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</si>
  <si>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</si>
  <si>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</si>
  <si>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</si>
  <si>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</si>
  <si>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</si>
  <si>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</si>
  <si>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</si>
  <si>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</si>
  <si>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</si>
  <si>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</si>
  <si>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</si>
  <si>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</si>
  <si>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</si>
  <si>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</si>
  <si>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</si>
  <si>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</si>
  <si>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</si>
  <si>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</si>
  <si>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</si>
  <si>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</si>
  <si>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</si>
  <si>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</si>
  <si>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</si>
  <si>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</si>
  <si>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</si>
  <si>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</si>
  <si>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</si>
  <si>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</si>
  <si>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</si>
  <si>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</si>
  <si>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</si>
  <si>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</si>
  <si>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</si>
  <si>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</si>
  <si>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</si>
  <si>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</si>
  <si>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</si>
  <si>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</si>
  <si>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</si>
  <si>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</si>
  <si>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</si>
  <si>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</si>
  <si>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</si>
  <si>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</si>
  <si>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</si>
  <si>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</si>
  <si>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</si>
  <si>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</si>
  <si>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</si>
  <si>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</si>
  <si>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</si>
  <si>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</si>
  <si>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</si>
  <si>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</si>
  <si>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</si>
  <si>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</si>
  <si>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</si>
  <si>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</si>
  <si>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</si>
  <si>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</si>
  <si>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</si>
  <si>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</si>
  <si>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</si>
  <si>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</si>
  <si>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</si>
  <si>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</si>
  <si>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</si>
  <si>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</si>
  <si>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</si>
  <si>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</si>
  <si>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</si>
  <si>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</si>
  <si>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</si>
  <si>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</si>
  <si>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</si>
  <si>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</si>
  <si>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</si>
  <si>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</si>
  <si>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</si>
  <si>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</si>
  <si>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</si>
  <si>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</si>
  <si>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</si>
  <si>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</si>
  <si>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</si>
  <si>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</si>
  <si>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</si>
  <si>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</si>
  <si>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</si>
  <si>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</si>
  <si>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</si>
  <si>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</si>
  <si>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</si>
  <si>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</si>
  <si>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</si>
  <si>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</si>
  <si>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</si>
  <si>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</si>
  <si>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</si>
  <si>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</si>
  <si>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</si>
  <si>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</si>
  <si>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</si>
  <si>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</si>
  <si>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</si>
  <si>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</si>
  <si>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</si>
  <si>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</si>
  <si>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</si>
  <si>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</si>
  <si>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</si>
  <si>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</si>
  <si>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</si>
  <si>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</si>
  <si>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</si>
  <si>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</si>
  <si>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</si>
  <si>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</si>
  <si>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</si>
  <si>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</si>
  <si>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</si>
  <si>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</si>
  <si>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</si>
  <si>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</si>
  <si>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</si>
  <si>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</si>
  <si>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</si>
  <si>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</si>
  <si>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</si>
  <si>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</si>
  <si>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</si>
  <si>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</si>
  <si>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</si>
  <si>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</si>
  <si>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</si>
  <si>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</si>
  <si>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</si>
  <si>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</si>
  <si>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</si>
  <si>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</si>
  <si>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</si>
  <si>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</si>
  <si>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</si>
  <si>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</si>
  <si>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</si>
  <si>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</si>
  <si>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</si>
  <si>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</si>
  <si>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</si>
  <si>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</si>
  <si>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</si>
  <si>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</si>
  <si>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</si>
  <si>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</si>
  <si>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</si>
  <si>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</si>
  <si>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</si>
  <si>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</si>
  <si>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</si>
  <si>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</si>
  <si>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</si>
  <si>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</si>
  <si>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</si>
  <si>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</si>
  <si>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</si>
  <si>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</si>
  <si>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</si>
  <si>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</si>
  <si>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</si>
  <si>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</si>
  <si>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</si>
  <si>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</si>
  <si>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</si>
  <si>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</si>
  <si>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</si>
  <si>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</si>
  <si>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</si>
  <si>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</si>
  <si>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</si>
  <si>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</si>
  <si>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</si>
  <si>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</si>
  <si>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</si>
  <si>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</si>
  <si>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</si>
  <si>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</si>
  <si>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</si>
  <si>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</si>
  <si>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</si>
  <si>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</si>
  <si>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</si>
  <si>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</si>
  <si>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</si>
  <si>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</si>
  <si>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</si>
  <si>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</si>
  <si>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</si>
  <si>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</si>
  <si>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</si>
  <si>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</si>
  <si>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</si>
  <si>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</si>
  <si>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</si>
  <si>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</si>
  <si>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</si>
  <si>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</si>
  <si>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</si>
  <si>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</si>
  <si>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</si>
  <si>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</si>
  <si>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</si>
  <si>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</si>
  <si>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</si>
  <si>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</si>
  <si>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</si>
  <si>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</si>
  <si>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</si>
  <si>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</si>
  <si>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</si>
  <si>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</si>
  <si>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</si>
  <si>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</si>
  <si>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</si>
  <si>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</si>
  <si>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</si>
  <si>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</si>
  <si>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</si>
  <si>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</si>
  <si>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</si>
  <si>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</si>
  <si>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</si>
  <si>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</si>
  <si>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</si>
  <si>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</si>
  <si>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</si>
  <si>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</si>
  <si>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</si>
  <si>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</si>
  <si>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</si>
  <si>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</si>
  <si>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</si>
  <si>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</si>
  <si>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</si>
  <si>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</si>
  <si>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</si>
  <si>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</si>
  <si>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</si>
  <si>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</si>
  <si>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</si>
  <si>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</si>
  <si>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</si>
  <si>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</si>
  <si>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</si>
  <si>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</si>
  <si>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</si>
  <si>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</si>
  <si>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</si>
  <si>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</si>
  <si>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</si>
  <si>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</si>
  <si>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</si>
  <si>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</si>
  <si>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</si>
  <si>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</si>
  <si>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</si>
  <si>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</si>
  <si>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</si>
  <si>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</si>
  <si>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</si>
  <si>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</si>
  <si>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</si>
  <si>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</si>
  <si>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</si>
  <si>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</si>
  <si>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</si>
  <si>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</si>
  <si>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</si>
  <si>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</si>
  <si>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</si>
  <si>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</si>
  <si>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</si>
  <si>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</si>
  <si>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</si>
  <si>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</si>
  <si>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</si>
  <si>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</si>
  <si>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</si>
  <si>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</si>
  <si>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</si>
  <si>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</si>
  <si>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</si>
  <si>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</si>
  <si>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</si>
  <si>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</si>
  <si>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</si>
  <si>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</si>
  <si>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</si>
  <si>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</si>
  <si>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</si>
  <si>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</si>
  <si>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</si>
  <si>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</si>
  <si>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</si>
  <si>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</si>
  <si>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</si>
  <si>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</si>
  <si>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</si>
  <si>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</si>
  <si>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</si>
  <si>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</si>
  <si>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</si>
  <si>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</si>
  <si>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</si>
  <si>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</si>
  <si>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</si>
  <si>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</si>
  <si>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</si>
  <si>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</si>
  <si>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</si>
  <si>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</si>
  <si>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</si>
  <si>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</si>
  <si>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</si>
  <si>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</si>
  <si>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</si>
  <si>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</si>
  <si>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</si>
  <si>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</si>
  <si>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</si>
  <si>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</si>
  <si>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</si>
  <si>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</si>
  <si>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</si>
  <si>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</si>
  <si>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</si>
  <si>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</si>
  <si>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</si>
  <si>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</si>
  <si>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</si>
  <si>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</si>
  <si>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</si>
  <si>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</si>
  <si>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</si>
  <si>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</si>
  <si>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</si>
  <si>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</si>
  <si>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</si>
  <si>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</si>
  <si>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</si>
  <si>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</si>
  <si>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</si>
  <si>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</si>
  <si>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</si>
  <si>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</si>
  <si>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</si>
  <si>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</si>
  <si>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</si>
  <si>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</si>
  <si>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</si>
  <si>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</si>
  <si>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</si>
  <si>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</si>
  <si>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</si>
  <si>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</si>
  <si>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</si>
  <si>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</si>
  <si>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</si>
  <si>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</si>
  <si>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</si>
  <si>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</si>
  <si>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</si>
  <si>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</si>
  <si>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</si>
  <si>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</si>
  <si>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</si>
  <si>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</si>
  <si>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</si>
  <si>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</si>
  <si>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</si>
  <si>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</si>
  <si>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</si>
  <si>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</si>
  <si>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</si>
  <si>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</si>
  <si>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</si>
  <si>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</si>
  <si>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</si>
  <si>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</si>
  <si>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</si>
  <si>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</si>
  <si>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</si>
  <si>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</si>
  <si>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</si>
  <si>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</si>
  <si>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</si>
  <si>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</si>
  <si>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</si>
  <si>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</si>
  <si>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</si>
  <si>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</si>
  <si>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</si>
  <si>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</si>
  <si>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</si>
  <si>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</si>
  <si>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</si>
  <si>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</si>
  <si>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</si>
  <si>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</si>
  <si>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</si>
  <si>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</si>
  <si>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</si>
  <si>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</si>
  <si>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</si>
  <si>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</si>
  <si>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</si>
  <si>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</si>
  <si>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</si>
  <si>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</si>
  <si>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</si>
  <si>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</si>
  <si>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</si>
  <si>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</si>
  <si>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</si>
  <si>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</si>
  <si>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</si>
  <si>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</si>
  <si>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</si>
  <si>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</si>
  <si>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</si>
  <si>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</si>
  <si>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</si>
  <si>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</si>
  <si>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</si>
  <si>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</si>
  <si>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</si>
  <si>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</si>
  <si>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</si>
  <si>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</si>
  <si>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</si>
  <si>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</si>
  <si>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</si>
  <si>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</si>
  <si>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</si>
  <si>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</si>
  <si>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</si>
  <si>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</si>
  <si>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</si>
  <si>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</si>
  <si>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</si>
  <si>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</si>
  <si>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</si>
  <si>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</si>
  <si>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</si>
  <si>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</si>
  <si>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</si>
  <si>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</si>
  <si>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</si>
  <si>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</si>
  <si>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</si>
  <si>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</si>
  <si>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</si>
  <si>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</si>
  <si>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</si>
  <si>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</si>
  <si>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</si>
  <si>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</si>
  <si>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</si>
  <si>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</si>
  <si>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</si>
  <si>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</si>
  <si>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</si>
  <si>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</si>
  <si>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</si>
  <si>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</si>
  <si>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</si>
  <si>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</si>
  <si>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</si>
  <si>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</si>
  <si>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</si>
  <si>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</si>
  <si>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</si>
  <si>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</si>
  <si>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</si>
  <si>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</si>
  <si>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</si>
  <si>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</si>
  <si>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</si>
  <si>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</si>
  <si>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</si>
  <si>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</si>
  <si>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</si>
  <si>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</si>
  <si>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</si>
  <si>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</si>
  <si>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</si>
  <si>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</si>
  <si>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</si>
  <si>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</si>
  <si>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</si>
  <si>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</si>
  <si>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</si>
  <si>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</si>
  <si>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</si>
  <si>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</si>
  <si>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</si>
  <si>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</si>
  <si>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</si>
  <si>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</si>
  <si>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</si>
  <si>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</si>
  <si>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</si>
  <si>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</si>
  <si>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</si>
  <si>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</si>
  <si>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</si>
  <si>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</si>
  <si>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</si>
  <si>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</si>
  <si>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</si>
  <si>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</si>
  <si>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</si>
  <si>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</si>
  <si>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</si>
  <si>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</si>
  <si>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</si>
  <si>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</si>
  <si>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</si>
  <si>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</si>
  <si>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</si>
  <si>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</si>
  <si>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</si>
  <si>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</si>
  <si>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</si>
  <si>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</si>
  <si>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</si>
  <si>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</si>
  <si>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</si>
  <si>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</si>
  <si>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</si>
  <si>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</si>
  <si>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</si>
  <si>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</si>
  <si>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</si>
  <si>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</si>
  <si>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</si>
  <si>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</si>
  <si>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</si>
  <si>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</si>
  <si>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</si>
  <si>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</si>
  <si>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</si>
  <si>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</si>
  <si>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</si>
  <si>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</si>
  <si>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</si>
  <si>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</si>
  <si>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</si>
  <si>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</si>
  <si>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</si>
  <si>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</si>
  <si>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</si>
  <si>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</si>
  <si>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</si>
  <si>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</si>
  <si>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</si>
  <si>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</si>
  <si>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</si>
  <si>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</si>
  <si>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</si>
  <si>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</si>
  <si>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</si>
  <si>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</si>
  <si>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</si>
  <si>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</si>
  <si>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</si>
  <si>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</si>
  <si>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</si>
  <si>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</si>
  <si>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</si>
  <si>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</si>
  <si>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</si>
  <si>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</si>
  <si>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</si>
  <si>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</si>
  <si>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</si>
  <si>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</si>
  <si>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</si>
  <si>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</si>
  <si>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</si>
  <si>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</si>
  <si>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</si>
  <si>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</si>
  <si>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</si>
  <si>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</si>
  <si>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</si>
  <si>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</si>
  <si>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</si>
  <si>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</si>
  <si>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</si>
  <si>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</si>
  <si>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</si>
  <si>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</si>
  <si>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</si>
  <si>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</si>
  <si>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</si>
  <si>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</si>
  <si>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</si>
  <si>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</si>
  <si>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</si>
  <si>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</si>
  <si>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</si>
  <si>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</si>
  <si>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</si>
  <si>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</si>
  <si>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</si>
  <si>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</si>
  <si>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</si>
  <si>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</si>
  <si>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</si>
  <si>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</si>
  <si>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</si>
  <si>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</si>
  <si>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</si>
  <si>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</si>
  <si>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</si>
  <si>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</si>
  <si>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</si>
  <si>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</si>
  <si>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</si>
  <si>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</si>
  <si>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</si>
  <si>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</si>
  <si>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</si>
  <si>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</si>
  <si>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</si>
  <si>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</si>
  <si>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</si>
  <si>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</si>
  <si>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</si>
  <si>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</si>
  <si>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</si>
  <si>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</si>
  <si>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</si>
  <si>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</si>
  <si>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</si>
  <si>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</si>
  <si>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</si>
  <si>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</si>
  <si>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</si>
  <si>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</si>
  <si>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</si>
  <si>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</si>
  <si>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</si>
  <si>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</si>
  <si>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</si>
  <si>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</si>
  <si>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</si>
  <si>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</si>
  <si>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</si>
  <si>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</si>
  <si>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</si>
  <si>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</si>
  <si>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</si>
  <si>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</si>
  <si>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</si>
  <si>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</si>
  <si>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</si>
  <si>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</si>
  <si>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</si>
  <si>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</si>
  <si>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</si>
  <si>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</si>
  <si>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</si>
  <si>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</si>
  <si>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</si>
  <si>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</si>
  <si>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</si>
  <si>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</si>
  <si>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</si>
  <si>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</si>
  <si>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</si>
  <si>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</si>
  <si>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</si>
  <si>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</si>
  <si>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</si>
  <si>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</si>
  <si>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</si>
  <si>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</si>
  <si>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</si>
  <si>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</si>
  <si>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</si>
  <si>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</si>
  <si>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</si>
  <si>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</si>
  <si>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</si>
  <si>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</si>
  <si>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</si>
  <si>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</si>
  <si>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</si>
  <si>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</si>
  <si>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</si>
  <si>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</si>
  <si>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</si>
  <si>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</si>
  <si>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</si>
  <si>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</si>
  <si>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</si>
  <si>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</si>
  <si>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</si>
  <si>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</si>
  <si>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</si>
  <si>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</si>
  <si>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</si>
  <si>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</si>
  <si>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</si>
  <si>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</si>
  <si>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</si>
  <si>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</si>
  <si>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</si>
  <si>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</si>
  <si>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</si>
  <si>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</si>
  <si>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</si>
  <si>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</si>
  <si>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</si>
  <si>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</si>
  <si>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</si>
  <si>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</si>
  <si>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</si>
  <si>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</si>
  <si>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</si>
  <si>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</si>
  <si>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</si>
  <si>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</si>
  <si>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</si>
  <si>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</si>
  <si>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</si>
  <si>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</si>
  <si>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</si>
  <si>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</si>
  <si>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</si>
  <si>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</si>
  <si>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</si>
  <si>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</si>
  <si>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</si>
  <si>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</si>
  <si>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</si>
  <si>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</si>
  <si>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</si>
  <si>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</si>
  <si>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</si>
  <si>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</si>
  <si>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</si>
  <si>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</si>
  <si>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</si>
  <si>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</si>
  <si>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</si>
  <si>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</si>
  <si>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</si>
  <si>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</si>
  <si>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</si>
  <si>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</si>
  <si>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</si>
  <si>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</si>
  <si>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</si>
  <si>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</si>
  <si>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</si>
  <si>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</si>
  <si>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</si>
  <si>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</si>
  <si>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</si>
  <si>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</si>
  <si>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</si>
  <si>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</si>
  <si>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</si>
  <si>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</si>
  <si>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</si>
  <si>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</si>
  <si>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</si>
  <si>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</si>
  <si>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</si>
  <si>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</si>
  <si>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</si>
  <si>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</si>
  <si>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</si>
  <si>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</si>
  <si>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</si>
  <si>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</si>
  <si>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</si>
  <si>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</si>
  <si>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</si>
  <si>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</si>
  <si>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</si>
  <si>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</si>
  <si>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</si>
  <si>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</si>
  <si>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</si>
  <si>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</si>
  <si>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</si>
  <si>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</si>
  <si>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</si>
  <si>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</si>
  <si>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</si>
  <si>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</si>
  <si>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</si>
  <si>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</si>
  <si>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</si>
  <si>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</si>
  <si>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</si>
  <si>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</si>
  <si>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</si>
  <si>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</si>
  <si>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</si>
  <si>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</si>
  <si>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</si>
  <si>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</si>
  <si>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</si>
  <si>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</si>
  <si>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</si>
  <si>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</si>
  <si>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</si>
  <si>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</si>
  <si>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</si>
  <si>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</si>
  <si>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</si>
  <si>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</si>
  <si>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</si>
  <si>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</si>
  <si>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</si>
  <si>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</si>
  <si>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</si>
  <si>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</si>
  <si>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</si>
  <si>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</si>
  <si>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</si>
  <si>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</si>
  <si>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</si>
  <si>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</si>
  <si>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</si>
  <si>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</si>
  <si>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</si>
  <si>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</si>
  <si>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</si>
  <si>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</si>
  <si>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</si>
  <si>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</si>
  <si>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</si>
  <si>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</si>
  <si>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</si>
  <si>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</si>
  <si>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</si>
  <si>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</si>
  <si>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</si>
  <si>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</si>
  <si>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</si>
  <si>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</si>
  <si>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</si>
  <si>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</si>
  <si>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</si>
  <si>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</si>
  <si>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</si>
  <si>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</si>
  <si>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</si>
  <si>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</si>
  <si>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</si>
  <si>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</si>
  <si>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</si>
  <si>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</si>
  <si>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</si>
  <si>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</si>
  <si>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</si>
  <si>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</si>
  <si>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</si>
  <si>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</si>
  <si>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</si>
  <si>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</si>
  <si>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</si>
  <si>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</si>
  <si>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</si>
  <si>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</si>
  <si>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</si>
  <si>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</si>
  <si>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</si>
  <si>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</si>
  <si>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</si>
  <si>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</si>
  <si>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</si>
  <si>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</si>
  <si>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</si>
  <si>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</si>
  <si>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</si>
  <si>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</si>
  <si>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</si>
  <si>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</si>
  <si>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</si>
  <si>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</si>
  <si>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</si>
  <si>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</si>
  <si>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</si>
  <si>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</si>
  <si>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</si>
  <si>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</si>
  <si>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</si>
  <si>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</si>
  <si>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</si>
  <si>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</si>
  <si>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</si>
  <si>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</si>
  <si>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</si>
  <si>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</si>
  <si>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</si>
  <si>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</si>
  <si>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</si>
  <si>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</si>
  <si>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</si>
  <si>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</si>
  <si>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</si>
  <si>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</si>
  <si>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</si>
  <si>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</si>
  <si>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</si>
  <si>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</si>
  <si>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</si>
  <si>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</si>
  <si>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</si>
  <si>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</si>
  <si>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</si>
  <si>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</si>
  <si>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</si>
  <si>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</si>
  <si>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</si>
  <si>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</si>
  <si>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</si>
  <si>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</si>
  <si>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</si>
  <si>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</si>
  <si>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</si>
  <si>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</si>
  <si>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</si>
  <si>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</si>
  <si>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</si>
  <si>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</si>
  <si>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</si>
  <si>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</si>
  <si>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</si>
  <si>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</si>
  <si>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</si>
  <si>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</si>
  <si>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</si>
  <si>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</si>
  <si>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</si>
  <si>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</si>
  <si>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</si>
  <si>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</si>
  <si>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</si>
  <si>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</si>
  <si>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</si>
  <si>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</si>
  <si>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</si>
  <si>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</si>
  <si>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</si>
  <si>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</si>
  <si>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</si>
  <si>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</si>
  <si>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</si>
  <si>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</si>
  <si>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</si>
  <si>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</si>
  <si>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</si>
  <si>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</si>
  <si>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</si>
  <si>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</si>
  <si>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</si>
  <si>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</si>
  <si>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</si>
  <si>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</si>
  <si>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</si>
  <si>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</si>
  <si>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</si>
  <si>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</si>
  <si>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</si>
  <si>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</si>
  <si>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</si>
  <si>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</si>
  <si>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</si>
  <si>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</si>
  <si>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</si>
  <si>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</si>
  <si>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</si>
  <si>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</si>
  <si>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</si>
  <si>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</si>
  <si>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</si>
  <si>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</si>
  <si>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</si>
  <si>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</si>
  <si>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</si>
  <si>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</si>
  <si>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</si>
  <si>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</si>
  <si>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</si>
  <si>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</si>
  <si>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</si>
  <si>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</si>
  <si>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</si>
  <si>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</si>
  <si>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</si>
  <si>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</si>
  <si>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</si>
  <si>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</si>
  <si>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</si>
  <si>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</si>
  <si>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</si>
  <si>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</si>
  <si>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</si>
  <si>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</si>
  <si>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</si>
  <si>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</si>
  <si>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</si>
  <si>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</si>
  <si>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</si>
  <si>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</si>
  <si>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</si>
  <si>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</si>
  <si>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</si>
  <si>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</si>
  <si>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</si>
  <si>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</si>
  <si>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</si>
  <si>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</si>
  <si>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</si>
  <si>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</si>
  <si>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</si>
  <si>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</si>
  <si>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</si>
  <si>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</si>
  <si>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</si>
  <si>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</si>
  <si>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</si>
  <si>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</si>
  <si>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</si>
  <si>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</si>
  <si>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</si>
  <si>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</si>
  <si>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</si>
  <si>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</si>
  <si>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</si>
  <si>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</si>
  <si>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</si>
  <si>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</si>
  <si>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</si>
  <si>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</si>
  <si>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</si>
  <si>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</si>
  <si>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</si>
  <si>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</si>
  <si>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</si>
  <si>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</si>
  <si>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</si>
  <si>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</si>
  <si>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</si>
  <si>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</si>
  <si>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</si>
  <si>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</si>
  <si>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</si>
  <si>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</si>
  <si>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</si>
  <si>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</si>
  <si>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</si>
  <si>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</si>
  <si>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</si>
  <si>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</si>
  <si>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</si>
  <si>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</si>
  <si>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</si>
  <si>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</si>
  <si>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</si>
  <si>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</si>
  <si>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</si>
  <si>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</si>
  <si>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</si>
  <si>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</si>
  <si>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</si>
  <si>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</si>
  <si>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</si>
  <si>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</si>
  <si>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</si>
  <si>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</si>
  <si>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</si>
  <si>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</si>
  <si>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</si>
  <si>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</si>
  <si>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</si>
  <si>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</si>
  <si>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</si>
  <si>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</si>
  <si>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</si>
  <si>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</si>
  <si>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</si>
  <si>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</si>
  <si>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</si>
  <si>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</si>
  <si>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</si>
  <si>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</si>
  <si>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</si>
  <si>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</si>
  <si>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</si>
  <si>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</si>
  <si>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</si>
  <si>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</si>
  <si>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</si>
  <si>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</si>
  <si>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</si>
  <si>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</si>
  <si>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</si>
  <si>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</si>
  <si>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</si>
  <si>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</si>
  <si>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</si>
  <si>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</si>
  <si>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</si>
  <si>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</si>
  <si>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</si>
  <si>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</si>
  <si>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</si>
  <si>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</si>
  <si>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</si>
  <si>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</si>
  <si>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</si>
  <si>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</si>
  <si>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</si>
  <si>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</si>
  <si>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</si>
  <si>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</si>
  <si>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</si>
  <si>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</si>
  <si>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</si>
  <si>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</si>
  <si>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</si>
  <si>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</si>
  <si>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</si>
  <si>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</si>
  <si>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</si>
  <si>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</si>
  <si>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</si>
  <si>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</si>
  <si>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</si>
  <si>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</si>
  <si>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</si>
  <si>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</si>
  <si>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</si>
  <si>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</si>
  <si>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</si>
  <si>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</si>
  <si>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</si>
  <si>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</si>
  <si>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</si>
  <si>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</si>
  <si>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</si>
  <si>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</si>
  <si>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</si>
  <si>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</si>
  <si>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</si>
  <si>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</si>
  <si>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</si>
  <si>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</si>
  <si>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</si>
  <si>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</si>
  <si>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</si>
  <si>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</si>
  <si>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</si>
  <si>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</si>
  <si>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</si>
  <si>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</si>
  <si>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</si>
  <si>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</si>
  <si>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</si>
  <si>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</si>
  <si>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</si>
  <si>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</si>
  <si>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</si>
  <si>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</si>
  <si>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</si>
  <si>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</si>
  <si>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</si>
  <si>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</si>
  <si>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</si>
  <si>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</si>
  <si>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</si>
  <si>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</si>
  <si>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</si>
  <si>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</si>
  <si>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</si>
  <si>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</si>
  <si>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</si>
  <si>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</si>
  <si>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</si>
  <si>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</si>
  <si>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</si>
  <si>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</si>
  <si>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</si>
  <si>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</si>
  <si>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</si>
  <si>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</si>
  <si>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</si>
  <si>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</si>
  <si>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</si>
  <si>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</si>
  <si>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</si>
  <si>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</si>
  <si>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</si>
  <si>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</si>
  <si>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</si>
  <si>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</si>
  <si>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</si>
  <si>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</si>
  <si>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</si>
  <si>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</si>
  <si>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</si>
  <si>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</si>
  <si>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</si>
  <si>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</si>
  <si>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</si>
  <si>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</si>
  <si>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</si>
  <si>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</si>
  <si>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</si>
  <si>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</si>
  <si>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</si>
  <si>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</si>
  <si>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</si>
  <si>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</si>
  <si>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</si>
  <si>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</si>
  <si>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</si>
  <si>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</si>
  <si>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</si>
  <si>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</si>
  <si>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</si>
  <si>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</si>
  <si>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</si>
  <si>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</si>
  <si>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</si>
  <si>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</si>
  <si>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</si>
  <si>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</si>
  <si>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</si>
  <si>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</si>
  <si>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</si>
  <si>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</si>
  <si>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</si>
  <si>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</si>
  <si>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</si>
  <si>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</si>
  <si>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</si>
  <si>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</si>
  <si>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</si>
  <si>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</si>
  <si>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</si>
  <si>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</si>
  <si>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</si>
  <si>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</si>
  <si>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</si>
  <si>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</si>
  <si>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</si>
  <si>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</si>
  <si>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</si>
  <si>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</si>
  <si>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</si>
  <si>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</si>
  <si>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</si>
  <si>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</si>
  <si>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</si>
  <si>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</si>
  <si>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</si>
  <si>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</si>
  <si>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</si>
  <si>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</si>
  <si>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</si>
  <si>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</si>
  <si>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</si>
  <si>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</si>
  <si>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</si>
  <si>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</si>
  <si>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</si>
  <si>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</si>
  <si>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</si>
  <si>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</si>
  <si>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</si>
  <si>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</si>
  <si>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</si>
  <si>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</si>
  <si>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</si>
  <si>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</si>
  <si>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</si>
  <si>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</si>
  <si>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</si>
  <si>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</si>
  <si>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</si>
  <si>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</si>
  <si>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</si>
  <si>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</si>
  <si>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</si>
  <si>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</si>
  <si>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</si>
  <si>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</si>
  <si>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</si>
  <si>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</si>
  <si>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</si>
  <si>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</si>
  <si>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</si>
  <si>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</si>
  <si>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</si>
  <si>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</si>
  <si>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</si>
  <si>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</si>
  <si>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</si>
  <si>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</si>
  <si>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</si>
  <si>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</si>
  <si>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</si>
  <si>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</si>
  <si>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</si>
  <si>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</si>
  <si>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</si>
  <si>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</si>
  <si>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</si>
  <si>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</si>
  <si>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</si>
  <si>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</si>
  <si>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</si>
  <si>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</si>
  <si>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</si>
  <si>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</si>
  <si>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</si>
  <si>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</si>
  <si>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</si>
  <si>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</si>
  <si>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</si>
  <si>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</si>
  <si>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</si>
  <si>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</si>
  <si>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</si>
  <si>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</si>
  <si>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</si>
  <si>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</si>
  <si>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</si>
  <si>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</si>
  <si>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</si>
  <si>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</si>
  <si>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</si>
  <si>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</si>
  <si>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</si>
  <si>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</si>
  <si>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</si>
  <si>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</si>
  <si>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</si>
  <si>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</si>
  <si>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</si>
  <si>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</si>
  <si>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</si>
  <si>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</si>
  <si>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</si>
  <si>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</si>
  <si>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</si>
  <si>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</si>
  <si>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</si>
  <si>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</si>
  <si>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</si>
  <si>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</si>
  <si>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</si>
  <si>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</si>
  <si>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</si>
  <si>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</si>
  <si>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</si>
  <si>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</si>
  <si>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</si>
  <si>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</si>
  <si>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</si>
  <si>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</si>
  <si>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</si>
  <si>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</si>
  <si>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</si>
  <si>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</si>
  <si>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</si>
  <si>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</si>
  <si>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</si>
  <si>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</si>
  <si>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</si>
  <si>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</si>
  <si>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</si>
  <si>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</si>
  <si>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</si>
  <si>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</si>
  <si>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</si>
  <si>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</si>
  <si>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</si>
  <si>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</si>
  <si>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</si>
  <si>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</si>
  <si>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</si>
  <si>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</si>
  <si>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</si>
  <si>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</si>
  <si>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</si>
  <si>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</si>
  <si>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</si>
  <si>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</si>
  <si>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</si>
  <si>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</si>
  <si>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</si>
  <si>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</si>
  <si>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</si>
  <si>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</si>
  <si>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</si>
  <si>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</si>
  <si>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</si>
  <si>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</si>
  <si>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</si>
  <si>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</si>
  <si>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</si>
  <si>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</si>
  <si>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</si>
  <si>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</si>
  <si>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</si>
  <si>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</si>
  <si>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</si>
  <si>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</si>
  <si>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</si>
  <si>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</si>
  <si>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</si>
  <si>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</si>
  <si>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</si>
  <si>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</si>
  <si>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</si>
  <si>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</si>
  <si>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</si>
  <si>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</si>
  <si>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</si>
  <si>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</si>
  <si>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</si>
  <si>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</si>
  <si>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</si>
  <si>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</si>
  <si>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</si>
  <si>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</si>
  <si>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</si>
  <si>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</si>
  <si>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</si>
  <si>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</si>
  <si>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</si>
  <si>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</si>
  <si>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</si>
  <si>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</si>
  <si>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</si>
  <si>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</si>
  <si>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</si>
  <si>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</si>
  <si>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</si>
  <si>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</si>
  <si>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</si>
  <si>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</si>
  <si>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</si>
  <si>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</si>
  <si>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</si>
  <si>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</si>
  <si>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</si>
  <si>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</si>
  <si>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</si>
  <si>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</si>
  <si>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</si>
  <si>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</si>
  <si>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</si>
  <si>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</si>
  <si>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</si>
  <si>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</si>
  <si>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</si>
  <si>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</si>
  <si>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</si>
  <si>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</si>
  <si>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</si>
  <si>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</si>
  <si>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</si>
  <si>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</si>
  <si>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</si>
  <si>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</si>
  <si>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</si>
  <si>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</si>
  <si>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</si>
  <si>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</si>
  <si>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</si>
  <si>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</si>
  <si>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</si>
  <si>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</si>
  <si>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</si>
  <si>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</si>
  <si>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</si>
  <si>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</si>
  <si>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</si>
  <si>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</si>
  <si>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</si>
  <si>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</si>
  <si>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</si>
  <si>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</si>
  <si>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</si>
  <si>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</si>
  <si>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</si>
  <si>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</si>
  <si>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</si>
  <si>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</si>
  <si>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</si>
  <si>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</si>
  <si>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</si>
  <si>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</si>
  <si>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</si>
  <si>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</si>
  <si>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</si>
  <si>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</si>
  <si>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</si>
  <si>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</si>
  <si>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</si>
  <si>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</si>
  <si>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</si>
  <si>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</si>
  <si>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</si>
  <si>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</si>
  <si>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</si>
  <si>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</si>
  <si>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</si>
  <si>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</si>
  <si>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</si>
  <si>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</si>
  <si>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</si>
  <si>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</si>
  <si>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</si>
  <si>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</si>
  <si>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</si>
  <si>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</si>
  <si>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</si>
  <si>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</si>
  <si>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</si>
  <si>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</si>
  <si>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</si>
  <si>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</si>
  <si>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</si>
  <si>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</si>
  <si>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</si>
  <si>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</si>
  <si>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</si>
  <si>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</si>
  <si>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</si>
  <si>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</si>
  <si>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</si>
  <si>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</si>
  <si>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</si>
  <si>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</si>
  <si>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</si>
  <si>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</si>
  <si>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</si>
  <si>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</si>
  <si>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</si>
  <si>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</si>
  <si>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</si>
  <si>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</si>
  <si>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</si>
  <si>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</si>
  <si>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</si>
  <si>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</si>
  <si>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</si>
  <si>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</si>
  <si>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</si>
  <si>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</si>
  <si>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</si>
  <si>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</si>
  <si>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</si>
  <si>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</si>
  <si>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</si>
  <si>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</si>
  <si>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</si>
  <si>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</si>
  <si>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</si>
  <si>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</si>
  <si>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</si>
  <si>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</si>
  <si>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</si>
  <si>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</si>
  <si>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</si>
  <si>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</si>
  <si>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</si>
  <si>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</si>
  <si>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</si>
  <si>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</si>
  <si>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</si>
  <si>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</si>
  <si>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</si>
  <si>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</si>
  <si>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</si>
  <si>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</si>
  <si>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</si>
  <si>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</si>
  <si>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</si>
  <si>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</si>
  <si>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</si>
  <si>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</si>
  <si>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</si>
  <si>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</si>
  <si>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</si>
  <si>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</si>
  <si>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</si>
  <si>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</si>
  <si>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</si>
  <si>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</si>
  <si>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</si>
  <si>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</si>
  <si>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</si>
  <si>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</si>
  <si>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</si>
  <si>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</si>
  <si>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</si>
  <si>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</si>
  <si>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</si>
  <si>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</si>
  <si>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</si>
  <si>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</si>
  <si>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</si>
  <si>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</si>
  <si>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</si>
  <si>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</si>
  <si>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</si>
  <si>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</si>
  <si>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</si>
  <si>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</si>
  <si>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</si>
  <si>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</si>
  <si>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</si>
  <si>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</si>
  <si>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</si>
  <si>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</si>
  <si>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</si>
  <si>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</si>
  <si>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</si>
  <si>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</si>
  <si>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</si>
  <si>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</si>
  <si>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</si>
  <si>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</si>
  <si>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</si>
  <si>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</si>
  <si>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</si>
  <si>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</si>
  <si>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</si>
  <si>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</si>
  <si>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</si>
  <si>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</si>
  <si>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</si>
  <si>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</si>
  <si>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</si>
  <si>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</si>
  <si>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</si>
  <si>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</si>
  <si>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</si>
  <si>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</si>
  <si>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</si>
  <si>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</si>
  <si>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</si>
  <si>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</si>
  <si>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</si>
  <si>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</si>
  <si>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</si>
  <si>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</si>
  <si>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</si>
  <si>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</si>
  <si>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</si>
  <si>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</si>
  <si>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</si>
  <si>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</si>
  <si>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</si>
  <si>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</si>
  <si>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</si>
  <si>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</si>
  <si>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</si>
  <si>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</si>
  <si>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</si>
  <si>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</si>
  <si>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</si>
  <si>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</si>
  <si>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</si>
  <si>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</si>
  <si>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</si>
  <si>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</si>
  <si>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</si>
  <si>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</si>
  <si>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</si>
  <si>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</si>
  <si>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</si>
  <si>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</si>
  <si>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</si>
  <si>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</si>
  <si>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</si>
  <si>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</si>
  <si>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</si>
  <si>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</si>
  <si>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</si>
  <si>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</si>
  <si>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</si>
  <si>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</si>
  <si>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</si>
  <si>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</si>
  <si>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</si>
  <si>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</si>
  <si>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</si>
  <si>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</si>
  <si>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</si>
  <si>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</si>
  <si>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</si>
  <si>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</si>
  <si>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</si>
  <si>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</si>
  <si>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</si>
  <si>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</si>
  <si>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</si>
  <si>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</si>
  <si>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</si>
  <si>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</si>
  <si>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</si>
  <si>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</si>
  <si>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</si>
  <si>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</si>
  <si>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</si>
  <si>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</si>
  <si>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</si>
  <si>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</si>
  <si>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</si>
  <si>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</si>
  <si>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</si>
  <si>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</si>
  <si>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</si>
  <si>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</si>
  <si>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</si>
  <si>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</si>
  <si>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</si>
  <si>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</si>
  <si>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</si>
  <si>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</si>
  <si>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</si>
  <si>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</si>
  <si>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</si>
  <si>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</si>
  <si>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</si>
  <si>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</si>
  <si>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</si>
  <si>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</si>
  <si>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</si>
  <si>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</si>
  <si>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</si>
  <si>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</si>
  <si>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</si>
  <si>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</si>
  <si>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</si>
  <si>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</si>
  <si>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</si>
  <si>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</si>
  <si>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</si>
  <si>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</si>
  <si>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</si>
  <si>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</si>
  <si>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</si>
  <si>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</si>
  <si>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</si>
  <si>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</si>
  <si>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</si>
  <si>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</si>
  <si>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</si>
  <si>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</si>
  <si>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</si>
  <si>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</si>
  <si>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</si>
  <si>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</si>
  <si>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</si>
  <si>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</si>
  <si>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</si>
  <si>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</si>
  <si>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</si>
  <si>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</si>
  <si>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</si>
  <si>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</si>
  <si>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</si>
  <si>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</si>
  <si>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</si>
  <si>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</si>
  <si>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</si>
  <si>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</si>
  <si>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</si>
  <si>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</si>
  <si>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</si>
  <si>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</si>
  <si>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</si>
  <si>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</si>
  <si>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</si>
  <si>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</si>
  <si>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</si>
  <si>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</si>
  <si>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</si>
  <si>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</si>
  <si>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</si>
  <si>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</si>
  <si>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</si>
  <si>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</si>
  <si>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</si>
  <si>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</si>
  <si>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</si>
  <si>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</si>
  <si>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</si>
  <si>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</si>
  <si>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</si>
  <si>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</si>
  <si>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</si>
  <si>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</si>
  <si>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</si>
  <si>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</si>
  <si>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</si>
  <si>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</si>
  <si>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</si>
  <si>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</si>
  <si>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</si>
  <si>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</si>
  <si>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</si>
  <si>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</si>
  <si>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</si>
  <si>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</si>
  <si>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</si>
  <si>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</si>
  <si>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</si>
  <si>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</si>
  <si>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</si>
  <si>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</si>
  <si>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</si>
  <si>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</si>
  <si>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</si>
  <si>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</si>
  <si>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</si>
  <si>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</si>
  <si>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</si>
  <si>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</si>
  <si>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</si>
  <si>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</si>
  <si>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</si>
  <si>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</si>
  <si>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</si>
  <si>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</si>
  <si>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</si>
  <si>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</si>
  <si>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</si>
  <si>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</si>
  <si>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</si>
  <si>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</si>
  <si>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</si>
  <si>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</si>
  <si>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</si>
  <si>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</si>
  <si>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</si>
  <si>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</si>
  <si>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</si>
  <si>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</si>
  <si>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</si>
  <si>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</si>
  <si>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</si>
  <si>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</si>
  <si>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</si>
  <si>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</si>
  <si>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</si>
  <si>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</si>
  <si>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</si>
  <si>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</si>
  <si>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</si>
  <si>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</si>
  <si>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</si>
  <si>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</si>
  <si>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</si>
  <si>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</si>
  <si>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</si>
  <si>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</si>
  <si>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</si>
  <si>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</si>
  <si>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</si>
  <si>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</si>
  <si>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</si>
  <si>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</si>
  <si>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</si>
  <si>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</si>
  <si>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</si>
  <si>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</si>
  <si>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</si>
  <si>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</si>
  <si>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</si>
  <si>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</si>
  <si>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</si>
  <si>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</si>
  <si>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</si>
  <si>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</si>
  <si>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</si>
  <si>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</si>
  <si>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</si>
  <si>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</si>
  <si>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</si>
  <si>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</si>
  <si>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</si>
  <si>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</si>
  <si>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</si>
  <si>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</si>
  <si>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</si>
  <si>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</si>
  <si>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</si>
  <si>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</si>
  <si>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</si>
  <si>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</si>
  <si>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</si>
  <si>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</si>
  <si>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</si>
  <si>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</si>
  <si>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</si>
  <si>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</si>
  <si>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</si>
  <si>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</si>
  <si>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</si>
  <si>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</si>
  <si>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</si>
  <si>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</si>
  <si>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</si>
  <si>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</si>
  <si>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</si>
  <si>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</si>
  <si>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</si>
  <si>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</si>
  <si>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</si>
  <si>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</si>
  <si>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</si>
  <si>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</si>
  <si>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</si>
  <si>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</si>
  <si>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</si>
  <si>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</si>
  <si>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</si>
  <si>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</si>
  <si>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</si>
  <si>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</si>
  <si>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</si>
  <si>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</si>
  <si>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</si>
  <si>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</si>
  <si>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</si>
  <si>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</si>
  <si>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</si>
  <si>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</si>
  <si>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</si>
  <si>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</si>
  <si>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</si>
  <si>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</si>
  <si>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</si>
  <si>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</si>
  <si>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</si>
  <si>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</si>
  <si>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</si>
  <si>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</si>
  <si>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</si>
  <si>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</si>
  <si>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</si>
  <si>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</si>
  <si>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</si>
  <si>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</si>
  <si>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</si>
  <si>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</si>
  <si>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</si>
  <si>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</si>
  <si>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</si>
  <si>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</si>
  <si>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</si>
  <si>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</si>
  <si>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</si>
  <si>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</si>
  <si>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</si>
  <si>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</si>
  <si>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</si>
  <si>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</si>
  <si>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</si>
  <si>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</si>
  <si>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</si>
  <si>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</si>
  <si>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</si>
  <si>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</si>
  <si>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</si>
  <si>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</si>
  <si>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</si>
  <si>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</si>
  <si>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</si>
  <si>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</si>
  <si>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</si>
  <si>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</si>
  <si>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</si>
  <si>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</si>
  <si>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</si>
  <si>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</si>
  <si>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</si>
  <si>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</si>
  <si>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</si>
  <si>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</si>
  <si>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</si>
  <si>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</si>
  <si>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</si>
  <si>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</si>
  <si>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</si>
  <si>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</si>
  <si>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</si>
  <si>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</si>
  <si>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</si>
  <si>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</si>
  <si>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</si>
  <si>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</si>
  <si>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</si>
  <si>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</si>
  <si>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</si>
  <si>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</si>
  <si>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</si>
  <si>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</si>
  <si>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</si>
  <si>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</si>
  <si>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</si>
  <si>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</si>
  <si>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</si>
  <si>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</si>
  <si>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</si>
  <si>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</si>
  <si>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</si>
  <si>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</si>
  <si>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</si>
  <si>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</si>
  <si>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</si>
  <si>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</si>
  <si>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</si>
  <si>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</si>
  <si>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</si>
  <si>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</si>
  <si>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</si>
  <si>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</si>
  <si>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</si>
  <si>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</si>
  <si>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</si>
  <si>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</si>
  <si>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</si>
  <si>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</si>
  <si>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</si>
  <si>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</si>
  <si>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</si>
  <si>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</si>
  <si>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</si>
  <si>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</si>
  <si>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</si>
  <si>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</si>
  <si>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</si>
  <si>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</si>
  <si>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</si>
  <si>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</si>
  <si>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</si>
  <si>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</si>
  <si>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</si>
  <si>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</si>
  <si>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</si>
  <si>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</si>
  <si>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</si>
  <si>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</si>
  <si>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</si>
  <si>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</si>
  <si>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</si>
  <si>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STEPHENSON</t>
  </si>
  <si>
    <t>100 S. SUMMIT</t>
  </si>
  <si>
    <t xml:space="preserve">PEARL CITY  </t>
  </si>
  <si>
    <t>815/443-2237</t>
  </si>
  <si>
    <t>815/443-2715</t>
  </si>
  <si>
    <t>AARON MERCIER</t>
  </si>
  <si>
    <t>815/599-1408</t>
  </si>
  <si>
    <t>815/297-9032</t>
  </si>
  <si>
    <t>Copier Capital Lease</t>
  </si>
  <si>
    <t xml:space="preserve">Chromebook Capital Lease </t>
  </si>
  <si>
    <t>Additional Copier:  Capital Lease</t>
  </si>
  <si>
    <t xml:space="preserve">Capital Lease </t>
  </si>
  <si>
    <t xml:space="preserve">Copier Capital Lease </t>
  </si>
  <si>
    <t>10-2100-300</t>
  </si>
  <si>
    <t>Jennifer Petta</t>
  </si>
  <si>
    <t>40-2550-300</t>
  </si>
  <si>
    <t>Santander Leasing LLC</t>
  </si>
  <si>
    <t>APPI - Electricity, ICG - Natural Gas Cooperative</t>
  </si>
  <si>
    <t>Northwest Special Education Cooperative</t>
  </si>
  <si>
    <t>ROE #8 - Shared Paper Puchases</t>
  </si>
  <si>
    <t>CareerTEC</t>
  </si>
  <si>
    <t>Account</t>
  </si>
  <si>
    <t>Page</t>
  </si>
  <si>
    <t>Line</t>
  </si>
  <si>
    <t>Special Milk Sales</t>
  </si>
  <si>
    <t>Miscellaneous Rebates</t>
  </si>
  <si>
    <t>Book/Student Fees</t>
  </si>
  <si>
    <t>Erate</t>
  </si>
  <si>
    <t>Federal REAP Grant</t>
  </si>
  <si>
    <t>State Library Grant</t>
  </si>
  <si>
    <t>Bus Reimbursement</t>
  </si>
  <si>
    <t>Misc Receipts</t>
  </si>
  <si>
    <t>Reimbursements</t>
  </si>
  <si>
    <t>Ebsco Reimbursements</t>
  </si>
  <si>
    <t>x</t>
  </si>
  <si>
    <t>MICHAEL SCHIFFMAN</t>
  </si>
  <si>
    <t>mschiffman@pcwolves.net</t>
  </si>
  <si>
    <t>amercier@roe8.com</t>
  </si>
  <si>
    <t>Capital Appreciation School Construction</t>
  </si>
  <si>
    <t>ED-Support Services Pupil-Purchased Service</t>
  </si>
  <si>
    <t>TR-Pupil Transportation Services-Purchased Service</t>
  </si>
  <si>
    <t>Audit Check: Error message #8 is a result of new capital lease issued in the amount of $103,119.</t>
  </si>
  <si>
    <t>Homeless Supplies</t>
  </si>
  <si>
    <t>Day Care Fees</t>
  </si>
  <si>
    <t>Page 24, Cell G-49: When the District entered into a new copier lease agreement, the remaining balance of the two</t>
  </si>
  <si>
    <t>existing leases where forgiven. The amount forgiven totaled $48,841.</t>
  </si>
  <si>
    <t>Pearl City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</si>
</sst>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7" fillId="0" borderId="0" xfId="0" applyFont="1" applyAlignment="1">
      <alignment horizontal="center"/>
    </xf>
    <xf numFmtId="181" fontId="57" fillId="0" borderId="166" xfId="19" applyNumberFormat="1" applyFont="1" applyBorder="1"/>
    <xf numFmtId="181" fontId="57" fillId="0" borderId="0" xfId="1" applyNumberFormat="1" applyFont="1"/>
    <xf numFmtId="0" fontId="1" fillId="0" borderId="157" xfId="17" applyFont="1" applyBorder="1" applyAlignment="1" applyProtection="1">
      <alignment horizontal="left" vertical="top" wrapText="1"/>
      <protection locked="0"/>
    </xf>
    <xf numFmtId="0" fontId="66" fillId="0" borderId="0" xfId="0" applyFont="1" applyAlignment="1">
      <alignment horizontal="center"/>
    </xf>
    <xf numFmtId="181" fontId="57" fillId="0" borderId="165" xfId="19" applyNumberFormat="1" applyFont="1" applyBorder="1"/>
    <xf numFmtId="182" fontId="57" fillId="0" borderId="0" xfId="1"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7F31AE0-AC73-424D-8322-76D3DCB8D26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8" t="s">
        <v>405</v>
      </c>
      <c r="J1" s="1989"/>
      <c r="K1" s="1989"/>
      <c r="L1" s="1989"/>
      <c r="M1" s="1989"/>
      <c r="N1" s="1989"/>
      <c r="O1" s="1989"/>
      <c r="P1" s="1989"/>
      <c r="Q1" s="1989"/>
      <c r="R1" s="1989"/>
      <c r="S1" s="1989"/>
    </row>
    <row r="2" spans="1:28" ht="12" customHeight="1" x14ac:dyDescent="0.2">
      <c r="A2" s="47" t="s">
        <v>1993</v>
      </c>
      <c r="D2" s="48"/>
      <c r="I2" s="1990" t="s">
        <v>979</v>
      </c>
      <c r="J2" s="1989"/>
      <c r="K2" s="1989"/>
      <c r="L2" s="1989"/>
      <c r="M2" s="1989"/>
      <c r="N2" s="1989"/>
      <c r="O2" s="1989"/>
      <c r="P2" s="1989"/>
      <c r="Q2" s="1989"/>
      <c r="R2" s="1989"/>
      <c r="S2" s="1989"/>
    </row>
    <row r="3" spans="1:28" ht="12" customHeight="1" x14ac:dyDescent="0.2">
      <c r="A3" s="155" t="s">
        <v>1945</v>
      </c>
      <c r="B3" s="156"/>
      <c r="C3" s="156"/>
      <c r="D3" s="157"/>
      <c r="I3" s="1990" t="s">
        <v>52</v>
      </c>
      <c r="J3" s="1989"/>
      <c r="K3" s="1989"/>
      <c r="L3" s="1989"/>
      <c r="M3" s="1989"/>
      <c r="N3" s="1989"/>
      <c r="O3" s="1989"/>
      <c r="P3" s="1989"/>
      <c r="Q3" s="1989"/>
      <c r="R3" s="1989"/>
      <c r="S3" s="1989"/>
    </row>
    <row r="4" spans="1:28" ht="12" customHeight="1" x14ac:dyDescent="0.2">
      <c r="A4" s="37"/>
      <c r="I4" s="1990" t="s">
        <v>524</v>
      </c>
      <c r="J4" s="1989"/>
      <c r="K4" s="1989"/>
      <c r="L4" s="1989"/>
      <c r="M4" s="1989"/>
      <c r="N4" s="1989"/>
      <c r="O4" s="1989"/>
      <c r="P4" s="1989"/>
      <c r="Q4" s="1989"/>
      <c r="R4" s="1989"/>
      <c r="S4" s="1989"/>
    </row>
    <row r="5" spans="1:28" ht="14.1" customHeight="1" x14ac:dyDescent="0.2">
      <c r="B5" s="104" t="s">
        <v>2073</v>
      </c>
      <c r="C5" s="26" t="s">
        <v>910</v>
      </c>
      <c r="D5" s="84"/>
      <c r="E5" s="84"/>
      <c r="H5" s="38"/>
      <c r="I5" s="1998" t="s">
        <v>680</v>
      </c>
      <c r="J5" s="1997"/>
      <c r="K5" s="1997"/>
      <c r="L5" s="1997"/>
      <c r="M5" s="1997"/>
      <c r="N5" s="1997"/>
      <c r="O5" s="1997"/>
      <c r="P5" s="1997"/>
      <c r="Q5" s="1997"/>
      <c r="R5" s="1997"/>
      <c r="S5" s="1997"/>
    </row>
    <row r="6" spans="1:28" ht="14.1" customHeight="1" x14ac:dyDescent="0.2">
      <c r="B6" s="104"/>
      <c r="C6" s="26" t="s">
        <v>911</v>
      </c>
      <c r="D6" s="84"/>
      <c r="E6" s="84"/>
      <c r="I6" s="1996" t="s">
        <v>883</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674</v>
      </c>
      <c r="J9" s="1994"/>
      <c r="K9" s="1994"/>
      <c r="L9" s="1994"/>
      <c r="M9" s="1994"/>
      <c r="N9" s="1994"/>
      <c r="O9" s="1994"/>
      <c r="P9" s="1994"/>
      <c r="Q9" s="1994"/>
      <c r="R9" s="1994"/>
      <c r="S9" s="1995"/>
      <c r="T9" s="2009" t="s">
        <v>533</v>
      </c>
      <c r="U9" s="2010"/>
      <c r="V9" s="2010"/>
      <c r="W9" s="2010"/>
      <c r="X9" s="2010"/>
      <c r="Y9" s="2010"/>
      <c r="Z9" s="2010"/>
      <c r="AA9" s="2011"/>
    </row>
    <row r="10" spans="1:28" ht="13.5" customHeight="1" x14ac:dyDescent="0.2">
      <c r="A10" s="2016" t="s">
        <v>675</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955</v>
      </c>
      <c r="B11" s="2020"/>
      <c r="C11" s="2020"/>
      <c r="D11" s="2020"/>
      <c r="E11" s="2020"/>
      <c r="F11" s="2020"/>
      <c r="G11" s="2020"/>
      <c r="H11" s="2021"/>
      <c r="I11" s="27"/>
      <c r="J11" s="74"/>
      <c r="K11" s="27"/>
      <c r="O11" s="148" t="s">
        <v>2073</v>
      </c>
      <c r="P11" s="100" t="s">
        <v>201</v>
      </c>
      <c r="Q11" s="30"/>
      <c r="R11" s="28"/>
      <c r="S11" s="27"/>
      <c r="T11" s="2013"/>
      <c r="U11" s="2014"/>
      <c r="V11" s="2014"/>
      <c r="W11" s="2014"/>
      <c r="X11" s="2014"/>
      <c r="Y11" s="2014"/>
      <c r="Z11" s="2014"/>
      <c r="AA11" s="201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3">
        <v>8089200026</v>
      </c>
      <c r="B13" s="2024"/>
      <c r="C13" s="2024"/>
      <c r="D13" s="2024"/>
      <c r="E13" s="2024"/>
      <c r="F13" s="2024"/>
      <c r="G13" s="2024"/>
      <c r="H13" s="2025"/>
      <c r="I13" s="31"/>
      <c r="J13" s="30"/>
      <c r="K13" s="28"/>
      <c r="L13" s="30"/>
      <c r="M13" s="30"/>
      <c r="N13" s="30"/>
      <c r="O13" s="30"/>
      <c r="P13" s="30"/>
      <c r="Q13" s="30"/>
      <c r="R13" s="30"/>
      <c r="S13" s="30"/>
      <c r="T13" s="2028" t="s">
        <v>2064</v>
      </c>
      <c r="U13" s="2029"/>
      <c r="V13" s="2029"/>
      <c r="W13" s="2029"/>
      <c r="X13" s="2029"/>
      <c r="Y13" s="2030"/>
      <c r="Z13" s="2030"/>
      <c r="AA13" s="203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2" t="s">
        <v>2074</v>
      </c>
      <c r="B15" s="2026"/>
      <c r="C15" s="2026"/>
      <c r="D15" s="2026"/>
      <c r="E15" s="2026"/>
      <c r="F15" s="2026"/>
      <c r="G15" s="2026"/>
      <c r="H15" s="2027"/>
      <c r="T15" s="2032" t="s">
        <v>2065</v>
      </c>
      <c r="U15" s="1976"/>
      <c r="V15" s="1976"/>
      <c r="W15" s="1976"/>
      <c r="X15" s="1976"/>
      <c r="Y15" s="2033"/>
      <c r="Z15" s="2033"/>
      <c r="AA15" s="203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2" t="s">
        <v>2120</v>
      </c>
      <c r="B17" s="1983"/>
      <c r="C17" s="1983"/>
      <c r="D17" s="1983"/>
      <c r="E17" s="1983"/>
      <c r="F17" s="1983"/>
      <c r="G17" s="1983"/>
      <c r="H17" s="2008"/>
      <c r="T17" s="2039" t="s">
        <v>2066</v>
      </c>
      <c r="U17" s="2040"/>
      <c r="V17" s="2040"/>
      <c r="W17" s="2040"/>
      <c r="X17" s="2040"/>
      <c r="Y17" s="2040"/>
      <c r="Z17" s="2040"/>
      <c r="AA17" s="2041"/>
    </row>
    <row r="18" spans="1:27" ht="13.5" customHeight="1" x14ac:dyDescent="0.2">
      <c r="A18" s="85" t="s">
        <v>530</v>
      </c>
      <c r="B18" s="76"/>
      <c r="C18" s="72"/>
      <c r="D18" s="76"/>
      <c r="E18" s="76"/>
      <c r="F18" s="76"/>
      <c r="G18" s="76"/>
      <c r="H18" s="56"/>
      <c r="I18" s="2007" t="s">
        <v>676</v>
      </c>
      <c r="J18" s="1958"/>
      <c r="K18" s="1958"/>
      <c r="L18" s="1958"/>
      <c r="M18" s="1958"/>
      <c r="N18" s="1958"/>
      <c r="O18" s="1958"/>
      <c r="P18" s="1958"/>
      <c r="Q18" s="1958"/>
      <c r="R18" s="1958"/>
      <c r="S18" s="1959"/>
      <c r="T18" s="85" t="s">
        <v>711</v>
      </c>
      <c r="U18" s="51"/>
      <c r="V18" s="72"/>
      <c r="W18" s="50"/>
      <c r="X18" s="85" t="s">
        <v>266</v>
      </c>
      <c r="Y18" s="81"/>
      <c r="Z18" s="159" t="s">
        <v>677</v>
      </c>
      <c r="AA18" s="46"/>
    </row>
    <row r="19" spans="1:27" ht="13.5" customHeight="1" x14ac:dyDescent="0.2">
      <c r="A19" s="2022" t="s">
        <v>2075</v>
      </c>
      <c r="B19" s="1968"/>
      <c r="C19" s="1968"/>
      <c r="D19" s="1968"/>
      <c r="E19" s="1968"/>
      <c r="F19" s="1968"/>
      <c r="G19" s="1968"/>
      <c r="H19" s="1948"/>
      <c r="I19" s="30"/>
      <c r="J19" s="99"/>
      <c r="K19" s="40"/>
      <c r="L19" s="38"/>
      <c r="M19" s="112" t="s">
        <v>315</v>
      </c>
      <c r="P19" s="27"/>
      <c r="Q19" s="27"/>
      <c r="R19" s="27"/>
      <c r="S19" s="31"/>
      <c r="T19" s="2022" t="s">
        <v>2067</v>
      </c>
      <c r="U19" s="1947"/>
      <c r="V19" s="1947"/>
      <c r="W19" s="1948"/>
      <c r="X19" s="2037" t="s">
        <v>2068</v>
      </c>
      <c r="Y19" s="2038"/>
      <c r="Z19" s="2035">
        <v>61032</v>
      </c>
      <c r="AA19" s="203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6" t="s">
        <v>2076</v>
      </c>
      <c r="B21" s="1947"/>
      <c r="C21" s="1947"/>
      <c r="D21" s="1947"/>
      <c r="E21" s="1947"/>
      <c r="F21" s="1947"/>
      <c r="G21" s="1947"/>
      <c r="H21" s="1948"/>
      <c r="I21" s="2002" t="s">
        <v>678</v>
      </c>
      <c r="J21" s="1997"/>
      <c r="K21" s="1997"/>
      <c r="L21" s="1997"/>
      <c r="M21" s="1997"/>
      <c r="N21" s="1997"/>
      <c r="O21" s="1997"/>
      <c r="P21" s="1997"/>
      <c r="Q21" s="1997"/>
      <c r="R21" s="1997"/>
      <c r="S21" s="2003"/>
      <c r="T21" s="2046" t="s">
        <v>2069</v>
      </c>
      <c r="U21" s="2047"/>
      <c r="V21" s="2047"/>
      <c r="W21" s="2047"/>
      <c r="X21" s="2052" t="s">
        <v>2070</v>
      </c>
      <c r="Y21" s="2053"/>
      <c r="Z21" s="2053"/>
      <c r="AA21" s="2054"/>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1999"/>
      <c r="B23" s="2000"/>
      <c r="C23" s="2000"/>
      <c r="D23" s="2000"/>
      <c r="E23" s="2000"/>
      <c r="F23" s="2000"/>
      <c r="G23" s="2000"/>
      <c r="H23" s="2001"/>
      <c r="T23" s="1982" t="s">
        <v>2071</v>
      </c>
      <c r="U23" s="2045"/>
      <c r="V23" s="2045"/>
      <c r="W23" s="2045"/>
      <c r="X23" s="2049">
        <v>44530</v>
      </c>
      <c r="Y23" s="2050"/>
      <c r="Z23" s="2050"/>
      <c r="AA23" s="2051"/>
    </row>
    <row r="24" spans="1:27" ht="14.1" customHeight="1" x14ac:dyDescent="0.2">
      <c r="A24" s="88" t="s">
        <v>677</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531</v>
      </c>
      <c r="U24" s="106"/>
      <c r="V24" s="106"/>
      <c r="W24" s="106"/>
      <c r="X24" s="107"/>
      <c r="Y24" s="107"/>
      <c r="Z24" s="107"/>
      <c r="AA24" s="108"/>
    </row>
    <row r="25" spans="1:27" ht="14.1" customHeight="1" x14ac:dyDescent="0.2">
      <c r="A25" s="1946">
        <v>61062</v>
      </c>
      <c r="B25" s="1947"/>
      <c r="C25" s="1947"/>
      <c r="D25" s="1947"/>
      <c r="E25" s="1947"/>
      <c r="F25" s="1947"/>
      <c r="G25" s="1947"/>
      <c r="H25" s="1948"/>
      <c r="I25" s="113"/>
      <c r="J25" s="1971"/>
      <c r="K25" s="1971"/>
      <c r="L25" s="1971"/>
      <c r="M25" s="1971"/>
      <c r="N25" s="1971"/>
      <c r="O25" s="1971"/>
      <c r="P25" s="1971"/>
      <c r="Q25" s="1971"/>
      <c r="R25" s="1971"/>
      <c r="S25" s="1972"/>
      <c r="T25" s="2042" t="s">
        <v>2072</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7" t="s">
        <v>1511</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2" t="s">
        <v>2109</v>
      </c>
      <c r="B38" s="1983"/>
      <c r="C38" s="1983"/>
      <c r="D38" s="1983"/>
      <c r="E38" s="1983"/>
      <c r="F38" s="1947"/>
      <c r="G38" s="1947"/>
      <c r="H38" s="1948"/>
      <c r="I38" s="1975"/>
      <c r="J38" s="1976"/>
      <c r="K38" s="1976"/>
      <c r="L38" s="1976"/>
      <c r="M38" s="1976"/>
      <c r="N38" s="1976"/>
      <c r="O38" s="1976"/>
      <c r="P38" s="1977"/>
      <c r="Q38" s="1977"/>
      <c r="R38" s="1977"/>
      <c r="S38" s="1978"/>
      <c r="T38" s="2032" t="s">
        <v>2079</v>
      </c>
      <c r="U38" s="1976"/>
      <c r="V38" s="1976"/>
      <c r="W38" s="1976"/>
      <c r="X38" s="1977"/>
      <c r="Y38" s="1977"/>
      <c r="Z38" s="1977"/>
      <c r="AA38" s="1978"/>
    </row>
    <row r="39" spans="1:27" ht="12" customHeight="1" x14ac:dyDescent="0.2">
      <c r="A39" s="1952" t="s">
        <v>531</v>
      </c>
      <c r="B39" s="1953"/>
      <c r="C39" s="72"/>
      <c r="D39" s="69"/>
      <c r="E39" s="69"/>
      <c r="F39" s="79"/>
      <c r="G39" s="69"/>
      <c r="H39" s="56"/>
      <c r="I39" s="1952" t="s">
        <v>531</v>
      </c>
      <c r="J39" s="1953"/>
      <c r="K39" s="1953"/>
      <c r="L39" s="1953"/>
      <c r="M39" s="1953"/>
      <c r="N39" s="67"/>
      <c r="O39" s="72"/>
      <c r="P39" s="72"/>
      <c r="Q39" s="78"/>
      <c r="R39" s="72"/>
      <c r="S39" s="56"/>
      <c r="T39" s="72" t="s">
        <v>531</v>
      </c>
      <c r="U39" s="51"/>
      <c r="V39" s="72"/>
      <c r="W39" s="50"/>
      <c r="X39" s="78"/>
      <c r="Y39" s="45"/>
      <c r="Z39" s="45"/>
      <c r="AA39" s="46"/>
    </row>
    <row r="40" spans="1:27" ht="13.5" customHeight="1" x14ac:dyDescent="0.2">
      <c r="A40" s="1960" t="s">
        <v>2110</v>
      </c>
      <c r="B40" s="1961"/>
      <c r="C40" s="1962"/>
      <c r="D40" s="1962"/>
      <c r="E40" s="1962"/>
      <c r="F40" s="1963"/>
      <c r="G40" s="1963"/>
      <c r="H40" s="1964"/>
      <c r="I40" s="1985"/>
      <c r="J40" s="1986"/>
      <c r="K40" s="1986"/>
      <c r="L40" s="1986"/>
      <c r="M40" s="1986"/>
      <c r="N40" s="1986"/>
      <c r="O40" s="1986"/>
      <c r="P40" s="1986"/>
      <c r="Q40" s="1986"/>
      <c r="R40" s="1986"/>
      <c r="S40" s="1987"/>
      <c r="T40" s="1985" t="s">
        <v>2111</v>
      </c>
      <c r="U40" s="2048"/>
      <c r="V40" s="1986"/>
      <c r="W40" s="1986"/>
      <c r="X40" s="1986"/>
      <c r="Y40" s="1986"/>
      <c r="Z40" s="1986"/>
      <c r="AA40" s="198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4" t="s">
        <v>2078</v>
      </c>
      <c r="B42" s="1966"/>
      <c r="C42" s="1967"/>
      <c r="D42" s="1965" t="s">
        <v>2077</v>
      </c>
      <c r="E42" s="1966"/>
      <c r="F42" s="1966"/>
      <c r="G42" s="1966"/>
      <c r="H42" s="1967"/>
      <c r="I42" s="1949"/>
      <c r="J42" s="1950"/>
      <c r="K42" s="1950"/>
      <c r="L42" s="1950"/>
      <c r="M42" s="1950"/>
      <c r="N42" s="1950"/>
      <c r="O42" s="1951"/>
      <c r="P42" s="1984"/>
      <c r="Q42" s="1950"/>
      <c r="R42" s="1950"/>
      <c r="S42" s="1951"/>
      <c r="T42" s="1949" t="s">
        <v>2080</v>
      </c>
      <c r="U42" s="1950"/>
      <c r="V42" s="1950"/>
      <c r="W42" s="1951"/>
      <c r="X42" s="1984" t="s">
        <v>2081</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95"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35521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2064</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J33" sqref="J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55500584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3.3337699999999998E-2</v>
      </c>
      <c r="E10" s="356" t="s">
        <v>1005</v>
      </c>
      <c r="F10" s="355">
        <v>3.8660999999999999E-3</v>
      </c>
      <c r="G10" s="356" t="s">
        <v>1005</v>
      </c>
      <c r="H10" s="355">
        <v>2.3724000000000002E-3</v>
      </c>
      <c r="I10" s="356" t="s">
        <v>1006</v>
      </c>
      <c r="J10" s="1732">
        <f>ROUND(D10+F10+H10,5)</f>
        <v>3.9579999999999997E-2</v>
      </c>
      <c r="K10" s="222"/>
      <c r="L10" s="355">
        <v>3.8390000000000001E-4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4801122</v>
      </c>
      <c r="E16" s="356"/>
      <c r="F16" s="1733">
        <f>SUM('Acct Summary 7-8'!C17,'Acct Summary 7-8'!D17,'Acct Summary 7-8'!F17)</f>
        <v>5068940</v>
      </c>
      <c r="G16" s="356"/>
      <c r="H16" s="1733">
        <f>SUM(D16-F16)</f>
        <v>-267818</v>
      </c>
      <c r="I16" s="222"/>
      <c r="J16" s="1733">
        <f>SUM('Acct Summary 7-8'!C81,'Acct Summary 7-8'!D81,'Acct Summary 7-8'!F81,'Acct Summary 7-8'!I81)</f>
        <v>939369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7659080.5920000002</v>
      </c>
      <c r="I31" s="368"/>
      <c r="J31" s="222"/>
      <c r="K31" s="222"/>
      <c r="L31" s="222"/>
      <c r="M31" s="222"/>
    </row>
    <row r="32" spans="1:13" ht="13.35" customHeight="1" x14ac:dyDescent="0.2">
      <c r="B32" s="369" t="s">
        <v>2108</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295345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topLeftCell="A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Pearl City CUSD 200</v>
      </c>
      <c r="E7" s="391"/>
      <c r="G7" s="252"/>
      <c r="H7" s="387"/>
      <c r="I7" s="387"/>
      <c r="J7" s="387"/>
      <c r="K7" s="387"/>
      <c r="L7" s="329"/>
      <c r="M7" s="329"/>
      <c r="N7" s="329"/>
      <c r="O7" s="329"/>
      <c r="P7" s="329"/>
    </row>
    <row r="8" spans="1:18" ht="12.75" x14ac:dyDescent="0.2">
      <c r="A8" s="329"/>
      <c r="B8" s="329"/>
      <c r="C8" s="389" t="s">
        <v>1125</v>
      </c>
      <c r="D8" s="392">
        <f>COVER!A13</f>
        <v>8089200026</v>
      </c>
      <c r="E8" s="393"/>
      <c r="G8" s="329"/>
      <c r="H8" s="329"/>
      <c r="I8" s="329"/>
      <c r="J8" s="329"/>
      <c r="K8" s="329"/>
      <c r="L8" s="329"/>
      <c r="M8" s="329"/>
      <c r="N8" s="329"/>
      <c r="O8" s="329"/>
      <c r="P8" s="329"/>
    </row>
    <row r="9" spans="1:18" ht="12.75" x14ac:dyDescent="0.2">
      <c r="A9" s="329"/>
      <c r="B9" s="329"/>
      <c r="C9" s="389" t="s">
        <v>713</v>
      </c>
      <c r="D9" s="394" t="str">
        <f>COVER!A15</f>
        <v>STEPHENSON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939369</v>
      </c>
      <c r="I12" s="404"/>
      <c r="J12" s="404"/>
      <c r="K12" s="405">
        <f>TRUNC((H12/H13*100000),5)/100000</f>
        <v>0.19722159060000002</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4763013</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-38109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5068940</v>
      </c>
      <c r="I17" s="404"/>
      <c r="J17" s="416"/>
      <c r="K17" s="405">
        <f>TRUNC((H17/H18*100000),5)/100000</f>
        <v>1.0642297217999999</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4763013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-38109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1.5136541999999999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939186</v>
      </c>
      <c r="I24" s="422"/>
      <c r="J24" s="422"/>
      <c r="K24" s="423">
        <f>TRUNC(((H24/H25*100000)/100000),2)</f>
        <v>66.7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14080.38889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1867206.14751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295345</v>
      </c>
      <c r="I32" s="420"/>
      <c r="J32" s="420"/>
      <c r="K32" s="423">
        <f>TRUNC(100-((((H32/H33*100))*100)/100),2)</f>
        <v>96.14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7659080.5920000002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3.0999999999999996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Normal="100" workbookViewId="0">
      <pane ySplit="2" topLeftCell="A3" activePane="bottomLeft" state="frozen"/>
      <selection pane="bottomLeft" activeCell="L4" sqref="C4: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32789</v>
      </c>
      <c r="D4" s="466">
        <v>455896</v>
      </c>
      <c r="E4" s="466">
        <v>66633</v>
      </c>
      <c r="F4" s="466">
        <v>277555</v>
      </c>
      <c r="G4" s="466">
        <v>70347</v>
      </c>
      <c r="H4" s="466">
        <v>3506</v>
      </c>
      <c r="I4" s="466">
        <v>172946</v>
      </c>
      <c r="J4" s="467">
        <v>11791</v>
      </c>
      <c r="K4" s="466">
        <v>283532</v>
      </c>
      <c r="L4" s="466">
        <v>89359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32789</v>
      </c>
      <c r="D13" s="1737">
        <f t="shared" ref="D13:L13" si="0">SUM(D4:D12)</f>
        <v>455896</v>
      </c>
      <c r="E13" s="1737">
        <f t="shared" si="0"/>
        <v>66633</v>
      </c>
      <c r="F13" s="1737">
        <f t="shared" si="0"/>
        <v>277555</v>
      </c>
      <c r="G13" s="1737">
        <f t="shared" si="0"/>
        <v>70347</v>
      </c>
      <c r="H13" s="1737">
        <f t="shared" si="0"/>
        <v>3506</v>
      </c>
      <c r="I13" s="1737">
        <f t="shared" si="0"/>
        <v>172946</v>
      </c>
      <c r="J13" s="1737">
        <f t="shared" si="0"/>
        <v>11791</v>
      </c>
      <c r="K13" s="1737">
        <f t="shared" si="0"/>
        <v>283532</v>
      </c>
      <c r="L13" s="1737">
        <f t="shared" si="0"/>
        <v>89359</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17968</v>
      </c>
      <c r="N16" s="484"/>
    </row>
    <row r="17" spans="1:14" s="485" customFormat="1" ht="12.75" customHeight="1" x14ac:dyDescent="0.2">
      <c r="A17" s="482" t="s">
        <v>1403</v>
      </c>
      <c r="B17" s="483">
        <v>230</v>
      </c>
      <c r="C17" s="477"/>
      <c r="D17" s="477"/>
      <c r="E17" s="477"/>
      <c r="F17" s="477"/>
      <c r="G17" s="477"/>
      <c r="H17" s="477"/>
      <c r="I17" s="477"/>
      <c r="J17" s="477"/>
      <c r="K17" s="477"/>
      <c r="L17" s="477"/>
      <c r="M17" s="467">
        <v>11147935</v>
      </c>
      <c r="N17" s="484"/>
    </row>
    <row r="18" spans="1:14" s="485" customFormat="1" ht="12.75" customHeight="1" x14ac:dyDescent="0.2">
      <c r="A18" s="482" t="s">
        <v>1404</v>
      </c>
      <c r="B18" s="483">
        <v>240</v>
      </c>
      <c r="C18" s="477"/>
      <c r="D18" s="477"/>
      <c r="E18" s="477"/>
      <c r="F18" s="477"/>
      <c r="G18" s="477"/>
      <c r="H18" s="477"/>
      <c r="I18" s="477"/>
      <c r="J18" s="477"/>
      <c r="K18" s="477"/>
      <c r="L18" s="477"/>
      <c r="M18" s="467">
        <v>310414</v>
      </c>
      <c r="N18" s="484"/>
    </row>
    <row r="19" spans="1:14" s="485" customFormat="1" ht="12.75" customHeight="1" x14ac:dyDescent="0.2">
      <c r="A19" s="482" t="s">
        <v>1405</v>
      </c>
      <c r="B19" s="483">
        <v>250</v>
      </c>
      <c r="C19" s="477"/>
      <c r="D19" s="477"/>
      <c r="E19" s="477"/>
      <c r="F19" s="477"/>
      <c r="G19" s="477"/>
      <c r="H19" s="477"/>
      <c r="I19" s="477"/>
      <c r="J19" s="477"/>
      <c r="K19" s="477"/>
      <c r="L19" s="477"/>
      <c r="M19" s="467">
        <v>1029724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66633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228712</v>
      </c>
    </row>
    <row r="23" spans="1:14" ht="13.5" customHeight="1" thickBot="1" x14ac:dyDescent="0.25">
      <c r="A23" s="1736" t="s">
        <v>643</v>
      </c>
      <c r="B23" s="1741"/>
      <c r="C23" s="468"/>
      <c r="D23" s="468"/>
      <c r="E23" s="468"/>
      <c r="F23" s="468"/>
      <c r="G23" s="468"/>
      <c r="H23" s="468"/>
      <c r="I23" s="468"/>
      <c r="J23" s="468"/>
      <c r="K23" s="468"/>
      <c r="L23" s="468"/>
      <c r="M23" s="1688">
        <f>SUM(M15:M22)</f>
        <v>12506041</v>
      </c>
      <c r="N23" s="1688">
        <f>SUM(N21:N22)</f>
        <v>295345</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-183</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89359</v>
      </c>
      <c r="M33" s="468"/>
      <c r="N33" s="469"/>
    </row>
    <row r="34" spans="1:14" ht="13.5" customHeight="1" thickBot="1" x14ac:dyDescent="0.25">
      <c r="A34" s="1738" t="s">
        <v>654</v>
      </c>
      <c r="B34" s="1739"/>
      <c r="C34" s="1740">
        <f>SUM(C25:C33)</f>
        <v>-183</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89359</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295345</v>
      </c>
    </row>
    <row r="37" spans="1:14" ht="13.5" thickBot="1" x14ac:dyDescent="0.25">
      <c r="A37" s="1736" t="s">
        <v>653</v>
      </c>
      <c r="B37" s="1741"/>
      <c r="C37" s="477"/>
      <c r="D37" s="477"/>
      <c r="E37" s="477"/>
      <c r="F37" s="477"/>
      <c r="G37" s="477"/>
      <c r="H37" s="477"/>
      <c r="I37" s="477"/>
      <c r="J37" s="477"/>
      <c r="K37" s="477"/>
      <c r="L37" s="480"/>
      <c r="M37" s="468"/>
      <c r="N37" s="1688">
        <f>SUM(N36:N36)</f>
        <v>295345</v>
      </c>
    </row>
    <row r="38" spans="1:14" s="329" customFormat="1" ht="13.5" customHeight="1" thickTop="1" x14ac:dyDescent="0.2">
      <c r="A38" s="496" t="s">
        <v>420</v>
      </c>
      <c r="B38" s="483">
        <v>714</v>
      </c>
      <c r="C38" s="466"/>
      <c r="D38" s="466"/>
      <c r="E38" s="466"/>
      <c r="F38" s="466"/>
      <c r="G38" s="466">
        <v>33915</v>
      </c>
      <c r="H38" s="466">
        <v>3506</v>
      </c>
      <c r="I38" s="466"/>
      <c r="J38" s="467"/>
      <c r="K38" s="466"/>
      <c r="L38" s="481"/>
      <c r="M38" s="497"/>
      <c r="N38" s="497"/>
    </row>
    <row r="39" spans="1:14" s="329" customFormat="1" ht="13.5" customHeight="1" x14ac:dyDescent="0.2">
      <c r="A39" s="496" t="s">
        <v>342</v>
      </c>
      <c r="B39" s="483">
        <v>730</v>
      </c>
      <c r="C39" s="466">
        <v>32972</v>
      </c>
      <c r="D39" s="466">
        <v>455896</v>
      </c>
      <c r="E39" s="466">
        <v>66633</v>
      </c>
      <c r="F39" s="466">
        <v>277555</v>
      </c>
      <c r="G39" s="466">
        <v>36432</v>
      </c>
      <c r="H39" s="466"/>
      <c r="I39" s="466">
        <v>172946</v>
      </c>
      <c r="J39" s="467">
        <v>11791</v>
      </c>
      <c r="K39" s="466">
        <v>283532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12506041</v>
      </c>
      <c r="N40" s="497"/>
    </row>
    <row r="41" spans="1:14" ht="13.5" customHeight="1" thickBot="1" x14ac:dyDescent="0.25">
      <c r="A41" s="1736" t="s">
        <v>655</v>
      </c>
      <c r="B41" s="1706"/>
      <c r="C41" s="1688">
        <f>(SUM(C34,C37,C38,C39))</f>
        <v>32789</v>
      </c>
      <c r="D41" s="1688">
        <f t="shared" ref="D41:L41" si="2">SUM(D34,D37,D38:D39)</f>
        <v>455896</v>
      </c>
      <c r="E41" s="1688">
        <f t="shared" si="2"/>
        <v>66633</v>
      </c>
      <c r="F41" s="1688">
        <f t="shared" si="2"/>
        <v>277555</v>
      </c>
      <c r="G41" s="1688">
        <f t="shared" si="2"/>
        <v>70347</v>
      </c>
      <c r="H41" s="1688">
        <f t="shared" si="2"/>
        <v>3506</v>
      </c>
      <c r="I41" s="1688">
        <f t="shared" si="2"/>
        <v>172946</v>
      </c>
      <c r="J41" s="1688">
        <f t="shared" si="2"/>
        <v>11791</v>
      </c>
      <c r="K41" s="1688">
        <f t="shared" si="2"/>
        <v>283532</v>
      </c>
      <c r="L41" s="1688">
        <f t="shared" si="2"/>
        <v>89359</v>
      </c>
      <c r="M41" s="1688">
        <f>SUM(M40)</f>
        <v>12506041</v>
      </c>
      <c r="N41" s="1688">
        <f>SUM(N37)</f>
        <v>295345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Normal="100" zoomScaleSheetLayoutView="100" workbookViewId="0">
      <pane ySplit="2" topLeftCell="A75" activePane="bottomLeft" state="frozen"/>
      <selection pane="bottomLeft" activeCell="D73" sqref="D7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2196222</v>
      </c>
      <c r="D4" s="1742">
        <f>'Revenues 9-14'!D109</f>
        <v>200218</v>
      </c>
      <c r="E4" s="1742">
        <f>'Revenues 9-14'!E109</f>
        <v>627955</v>
      </c>
      <c r="F4" s="1742">
        <f>'Revenues 9-14'!F109</f>
        <v>122946</v>
      </c>
      <c r="G4" s="1742">
        <f>'Revenues 9-14'!G109</f>
        <v>201004</v>
      </c>
      <c r="H4" s="1742">
        <f>'Revenues 9-14'!H109</f>
        <v>0</v>
      </c>
      <c r="I4" s="1742">
        <f>'Revenues 9-14'!I109</f>
        <v>24610</v>
      </c>
      <c r="J4" s="1742">
        <f>'Revenues 9-14'!J109</f>
        <v>121139</v>
      </c>
      <c r="K4" s="1742">
        <f>'Revenues 9-14'!K109</f>
        <v>30609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1733513</v>
      </c>
      <c r="D6" s="1743">
        <f>'Revenues 9-14'!D170</f>
        <v>0</v>
      </c>
      <c r="E6" s="1743">
        <f>'Revenues 9-14'!E170</f>
        <v>0</v>
      </c>
      <c r="F6" s="1743">
        <f>'Revenues 9-14'!F170</f>
        <v>125833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397780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4327515</v>
      </c>
      <c r="D8" s="1688">
        <f t="shared" ref="D8:K8" si="0">SUM(D4:D7)</f>
        <v>200218</v>
      </c>
      <c r="E8" s="1688">
        <f t="shared" si="0"/>
        <v>627955</v>
      </c>
      <c r="F8" s="1688">
        <f t="shared" si="0"/>
        <v>248779</v>
      </c>
      <c r="G8" s="1688">
        <f t="shared" si="0"/>
        <v>201004</v>
      </c>
      <c r="H8" s="1688">
        <f t="shared" si="0"/>
        <v>0</v>
      </c>
      <c r="I8" s="1688">
        <f t="shared" si="0"/>
        <v>24610</v>
      </c>
      <c r="J8" s="1688">
        <f t="shared" si="0"/>
        <v>121139</v>
      </c>
      <c r="K8" s="1688">
        <f t="shared" si="0"/>
        <v>30609</v>
      </c>
      <c r="L8" s="347"/>
    </row>
    <row r="9" spans="1:13" ht="15.75" thickTop="1" x14ac:dyDescent="0.2">
      <c r="A9" s="514" t="s">
        <v>1653</v>
      </c>
      <c r="B9" s="515">
        <v>3998</v>
      </c>
      <c r="C9" s="481">
        <v>1939730</v>
      </c>
      <c r="D9" s="516"/>
      <c r="E9" s="481"/>
      <c r="F9" s="481"/>
      <c r="G9" s="517"/>
      <c r="H9" s="481"/>
      <c r="I9" s="509" t="s">
        <v>1169</v>
      </c>
      <c r="J9" s="478"/>
      <c r="K9" s="481"/>
      <c r="L9" s="347"/>
    </row>
    <row r="10" spans="1:13" s="519" customFormat="1" ht="13.5" thickBot="1" x14ac:dyDescent="0.25">
      <c r="A10" s="1736" t="s">
        <v>1173</v>
      </c>
      <c r="B10" s="1709"/>
      <c r="C10" s="1688">
        <f>SUM(C8:C9)</f>
        <v>6267245</v>
      </c>
      <c r="D10" s="1688">
        <f t="shared" ref="D10:K10" si="1">SUM(D8:D9)</f>
        <v>200218</v>
      </c>
      <c r="E10" s="1688">
        <f t="shared" si="1"/>
        <v>627955</v>
      </c>
      <c r="F10" s="1688">
        <f t="shared" si="1"/>
        <v>248779</v>
      </c>
      <c r="G10" s="1688">
        <f t="shared" si="1"/>
        <v>201004</v>
      </c>
      <c r="H10" s="1688">
        <f t="shared" si="1"/>
        <v>0</v>
      </c>
      <c r="I10" s="1688">
        <f t="shared" si="1"/>
        <v>24610</v>
      </c>
      <c r="J10" s="1688">
        <f t="shared" si="1"/>
        <v>121139</v>
      </c>
      <c r="K10" s="1688">
        <f t="shared" si="1"/>
        <v>30609</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2956744</v>
      </c>
      <c r="D12" s="520" t="s">
        <v>1169</v>
      </c>
      <c r="E12" s="468" t="s">
        <v>1169</v>
      </c>
      <c r="F12" s="468" t="s">
        <v>1169</v>
      </c>
      <c r="G12" s="1742">
        <f>'Expenditures 15-22'!K229</f>
        <v>71482</v>
      </c>
      <c r="H12" s="521"/>
      <c r="I12" s="468" t="s">
        <v>1169</v>
      </c>
      <c r="J12" s="468" t="s">
        <v>1169</v>
      </c>
      <c r="K12" s="521" t="s">
        <v>1169</v>
      </c>
      <c r="L12" s="347"/>
    </row>
    <row r="13" spans="1:13" ht="15.75" customHeight="1" x14ac:dyDescent="0.2">
      <c r="A13" s="1576" t="s">
        <v>457</v>
      </c>
      <c r="B13" s="1578">
        <v>2000</v>
      </c>
      <c r="C13" s="1743">
        <f>'Expenditures 15-22'!K74</f>
        <v>1005510</v>
      </c>
      <c r="D13" s="1743">
        <f>'Expenditures 15-22'!K129</f>
        <v>320728</v>
      </c>
      <c r="E13" s="469" t="s">
        <v>1169</v>
      </c>
      <c r="F13" s="1743">
        <f>'Expenditures 15-22'!K184</f>
        <v>255385</v>
      </c>
      <c r="G13" s="1743">
        <f>'Expenditures 15-22'!K279</f>
        <v>82101</v>
      </c>
      <c r="H13" s="1743">
        <f>'Expenditures 15-22'!K303</f>
        <v>0</v>
      </c>
      <c r="I13" s="468" t="s">
        <v>1169</v>
      </c>
      <c r="J13" s="1743">
        <f>'Expenditures 15-22'!K330</f>
        <v>199762</v>
      </c>
      <c r="K13" s="1747">
        <f>'Expenditures 15-22'!K352</f>
        <v>19376</v>
      </c>
      <c r="L13" s="347"/>
    </row>
    <row r="14" spans="1:13" ht="15.75" customHeight="1" x14ac:dyDescent="0.2">
      <c r="A14" s="1576" t="s">
        <v>449</v>
      </c>
      <c r="B14" s="1578">
        <v>3000</v>
      </c>
      <c r="C14" s="1743">
        <f>'Expenditures 15-22'!K75</f>
        <v>122775</v>
      </c>
      <c r="D14" s="1743">
        <f>'Expenditures 15-22'!K130</f>
        <v>0</v>
      </c>
      <c r="E14" s="520" t="s">
        <v>1169</v>
      </c>
      <c r="F14" s="1743">
        <f>'Expenditures 15-22'!K185</f>
        <v>0</v>
      </c>
      <c r="G14" s="1743">
        <f>'Expenditures 15-22'!K280</f>
        <v>18117</v>
      </c>
      <c r="H14" s="512"/>
      <c r="I14" s="468" t="s">
        <v>1169</v>
      </c>
      <c r="J14" s="468" t="s">
        <v>1169</v>
      </c>
      <c r="K14" s="512" t="s">
        <v>1169</v>
      </c>
      <c r="L14" s="347"/>
    </row>
    <row r="15" spans="1:13" ht="15.75" customHeight="1" x14ac:dyDescent="0.2">
      <c r="A15" s="1576" t="s">
        <v>107</v>
      </c>
      <c r="B15" s="1578">
        <v>4000</v>
      </c>
      <c r="C15" s="1743">
        <f>'Expenditures 15-22'!K102</f>
        <v>407798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658109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4492827</v>
      </c>
      <c r="D17" s="1688">
        <f t="shared" si="2"/>
        <v>320728</v>
      </c>
      <c r="E17" s="1688">
        <f t="shared" si="2"/>
        <v>658109</v>
      </c>
      <c r="F17" s="1688">
        <f t="shared" si="2"/>
        <v>255385</v>
      </c>
      <c r="G17" s="1688">
        <f t="shared" si="2"/>
        <v>171700</v>
      </c>
      <c r="H17" s="1688">
        <f t="shared" si="2"/>
        <v>0</v>
      </c>
      <c r="I17" s="468"/>
      <c r="J17" s="1688">
        <f>SUM(J12:J16)</f>
        <v>199762</v>
      </c>
      <c r="K17" s="1688">
        <f>SUM(K12:K16)</f>
        <v>19376</v>
      </c>
      <c r="L17" s="347"/>
    </row>
    <row r="18" spans="1:12" ht="15" customHeight="1" thickTop="1" x14ac:dyDescent="0.2">
      <c r="A18" s="1744" t="s">
        <v>1654</v>
      </c>
      <c r="B18" s="1745">
        <v>4180</v>
      </c>
      <c r="C18" s="1742">
        <f t="shared" ref="C18:H18" si="3">C9</f>
        <v>1939730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6432557</v>
      </c>
      <c r="D19" s="1688">
        <f t="shared" si="4"/>
        <v>320728</v>
      </c>
      <c r="E19" s="1688">
        <f t="shared" si="4"/>
        <v>658109</v>
      </c>
      <c r="F19" s="1688">
        <f t="shared" si="4"/>
        <v>255385</v>
      </c>
      <c r="G19" s="1688">
        <f t="shared" si="4"/>
        <v>171700</v>
      </c>
      <c r="H19" s="1688">
        <f t="shared" si="4"/>
        <v>0</v>
      </c>
      <c r="I19" s="468"/>
      <c r="J19" s="1688">
        <f>SUM(J17:J18)</f>
        <v>199762</v>
      </c>
      <c r="K19" s="1688">
        <f>SUM(K17:K18)</f>
        <v>19376</v>
      </c>
      <c r="L19" s="347"/>
    </row>
    <row r="20" spans="1:12" ht="16.5" thickTop="1" thickBot="1" x14ac:dyDescent="0.25">
      <c r="A20" s="2131" t="s">
        <v>1655</v>
      </c>
      <c r="B20" s="2132"/>
      <c r="C20" s="1746">
        <f>C8-C17</f>
        <v>-165312</v>
      </c>
      <c r="D20" s="1746">
        <f t="shared" ref="D20:K20" si="5">D8-D17</f>
        <v>-120510</v>
      </c>
      <c r="E20" s="1746">
        <f t="shared" si="5"/>
        <v>-30154</v>
      </c>
      <c r="F20" s="1746">
        <f t="shared" si="5"/>
        <v>-6606</v>
      </c>
      <c r="G20" s="1746">
        <f t="shared" si="5"/>
        <v>29304</v>
      </c>
      <c r="H20" s="1746">
        <f t="shared" si="5"/>
        <v>0</v>
      </c>
      <c r="I20" s="1746">
        <f t="shared" si="5"/>
        <v>24610</v>
      </c>
      <c r="J20" s="1746">
        <f t="shared" si="5"/>
        <v>-78623</v>
      </c>
      <c r="K20" s="1746">
        <f t="shared" si="5"/>
        <v>11233</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v>80000</v>
      </c>
      <c r="K25" s="467"/>
      <c r="L25" s="524"/>
    </row>
    <row r="26" spans="1:12" s="485" customFormat="1" ht="13.5" customHeight="1" x14ac:dyDescent="0.2">
      <c r="A26" s="1489" t="s">
        <v>184</v>
      </c>
      <c r="B26" s="483">
        <v>7120</v>
      </c>
      <c r="C26" s="467">
        <v>5893</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v>4529</v>
      </c>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110</v>
      </c>
      <c r="D36" s="467"/>
      <c r="E36" s="467"/>
      <c r="F36" s="467"/>
      <c r="G36" s="467"/>
      <c r="H36" s="467"/>
      <c r="I36" s="475"/>
      <c r="J36" s="467"/>
      <c r="K36" s="467"/>
      <c r="L36" s="524"/>
    </row>
    <row r="37" spans="1:12" s="485" customFormat="1" x14ac:dyDescent="0.2">
      <c r="A37" s="1489" t="s">
        <v>441</v>
      </c>
      <c r="B37" s="525">
        <v>7400</v>
      </c>
      <c r="C37" s="475"/>
      <c r="D37" s="475"/>
      <c r="E37" s="1743">
        <f>SUM(C54:D57,H54:H57)</f>
        <v>36300</v>
      </c>
      <c r="F37" s="475"/>
      <c r="G37" s="475"/>
      <c r="H37" s="475"/>
      <c r="I37" s="477"/>
      <c r="J37" s="475"/>
      <c r="K37" s="475"/>
      <c r="L37" s="524"/>
    </row>
    <row r="38" spans="1:12" s="485" customFormat="1" x14ac:dyDescent="0.2">
      <c r="A38" s="1489" t="s">
        <v>442</v>
      </c>
      <c r="B38" s="525">
        <v>7500</v>
      </c>
      <c r="C38" s="477"/>
      <c r="D38" s="477"/>
      <c r="E38" s="1743">
        <f>SUM(C58:D61,H58:H61)</f>
        <v>1809</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103119</v>
      </c>
      <c r="D43" s="467"/>
      <c r="E43" s="467"/>
      <c r="F43" s="467"/>
      <c r="G43" s="467"/>
      <c r="H43" s="467"/>
      <c r="I43" s="467"/>
      <c r="J43" s="467"/>
      <c r="K43" s="467"/>
      <c r="L43" s="524"/>
    </row>
    <row r="44" spans="1:12" s="485" customFormat="1" ht="13.5" customHeight="1" thickBot="1" x14ac:dyDescent="0.25">
      <c r="A44" s="2145" t="s">
        <v>374</v>
      </c>
      <c r="B44" s="2146"/>
      <c r="C44" s="1703">
        <f>SUM(C24:C43)</f>
        <v>113651</v>
      </c>
      <c r="D44" s="1703">
        <f t="shared" ref="D44:K44" si="6">SUM(D24:D43)</f>
        <v>0</v>
      </c>
      <c r="E44" s="1703">
        <f t="shared" si="6"/>
        <v>38109</v>
      </c>
      <c r="F44" s="1703">
        <f t="shared" si="6"/>
        <v>0</v>
      </c>
      <c r="G44" s="1703">
        <f t="shared" si="6"/>
        <v>0</v>
      </c>
      <c r="H44" s="1703">
        <f t="shared" si="6"/>
        <v>0</v>
      </c>
      <c r="I44" s="1703">
        <f t="shared" si="6"/>
        <v>0</v>
      </c>
      <c r="J44" s="1703">
        <f t="shared" si="6"/>
        <v>80000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80000</v>
      </c>
      <c r="J47" s="477"/>
      <c r="K47" s="477"/>
      <c r="L47" s="529"/>
    </row>
    <row r="48" spans="1:12" s="485" customFormat="1" ht="15" x14ac:dyDescent="0.2">
      <c r="A48" s="1490" t="s">
        <v>1660</v>
      </c>
      <c r="B48" s="483">
        <v>8120</v>
      </c>
      <c r="C48" s="480"/>
      <c r="D48" s="480"/>
      <c r="E48" s="477"/>
      <c r="F48" s="480"/>
      <c r="G48" s="477"/>
      <c r="H48" s="477"/>
      <c r="I48" s="1743">
        <f>SUM(C26:H26,J26,K26)</f>
        <v>5893</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v>4529</v>
      </c>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36300</v>
      </c>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v>1809</v>
      </c>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38109</v>
      </c>
      <c r="D76" s="1703">
        <f t="shared" si="7"/>
        <v>0</v>
      </c>
      <c r="E76" s="1703">
        <f t="shared" si="7"/>
        <v>4529</v>
      </c>
      <c r="F76" s="1703">
        <f t="shared" si="7"/>
        <v>0</v>
      </c>
      <c r="G76" s="1703">
        <f t="shared" si="7"/>
        <v>0</v>
      </c>
      <c r="H76" s="1703">
        <f t="shared" si="7"/>
        <v>0</v>
      </c>
      <c r="I76" s="1703">
        <f t="shared" si="7"/>
        <v>85893</v>
      </c>
      <c r="J76" s="1703">
        <f t="shared" si="7"/>
        <v>0</v>
      </c>
      <c r="K76" s="1703">
        <f t="shared" si="7"/>
        <v>0</v>
      </c>
      <c r="L76" s="524"/>
    </row>
    <row r="77" spans="1:12" ht="14.25" thickTop="1" thickBot="1" x14ac:dyDescent="0.25">
      <c r="A77" s="2123" t="s">
        <v>1177</v>
      </c>
      <c r="B77" s="2124"/>
      <c r="C77" s="1703">
        <f t="shared" ref="C77:K77" si="8">C44-C76</f>
        <v>75542</v>
      </c>
      <c r="D77" s="1703">
        <f t="shared" si="8"/>
        <v>0</v>
      </c>
      <c r="E77" s="1703">
        <f t="shared" si="8"/>
        <v>33580</v>
      </c>
      <c r="F77" s="1703">
        <f t="shared" si="8"/>
        <v>0</v>
      </c>
      <c r="G77" s="1703">
        <f t="shared" si="8"/>
        <v>0</v>
      </c>
      <c r="H77" s="1703">
        <f t="shared" si="8"/>
        <v>0</v>
      </c>
      <c r="I77" s="1703">
        <f t="shared" si="8"/>
        <v>-85893</v>
      </c>
      <c r="J77" s="1703">
        <f t="shared" si="8"/>
        <v>80000</v>
      </c>
      <c r="K77" s="1703">
        <f t="shared" si="8"/>
        <v>0</v>
      </c>
      <c r="L77" s="347"/>
    </row>
    <row r="78" spans="1:12" ht="21.75" customHeight="1" thickTop="1" thickBot="1" x14ac:dyDescent="0.25">
      <c r="A78" s="2127" t="s">
        <v>597</v>
      </c>
      <c r="B78" s="2128"/>
      <c r="C78" s="1702">
        <f t="shared" ref="C78:K78" si="9">C20+C77</f>
        <v>-89770</v>
      </c>
      <c r="D78" s="1702">
        <f t="shared" si="9"/>
        <v>-120510</v>
      </c>
      <c r="E78" s="1702">
        <f t="shared" si="9"/>
        <v>3426</v>
      </c>
      <c r="F78" s="1702">
        <f t="shared" si="9"/>
        <v>-6606</v>
      </c>
      <c r="G78" s="1702">
        <f t="shared" si="9"/>
        <v>29304</v>
      </c>
      <c r="H78" s="1702">
        <f t="shared" si="9"/>
        <v>0</v>
      </c>
      <c r="I78" s="1702">
        <f t="shared" si="9"/>
        <v>-61283</v>
      </c>
      <c r="J78" s="1702">
        <f t="shared" si="9"/>
        <v>1377</v>
      </c>
      <c r="K78" s="1702">
        <f t="shared" si="9"/>
        <v>11233</v>
      </c>
      <c r="L78" s="533"/>
    </row>
    <row r="79" spans="1:12" ht="13.5" thickTop="1" x14ac:dyDescent="0.2">
      <c r="A79" s="1494" t="s">
        <v>1949</v>
      </c>
      <c r="B79" s="534"/>
      <c r="C79" s="478">
        <v>122742</v>
      </c>
      <c r="D79" s="535">
        <v>576406</v>
      </c>
      <c r="E79" s="535">
        <v>63207</v>
      </c>
      <c r="F79" s="535">
        <v>284161</v>
      </c>
      <c r="G79" s="535">
        <v>41043</v>
      </c>
      <c r="H79" s="535">
        <v>3506</v>
      </c>
      <c r="I79" s="535">
        <v>234229</v>
      </c>
      <c r="J79" s="535">
        <v>10414</v>
      </c>
      <c r="K79" s="535">
        <v>272299</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1950</v>
      </c>
      <c r="B81" s="2126"/>
      <c r="C81" s="1688">
        <f>(SUM(C78:C80))</f>
        <v>32972</v>
      </c>
      <c r="D81" s="1688">
        <f>SUM(D78:D80)</f>
        <v>455896</v>
      </c>
      <c r="E81" s="1688">
        <f t="shared" ref="E81:K81" si="10">SUM(E78:E80)</f>
        <v>66633</v>
      </c>
      <c r="F81" s="1688">
        <f t="shared" si="10"/>
        <v>277555</v>
      </c>
      <c r="G81" s="1688">
        <f t="shared" si="10"/>
        <v>70347</v>
      </c>
      <c r="H81" s="1688">
        <f t="shared" si="10"/>
        <v>3506</v>
      </c>
      <c r="I81" s="1688">
        <f t="shared" si="10"/>
        <v>172946</v>
      </c>
      <c r="J81" s="1688">
        <f t="shared" si="10"/>
        <v>11791</v>
      </c>
      <c r="K81" s="1688">
        <f t="shared" si="10"/>
        <v>283532</v>
      </c>
      <c r="L81" s="347"/>
    </row>
    <row r="82" spans="1:12" ht="0.75" customHeight="1" thickTop="1" thickBot="1" x14ac:dyDescent="0.25">
      <c r="A82" s="536" t="s">
        <v>343</v>
      </c>
      <c r="B82" s="537"/>
      <c r="C82" s="538">
        <f>(C81-C79)</f>
        <v>-89770</v>
      </c>
      <c r="D82" s="538">
        <f t="shared" ref="D82:K82" si="11">(D81-D79)</f>
        <v>-120510</v>
      </c>
      <c r="E82" s="538">
        <f t="shared" si="11"/>
        <v>3426</v>
      </c>
      <c r="F82" s="538">
        <f t="shared" si="11"/>
        <v>-6606</v>
      </c>
      <c r="G82" s="538">
        <f t="shared" si="11"/>
        <v>29304</v>
      </c>
      <c r="H82" s="538">
        <f t="shared" si="11"/>
        <v>0</v>
      </c>
      <c r="I82" s="538">
        <f t="shared" si="11"/>
        <v>-61283</v>
      </c>
      <c r="J82" s="538">
        <f t="shared" si="11"/>
        <v>1377</v>
      </c>
      <c r="K82" s="538">
        <f t="shared" si="11"/>
        <v>11233</v>
      </c>
    </row>
    <row r="83" spans="1:12" ht="14.25" hidden="1" thickTop="1" thickBot="1" x14ac:dyDescent="0.25">
      <c r="A83" s="539" t="s">
        <v>344</v>
      </c>
      <c r="B83" s="464"/>
      <c r="C83" s="540">
        <f>C82/C81</f>
        <v>-2.7226131262889726</v>
      </c>
      <c r="D83" s="540">
        <f t="shared" ref="D83:K83" si="12">D82/D81</f>
        <v>-0.26433660308491408</v>
      </c>
      <c r="E83" s="540">
        <f t="shared" si="12"/>
        <v>5.1415965062356489E-2</v>
      </c>
      <c r="F83" s="540">
        <f t="shared" si="12"/>
        <v>-2.3800688151897821E-2</v>
      </c>
      <c r="G83" s="540">
        <f t="shared" si="12"/>
        <v>0.41656360612392851</v>
      </c>
      <c r="H83" s="540">
        <f t="shared" si="12"/>
        <v>0</v>
      </c>
      <c r="I83" s="540">
        <f t="shared" si="12"/>
        <v>-0.35434759982884834</v>
      </c>
      <c r="J83" s="540">
        <f t="shared" si="12"/>
        <v>0.1167839877872954</v>
      </c>
      <c r="K83" s="540">
        <f t="shared" si="12"/>
        <v>3.9618103071258272E-2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90" activePane="bottomLeft" state="frozen"/>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1610103</v>
      </c>
      <c r="D5" s="481">
        <v>188521</v>
      </c>
      <c r="E5" s="466">
        <v>623426</v>
      </c>
      <c r="F5" s="548">
        <v>115631</v>
      </c>
      <c r="G5" s="466">
        <v>83684</v>
      </c>
      <c r="H5" s="466"/>
      <c r="I5" s="466">
        <v>18717</v>
      </c>
      <c r="J5" s="467">
        <v>119606</v>
      </c>
      <c r="K5" s="466">
        <v>27696</v>
      </c>
    </row>
    <row r="6" spans="1:12" ht="15" x14ac:dyDescent="0.2">
      <c r="A6" s="463" t="s">
        <v>1662</v>
      </c>
      <c r="B6" s="470">
        <v>1130</v>
      </c>
      <c r="C6" s="466">
        <v>28967</v>
      </c>
      <c r="D6" s="466"/>
      <c r="E6" s="475"/>
      <c r="F6" s="475"/>
      <c r="G6" s="468"/>
      <c r="H6" s="468"/>
      <c r="I6" s="468"/>
      <c r="J6" s="468"/>
      <c r="K6" s="468"/>
    </row>
    <row r="7" spans="1:12" x14ac:dyDescent="0.2">
      <c r="A7" s="463" t="s">
        <v>110</v>
      </c>
      <c r="B7" s="549">
        <v>1140</v>
      </c>
      <c r="C7" s="466">
        <v>23160</v>
      </c>
      <c r="D7" s="466"/>
      <c r="E7" s="468"/>
      <c r="F7" s="467"/>
      <c r="G7" s="467"/>
      <c r="H7" s="467"/>
      <c r="I7" s="468"/>
      <c r="J7" s="468"/>
      <c r="K7" s="468"/>
    </row>
    <row r="8" spans="1:12" x14ac:dyDescent="0.2">
      <c r="A8" s="463" t="s">
        <v>413</v>
      </c>
      <c r="B8" s="470">
        <v>1150</v>
      </c>
      <c r="C8" s="475"/>
      <c r="D8" s="475"/>
      <c r="E8" s="477"/>
      <c r="F8" s="477"/>
      <c r="G8" s="481">
        <v>109915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1662230</v>
      </c>
      <c r="D12" s="1707">
        <f t="shared" si="0"/>
        <v>188521</v>
      </c>
      <c r="E12" s="1707">
        <f t="shared" si="0"/>
        <v>623426</v>
      </c>
      <c r="F12" s="1707">
        <f t="shared" si="0"/>
        <v>115631</v>
      </c>
      <c r="G12" s="1707">
        <f t="shared" si="0"/>
        <v>193599</v>
      </c>
      <c r="H12" s="1707">
        <f t="shared" si="0"/>
        <v>0</v>
      </c>
      <c r="I12" s="1707">
        <f t="shared" si="0"/>
        <v>18717</v>
      </c>
      <c r="J12" s="1707">
        <f t="shared" si="0"/>
        <v>119606</v>
      </c>
      <c r="K12" s="1688">
        <f t="shared" si="0"/>
        <v>27696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49520</v>
      </c>
      <c r="D16" s="466"/>
      <c r="E16" s="466"/>
      <c r="F16" s="466"/>
      <c r="G16" s="466">
        <v>5898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49520</v>
      </c>
      <c r="D18" s="1710">
        <f t="shared" ref="D18:K18" si="1">SUM(D14:D17)</f>
        <v>0</v>
      </c>
      <c r="E18" s="1710">
        <f t="shared" si="1"/>
        <v>0</v>
      </c>
      <c r="F18" s="1710">
        <f t="shared" si="1"/>
        <v>0</v>
      </c>
      <c r="G18" s="1710">
        <f t="shared" si="1"/>
        <v>5898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2143</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2143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3404</v>
      </c>
      <c r="D65" s="466">
        <v>7517</v>
      </c>
      <c r="E65" s="466">
        <v>4529</v>
      </c>
      <c r="F65" s="467">
        <v>3794</v>
      </c>
      <c r="G65" s="466">
        <v>1507</v>
      </c>
      <c r="H65" s="466"/>
      <c r="I65" s="466">
        <v>5893</v>
      </c>
      <c r="J65" s="467">
        <v>1533</v>
      </c>
      <c r="K65" s="466">
        <v>2913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3404</v>
      </c>
      <c r="D67" s="1688">
        <f t="shared" ref="D67:K67" si="2">SUM(D65:D66)</f>
        <v>7517</v>
      </c>
      <c r="E67" s="1688">
        <f t="shared" si="2"/>
        <v>4529</v>
      </c>
      <c r="F67" s="1688">
        <f t="shared" si="2"/>
        <v>3794</v>
      </c>
      <c r="G67" s="1688">
        <f t="shared" si="2"/>
        <v>1507</v>
      </c>
      <c r="H67" s="1688">
        <f t="shared" si="2"/>
        <v>0</v>
      </c>
      <c r="I67" s="1688">
        <f t="shared" si="2"/>
        <v>5893</v>
      </c>
      <c r="J67" s="1688">
        <f t="shared" si="2"/>
        <v>1533</v>
      </c>
      <c r="K67" s="1688">
        <f t="shared" si="2"/>
        <v>2913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113336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3965</v>
      </c>
      <c r="D72" s="468"/>
      <c r="E72" s="468"/>
      <c r="F72" s="468"/>
      <c r="G72" s="468"/>
      <c r="H72" s="468"/>
      <c r="I72" s="468"/>
      <c r="J72" s="468"/>
      <c r="K72" s="468"/>
    </row>
    <row r="73" spans="1:11" ht="12.75" customHeight="1" x14ac:dyDescent="0.2">
      <c r="A73" s="463" t="s">
        <v>998</v>
      </c>
      <c r="B73" s="470">
        <v>1620</v>
      </c>
      <c r="C73" s="551">
        <v>3303</v>
      </c>
      <c r="D73" s="468"/>
      <c r="E73" s="468"/>
      <c r="F73" s="468"/>
      <c r="G73" s="468"/>
      <c r="H73" s="468"/>
      <c r="I73" s="468"/>
      <c r="J73" s="468"/>
      <c r="K73" s="468"/>
    </row>
    <row r="74" spans="1:11" ht="12.75" customHeight="1" x14ac:dyDescent="0.2">
      <c r="A74" s="463" t="s">
        <v>25</v>
      </c>
      <c r="B74" s="470">
        <v>1690</v>
      </c>
      <c r="C74" s="551">
        <v>1143</v>
      </c>
      <c r="D74" s="468"/>
      <c r="E74" s="468"/>
      <c r="F74" s="468"/>
      <c r="G74" s="468"/>
      <c r="H74" s="468"/>
      <c r="I74" s="468"/>
      <c r="J74" s="468"/>
      <c r="K74" s="468"/>
    </row>
    <row r="75" spans="1:11" ht="12.75" customHeight="1" thickBot="1" x14ac:dyDescent="0.25">
      <c r="A75" s="1708" t="s">
        <v>548</v>
      </c>
      <c r="B75" s="1709"/>
      <c r="C75" s="1688">
        <f>SUM(C69:C74)</f>
        <v>121747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20265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27439</v>
      </c>
      <c r="D79" s="466"/>
      <c r="E79" s="468"/>
      <c r="F79" s="468"/>
      <c r="G79" s="468"/>
      <c r="H79" s="468"/>
      <c r="I79" s="468"/>
      <c r="J79" s="468"/>
      <c r="K79" s="468"/>
    </row>
    <row r="80" spans="1:11" ht="12.75" customHeight="1" x14ac:dyDescent="0.2">
      <c r="A80" s="463" t="s">
        <v>551</v>
      </c>
      <c r="B80" s="470">
        <v>1730</v>
      </c>
      <c r="C80" s="551">
        <v>1848</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49552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17289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195</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17484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9643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10471</v>
      </c>
      <c r="D99" s="466"/>
      <c r="E99" s="466"/>
      <c r="F99" s="466"/>
      <c r="G99" s="466"/>
      <c r="H99" s="466"/>
      <c r="I99" s="468"/>
      <c r="J99" s="467"/>
      <c r="K99" s="466"/>
    </row>
    <row r="100" spans="1:12" ht="12.75" customHeight="1" x14ac:dyDescent="0.2">
      <c r="A100" s="463" t="s">
        <v>245</v>
      </c>
      <c r="B100" s="470">
        <v>1960</v>
      </c>
      <c r="C100" s="489">
        <v>108218</v>
      </c>
      <c r="D100" s="489">
        <v>4180</v>
      </c>
      <c r="E100" s="489"/>
      <c r="F100" s="489"/>
      <c r="G100" s="489"/>
      <c r="H100" s="489"/>
      <c r="I100" s="467"/>
      <c r="J100" s="489"/>
      <c r="K100" s="467"/>
    </row>
    <row r="101" spans="1:12" ht="12.75" customHeight="1" x14ac:dyDescent="0.2">
      <c r="A101" s="463" t="s">
        <v>246</v>
      </c>
      <c r="B101" s="470">
        <v>1970</v>
      </c>
      <c r="C101" s="489">
        <v>5290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134065</v>
      </c>
      <c r="D106" s="489"/>
      <c r="E106" s="467"/>
      <c r="F106" s="467"/>
      <c r="G106" s="467"/>
      <c r="H106" s="467"/>
      <c r="I106" s="521"/>
      <c r="J106" s="467"/>
      <c r="K106" s="467"/>
    </row>
    <row r="107" spans="1:12" ht="12.75" customHeight="1" x14ac:dyDescent="0.2">
      <c r="A107" s="463" t="s">
        <v>78</v>
      </c>
      <c r="B107" s="470">
        <v>1999</v>
      </c>
      <c r="C107" s="551">
        <v>24598</v>
      </c>
      <c r="D107" s="466"/>
      <c r="E107" s="466"/>
      <c r="F107" s="466">
        <v>1378</v>
      </c>
      <c r="G107" s="466"/>
      <c r="H107" s="466"/>
      <c r="I107" s="466"/>
      <c r="J107" s="467"/>
      <c r="K107" s="466"/>
    </row>
    <row r="108" spans="1:12" ht="12.75" customHeight="1" thickBot="1" x14ac:dyDescent="0.25">
      <c r="A108" s="1708" t="s">
        <v>487</v>
      </c>
      <c r="B108" s="1712"/>
      <c r="C108" s="1707">
        <f>SUM(C95:C107)</f>
        <v>292285</v>
      </c>
      <c r="D108" s="1707">
        <f t="shared" ref="D108:K108" si="3">SUM(D95:D107)</f>
        <v>4180</v>
      </c>
      <c r="E108" s="1707">
        <f t="shared" si="3"/>
        <v>0</v>
      </c>
      <c r="F108" s="1707">
        <f t="shared" si="3"/>
        <v>1378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2196222</v>
      </c>
      <c r="D109" s="1715">
        <f t="shared" si="4"/>
        <v>200218</v>
      </c>
      <c r="E109" s="1715">
        <f t="shared" si="4"/>
        <v>627955</v>
      </c>
      <c r="F109" s="1715">
        <f t="shared" si="4"/>
        <v>122946</v>
      </c>
      <c r="G109" s="1715">
        <f t="shared" si="4"/>
        <v>201004</v>
      </c>
      <c r="H109" s="1715">
        <f t="shared" si="4"/>
        <v>0</v>
      </c>
      <c r="I109" s="1715">
        <f t="shared" si="4"/>
        <v>24610</v>
      </c>
      <c r="J109" s="1715">
        <f t="shared" si="4"/>
        <v>121139</v>
      </c>
      <c r="K109" s="1702">
        <f t="shared" si="4"/>
        <v>30609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1674653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1674653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15472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15472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902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9533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10435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1082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6588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79182</v>
      </c>
      <c r="G152" s="467"/>
      <c r="H152" s="468"/>
      <c r="I152" s="468"/>
      <c r="J152" s="468"/>
      <c r="K152" s="468"/>
    </row>
    <row r="153" spans="1:11" ht="12.75" customHeight="1" x14ac:dyDescent="0.2">
      <c r="A153" s="463" t="s">
        <v>1057</v>
      </c>
      <c r="B153" s="562">
        <v>3510</v>
      </c>
      <c r="C153" s="551"/>
      <c r="D153" s="466"/>
      <c r="E153" s="561"/>
      <c r="F153" s="466">
        <v>46651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125833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23820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1463</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58860</v>
      </c>
      <c r="D169" s="1722">
        <f t="shared" si="6"/>
        <v>0</v>
      </c>
      <c r="E169" s="1722">
        <f t="shared" si="6"/>
        <v>0</v>
      </c>
      <c r="F169" s="1722">
        <f t="shared" si="6"/>
        <v>125833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1733513</v>
      </c>
      <c r="D170" s="1715">
        <f t="shared" si="7"/>
        <v>0</v>
      </c>
      <c r="E170" s="1715">
        <f t="shared" si="7"/>
        <v>0</v>
      </c>
      <c r="F170" s="1715">
        <f t="shared" si="7"/>
        <v>125833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36940</v>
      </c>
      <c r="D180" s="466"/>
      <c r="E180" s="468"/>
      <c r="F180" s="466"/>
      <c r="G180" s="466"/>
      <c r="H180" s="466"/>
      <c r="I180" s="468"/>
      <c r="J180" s="468"/>
      <c r="K180" s="466"/>
    </row>
    <row r="181" spans="1:11" ht="13.5" thickBot="1" x14ac:dyDescent="0.25">
      <c r="A181" s="2157" t="s">
        <v>785</v>
      </c>
      <c r="B181" s="2158"/>
      <c r="C181" s="1707">
        <f>SUM(C177:C180)</f>
        <v>36940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63791</v>
      </c>
      <c r="D191" s="468"/>
      <c r="E191" s="561"/>
      <c r="F191" s="468"/>
      <c r="G191" s="585"/>
      <c r="H191" s="468"/>
      <c r="I191" s="468"/>
      <c r="J191" s="468"/>
      <c r="K191" s="468"/>
    </row>
    <row r="192" spans="1:11" ht="12.75" customHeight="1" x14ac:dyDescent="0.2">
      <c r="A192" s="463" t="s">
        <v>1047</v>
      </c>
      <c r="B192" s="470">
        <v>4215</v>
      </c>
      <c r="C192" s="551">
        <v>407</v>
      </c>
      <c r="D192" s="468"/>
      <c r="E192" s="561"/>
      <c r="F192" s="468"/>
      <c r="G192" s="585"/>
      <c r="H192" s="468"/>
      <c r="I192" s="468"/>
      <c r="J192" s="468"/>
      <c r="K192" s="468"/>
    </row>
    <row r="193" spans="1:11" ht="12.75" customHeight="1" x14ac:dyDescent="0.2">
      <c r="A193" s="463" t="s">
        <v>1059</v>
      </c>
      <c r="B193" s="470">
        <v>4220</v>
      </c>
      <c r="C193" s="551">
        <v>7702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71900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77058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77058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9039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88965</v>
      </c>
      <c r="D213" s="466"/>
      <c r="E213" s="468"/>
      <c r="F213" s="466"/>
      <c r="G213" s="466"/>
      <c r="H213" s="468"/>
      <c r="I213" s="468"/>
      <c r="J213" s="468"/>
      <c r="K213" s="468"/>
    </row>
    <row r="214" spans="1:11" ht="12.75" customHeight="1" x14ac:dyDescent="0.2">
      <c r="A214" s="463" t="s">
        <v>1054</v>
      </c>
      <c r="B214" s="470">
        <v>4625</v>
      </c>
      <c r="C214" s="551">
        <v>97709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195713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4848</v>
      </c>
      <c r="D263" s="576"/>
      <c r="E263" s="468"/>
      <c r="F263" s="576"/>
      <c r="G263" s="576"/>
      <c r="H263" s="468"/>
      <c r="I263" s="468"/>
      <c r="J263" s="468"/>
      <c r="K263" s="468"/>
    </row>
    <row r="264" spans="1:11" ht="12.75" customHeight="1" thickTop="1" thickBot="1" x14ac:dyDescent="0.25">
      <c r="A264" s="463" t="s">
        <v>377</v>
      </c>
      <c r="B264" s="470">
        <v>4992</v>
      </c>
      <c r="C264" s="575">
        <v>11321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360840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397780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4327515</v>
      </c>
      <c r="D268" s="1715">
        <f t="shared" si="12"/>
        <v>200218</v>
      </c>
      <c r="E268" s="1715">
        <f t="shared" si="12"/>
        <v>627955</v>
      </c>
      <c r="F268" s="1715">
        <f t="shared" si="12"/>
        <v>248779</v>
      </c>
      <c r="G268" s="1715">
        <f t="shared" si="12"/>
        <v>201004</v>
      </c>
      <c r="H268" s="1715">
        <f t="shared" si="12"/>
        <v>0</v>
      </c>
      <c r="I268" s="1715">
        <f t="shared" si="12"/>
        <v>24610</v>
      </c>
      <c r="J268" s="1715">
        <f t="shared" si="12"/>
        <v>121139</v>
      </c>
      <c r="K268" s="1702">
        <f t="shared" si="12"/>
        <v>30609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0" activePane="bottomLeft" state="frozen"/>
      <selection pane="bottomLeft" activeCell="H23" sqref="H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1521322</v>
      </c>
      <c r="D5" s="466">
        <v>430996</v>
      </c>
      <c r="E5" s="466">
        <v>12656</v>
      </c>
      <c r="F5" s="466">
        <v>95865</v>
      </c>
      <c r="G5" s="466">
        <v>25278</v>
      </c>
      <c r="H5" s="466"/>
      <c r="I5" s="467"/>
      <c r="J5" s="467"/>
      <c r="K5" s="1671">
        <f>SUM(C5:J5)</f>
        <v>2086117</v>
      </c>
      <c r="L5" s="466">
        <v>2090350</v>
      </c>
    </row>
    <row r="6" spans="1:14" x14ac:dyDescent="0.2">
      <c r="A6" s="1504" t="s">
        <v>1433</v>
      </c>
      <c r="B6" s="614" t="s">
        <v>1431</v>
      </c>
      <c r="C6" s="477"/>
      <c r="D6" s="477"/>
      <c r="E6" s="466"/>
      <c r="F6" s="477"/>
      <c r="G6" s="477"/>
      <c r="H6" s="477"/>
      <c r="I6" s="477"/>
      <c r="J6" s="477"/>
      <c r="K6" s="1671">
        <f>SUM(C6,E6)</f>
        <v>0</v>
      </c>
      <c r="L6" s="466">
        <v>800</v>
      </c>
    </row>
    <row r="7" spans="1:14" x14ac:dyDescent="0.2">
      <c r="A7" s="1504" t="s">
        <v>163</v>
      </c>
      <c r="B7" s="614" t="s">
        <v>967</v>
      </c>
      <c r="C7" s="467">
        <v>30462</v>
      </c>
      <c r="D7" s="467">
        <v>6666</v>
      </c>
      <c r="E7" s="467">
        <v>66</v>
      </c>
      <c r="F7" s="467">
        <v>310</v>
      </c>
      <c r="G7" s="467"/>
      <c r="H7" s="467"/>
      <c r="I7" s="467"/>
      <c r="J7" s="467"/>
      <c r="K7" s="1671">
        <f t="shared" ref="K7:K32" si="0">SUM(C7:J7)</f>
        <v>37504</v>
      </c>
      <c r="L7" s="466">
        <v>38050</v>
      </c>
    </row>
    <row r="8" spans="1:14" x14ac:dyDescent="0.2">
      <c r="A8" s="1504" t="s">
        <v>164</v>
      </c>
      <c r="B8" s="614">
        <v>1200</v>
      </c>
      <c r="C8" s="466">
        <v>293090</v>
      </c>
      <c r="D8" s="466">
        <v>38886</v>
      </c>
      <c r="E8" s="466">
        <v>61913</v>
      </c>
      <c r="F8" s="466">
        <v>1698</v>
      </c>
      <c r="G8" s="466"/>
      <c r="H8" s="466"/>
      <c r="I8" s="467"/>
      <c r="J8" s="467"/>
      <c r="K8" s="1671">
        <f t="shared" si="0"/>
        <v>395587</v>
      </c>
      <c r="L8" s="466">
        <v>396400</v>
      </c>
    </row>
    <row r="9" spans="1:14" x14ac:dyDescent="0.2">
      <c r="A9" s="1504" t="s">
        <v>721</v>
      </c>
      <c r="B9" s="614" t="s">
        <v>968</v>
      </c>
      <c r="C9" s="467">
        <v>18903</v>
      </c>
      <c r="D9" s="467">
        <v>6659</v>
      </c>
      <c r="E9" s="467"/>
      <c r="F9" s="467"/>
      <c r="G9" s="467"/>
      <c r="H9" s="467"/>
      <c r="I9" s="467"/>
      <c r="J9" s="467"/>
      <c r="K9" s="1671">
        <f t="shared" si="0"/>
        <v>25562</v>
      </c>
      <c r="L9" s="466">
        <v>26050</v>
      </c>
    </row>
    <row r="10" spans="1:14" x14ac:dyDescent="0.2">
      <c r="A10" s="1504" t="s">
        <v>722</v>
      </c>
      <c r="B10" s="614">
        <v>1250</v>
      </c>
      <c r="C10" s="466">
        <v>71727</v>
      </c>
      <c r="D10" s="466">
        <v>17903</v>
      </c>
      <c r="E10" s="466"/>
      <c r="F10" s="466">
        <v>577</v>
      </c>
      <c r="G10" s="466"/>
      <c r="H10" s="466"/>
      <c r="I10" s="467"/>
      <c r="J10" s="467"/>
      <c r="K10" s="1671">
        <f t="shared" si="0"/>
        <v>90207</v>
      </c>
      <c r="L10" s="466">
        <v>90500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103584</v>
      </c>
      <c r="D13" s="466">
        <v>30132</v>
      </c>
      <c r="E13" s="466">
        <v>11103</v>
      </c>
      <c r="F13" s="466">
        <v>4143</v>
      </c>
      <c r="G13" s="466"/>
      <c r="H13" s="466">
        <v>10078</v>
      </c>
      <c r="I13" s="467"/>
      <c r="J13" s="467"/>
      <c r="K13" s="1671">
        <f t="shared" si="0"/>
        <v>159040</v>
      </c>
      <c r="L13" s="466">
        <v>159825</v>
      </c>
    </row>
    <row r="14" spans="1:14" x14ac:dyDescent="0.2">
      <c r="A14" s="1504" t="s">
        <v>963</v>
      </c>
      <c r="B14" s="614">
        <v>1500</v>
      </c>
      <c r="C14" s="466">
        <v>68545</v>
      </c>
      <c r="D14" s="466">
        <v>2107</v>
      </c>
      <c r="E14" s="466">
        <v>32862</v>
      </c>
      <c r="F14" s="466">
        <v>10814</v>
      </c>
      <c r="G14" s="466"/>
      <c r="H14" s="466"/>
      <c r="I14" s="467"/>
      <c r="J14" s="467"/>
      <c r="K14" s="1671">
        <f t="shared" si="0"/>
        <v>114328</v>
      </c>
      <c r="L14" s="466">
        <v>115425</v>
      </c>
    </row>
    <row r="15" spans="1:14" x14ac:dyDescent="0.2">
      <c r="A15" s="1504" t="s">
        <v>964</v>
      </c>
      <c r="B15" s="614">
        <v>1600</v>
      </c>
      <c r="C15" s="466">
        <v>1995</v>
      </c>
      <c r="D15" s="466">
        <v>257</v>
      </c>
      <c r="E15" s="466"/>
      <c r="F15" s="466"/>
      <c r="G15" s="466"/>
      <c r="H15" s="466"/>
      <c r="I15" s="467"/>
      <c r="J15" s="467"/>
      <c r="K15" s="1671">
        <f t="shared" si="0"/>
        <v>2252</v>
      </c>
      <c r="L15" s="466">
        <v>2275</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v>31587</v>
      </c>
      <c r="D17" s="467">
        <v>8768</v>
      </c>
      <c r="E17" s="467">
        <v>3792</v>
      </c>
      <c r="F17" s="467"/>
      <c r="G17" s="467"/>
      <c r="H17" s="467"/>
      <c r="I17" s="467"/>
      <c r="J17" s="467"/>
      <c r="K17" s="1671">
        <f t="shared" si="0"/>
        <v>44147</v>
      </c>
      <c r="L17" s="466">
        <v>44275</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v>2000</v>
      </c>
      <c r="I32" s="616"/>
      <c r="J32" s="480"/>
      <c r="K32" s="1671">
        <f t="shared" si="0"/>
        <v>2000</v>
      </c>
      <c r="L32" s="471">
        <v>2000</v>
      </c>
    </row>
    <row r="33" spans="1:14" ht="12.75" customHeight="1" thickBot="1" x14ac:dyDescent="0.25">
      <c r="A33" s="1668" t="s">
        <v>1668</v>
      </c>
      <c r="B33" s="1669" t="s">
        <v>570</v>
      </c>
      <c r="C33" s="1670">
        <f>SUM(C5:C32)</f>
        <v>2141215</v>
      </c>
      <c r="D33" s="1670">
        <f t="shared" ref="D33:L33" si="1">SUM(D5:D32)</f>
        <v>542374</v>
      </c>
      <c r="E33" s="1670">
        <f t="shared" si="1"/>
        <v>122392</v>
      </c>
      <c r="F33" s="1670">
        <f t="shared" si="1"/>
        <v>113407</v>
      </c>
      <c r="G33" s="1670">
        <f t="shared" si="1"/>
        <v>25278</v>
      </c>
      <c r="H33" s="1670">
        <f t="shared" si="1"/>
        <v>12078</v>
      </c>
      <c r="I33" s="1670">
        <f t="shared" si="1"/>
        <v>0</v>
      </c>
      <c r="J33" s="1670">
        <f t="shared" si="1"/>
        <v>0</v>
      </c>
      <c r="K33" s="1670">
        <f t="shared" si="1"/>
        <v>2956744</v>
      </c>
      <c r="L33" s="1670">
        <f t="shared" si="1"/>
        <v>2965950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v>41056</v>
      </c>
      <c r="D37" s="466">
        <v>13773</v>
      </c>
      <c r="E37" s="466">
        <v>495</v>
      </c>
      <c r="F37" s="466"/>
      <c r="G37" s="466"/>
      <c r="H37" s="466"/>
      <c r="I37" s="467"/>
      <c r="J37" s="467"/>
      <c r="K37" s="1671">
        <f t="shared" si="2"/>
        <v>55324</v>
      </c>
      <c r="L37" s="466">
        <v>55475</v>
      </c>
    </row>
    <row r="38" spans="1:14" x14ac:dyDescent="0.2">
      <c r="A38" s="1504" t="s">
        <v>198</v>
      </c>
      <c r="B38" s="614">
        <v>2130</v>
      </c>
      <c r="C38" s="466">
        <v>46496</v>
      </c>
      <c r="D38" s="466">
        <v>10518</v>
      </c>
      <c r="E38" s="466">
        <v>793</v>
      </c>
      <c r="F38" s="466">
        <v>270</v>
      </c>
      <c r="G38" s="466"/>
      <c r="H38" s="466"/>
      <c r="I38" s="467"/>
      <c r="J38" s="467"/>
      <c r="K38" s="1671">
        <f t="shared" si="2"/>
        <v>58077</v>
      </c>
      <c r="L38" s="466">
        <v>58400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v>86424</v>
      </c>
      <c r="F40" s="466"/>
      <c r="G40" s="466"/>
      <c r="H40" s="466"/>
      <c r="I40" s="467"/>
      <c r="J40" s="467"/>
      <c r="K40" s="1671">
        <f t="shared" si="2"/>
        <v>86424</v>
      </c>
      <c r="L40" s="466">
        <v>86700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87552</v>
      </c>
      <c r="D42" s="1670">
        <f t="shared" ref="D42:L42" si="3">SUM(D36:D41)</f>
        <v>24291</v>
      </c>
      <c r="E42" s="1670">
        <f t="shared" si="3"/>
        <v>87712</v>
      </c>
      <c r="F42" s="1670">
        <f t="shared" si="3"/>
        <v>270</v>
      </c>
      <c r="G42" s="1670">
        <f t="shared" si="3"/>
        <v>0</v>
      </c>
      <c r="H42" s="1670">
        <f t="shared" si="3"/>
        <v>0</v>
      </c>
      <c r="I42" s="1670">
        <f t="shared" si="3"/>
        <v>0</v>
      </c>
      <c r="J42" s="1670">
        <f t="shared" si="3"/>
        <v>0</v>
      </c>
      <c r="K42" s="1670">
        <f t="shared" si="3"/>
        <v>199825</v>
      </c>
      <c r="L42" s="1670">
        <f t="shared" si="3"/>
        <v>200575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10021</v>
      </c>
      <c r="F44" s="481"/>
      <c r="G44" s="481"/>
      <c r="H44" s="481"/>
      <c r="I44" s="467"/>
      <c r="J44" s="467"/>
      <c r="K44" s="1672">
        <f>SUM(C44:J44)</f>
        <v>10021</v>
      </c>
      <c r="L44" s="481">
        <v>10100</v>
      </c>
    </row>
    <row r="45" spans="1:14" x14ac:dyDescent="0.2">
      <c r="A45" s="1504" t="s">
        <v>815</v>
      </c>
      <c r="B45" s="614">
        <v>2220</v>
      </c>
      <c r="C45" s="466">
        <v>31424</v>
      </c>
      <c r="D45" s="466"/>
      <c r="E45" s="466">
        <v>1045</v>
      </c>
      <c r="F45" s="466">
        <v>3445</v>
      </c>
      <c r="G45" s="466">
        <v>1519</v>
      </c>
      <c r="H45" s="466"/>
      <c r="I45" s="467"/>
      <c r="J45" s="467"/>
      <c r="K45" s="1672">
        <f>SUM(C45:J45)</f>
        <v>37433</v>
      </c>
      <c r="L45" s="466">
        <v>37600</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31424</v>
      </c>
      <c r="D47" s="1670">
        <f t="shared" ref="D47:K47" si="4">SUM(D44:D46)</f>
        <v>0</v>
      </c>
      <c r="E47" s="1670">
        <f t="shared" si="4"/>
        <v>11066</v>
      </c>
      <c r="F47" s="1670">
        <f t="shared" si="4"/>
        <v>3445</v>
      </c>
      <c r="G47" s="1670">
        <f t="shared" si="4"/>
        <v>1519</v>
      </c>
      <c r="H47" s="1670">
        <f t="shared" si="4"/>
        <v>0</v>
      </c>
      <c r="I47" s="1670">
        <f t="shared" si="4"/>
        <v>0</v>
      </c>
      <c r="J47" s="1670">
        <f t="shared" si="4"/>
        <v>0</v>
      </c>
      <c r="K47" s="1670">
        <f t="shared" si="4"/>
        <v>47454</v>
      </c>
      <c r="L47" s="1670">
        <f>SUM(L44:L46)</f>
        <v>47700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1560</v>
      </c>
      <c r="D49" s="481"/>
      <c r="E49" s="481">
        <v>18325</v>
      </c>
      <c r="F49" s="481"/>
      <c r="G49" s="481"/>
      <c r="H49" s="481"/>
      <c r="I49" s="467"/>
      <c r="J49" s="467"/>
      <c r="K49" s="1672">
        <f>SUM(C49:J49)</f>
        <v>19885</v>
      </c>
      <c r="L49" s="481">
        <v>20200</v>
      </c>
    </row>
    <row r="50" spans="1:14" x14ac:dyDescent="0.2">
      <c r="A50" s="1504" t="s">
        <v>818</v>
      </c>
      <c r="B50" s="614">
        <v>2320</v>
      </c>
      <c r="C50" s="466">
        <v>72000</v>
      </c>
      <c r="D50" s="466">
        <v>437</v>
      </c>
      <c r="E50" s="466">
        <v>40894</v>
      </c>
      <c r="F50" s="466">
        <v>90</v>
      </c>
      <c r="G50" s="466">
        <v>103119</v>
      </c>
      <c r="H50" s="466"/>
      <c r="I50" s="467"/>
      <c r="J50" s="467"/>
      <c r="K50" s="1672">
        <f>SUM(C50:J50)</f>
        <v>216540</v>
      </c>
      <c r="L50" s="466">
        <v>113700</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73560</v>
      </c>
      <c r="D53" s="1670">
        <f t="shared" ref="D53:L53" si="5">SUM(D49:D52)</f>
        <v>437</v>
      </c>
      <c r="E53" s="1670">
        <f t="shared" si="5"/>
        <v>59219</v>
      </c>
      <c r="F53" s="1670">
        <f t="shared" si="5"/>
        <v>90</v>
      </c>
      <c r="G53" s="1670">
        <f t="shared" si="5"/>
        <v>103119</v>
      </c>
      <c r="H53" s="1670">
        <f t="shared" si="5"/>
        <v>0</v>
      </c>
      <c r="I53" s="1670">
        <f t="shared" si="5"/>
        <v>0</v>
      </c>
      <c r="J53" s="1670">
        <f t="shared" si="5"/>
        <v>0</v>
      </c>
      <c r="K53" s="1670">
        <f t="shared" si="5"/>
        <v>236425</v>
      </c>
      <c r="L53" s="1670">
        <f t="shared" si="5"/>
        <v>133900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265780</v>
      </c>
      <c r="D55" s="481">
        <v>53753</v>
      </c>
      <c r="E55" s="481">
        <v>945</v>
      </c>
      <c r="F55" s="481">
        <v>1269</v>
      </c>
      <c r="G55" s="481"/>
      <c r="H55" s="481"/>
      <c r="I55" s="467"/>
      <c r="J55" s="467"/>
      <c r="K55" s="1672">
        <f>SUM(C55:J55)</f>
        <v>321747</v>
      </c>
      <c r="L55" s="481">
        <v>322450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265780</v>
      </c>
      <c r="D57" s="1674">
        <f t="shared" ref="D57:K57" si="6">SUM(D55:D56)</f>
        <v>53753</v>
      </c>
      <c r="E57" s="1674">
        <f t="shared" si="6"/>
        <v>945</v>
      </c>
      <c r="F57" s="1674">
        <f t="shared" si="6"/>
        <v>1269</v>
      </c>
      <c r="G57" s="1674">
        <f t="shared" si="6"/>
        <v>0</v>
      </c>
      <c r="H57" s="1674">
        <f t="shared" si="6"/>
        <v>0</v>
      </c>
      <c r="I57" s="1674">
        <f t="shared" si="6"/>
        <v>0</v>
      </c>
      <c r="J57" s="1674">
        <f t="shared" si="6"/>
        <v>0</v>
      </c>
      <c r="K57" s="1674">
        <f t="shared" si="6"/>
        <v>321747</v>
      </c>
      <c r="L57" s="1670">
        <f>SUM(L55:L56)</f>
        <v>322450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48700</v>
      </c>
      <c r="D60" s="466">
        <v>50</v>
      </c>
      <c r="E60" s="466">
        <v>10955</v>
      </c>
      <c r="F60" s="466">
        <v>1953</v>
      </c>
      <c r="G60" s="466"/>
      <c r="H60" s="466"/>
      <c r="I60" s="467"/>
      <c r="J60" s="467"/>
      <c r="K60" s="1672">
        <f t="shared" si="7"/>
        <v>61658</v>
      </c>
      <c r="L60" s="466">
        <v>61900</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56404</v>
      </c>
      <c r="D63" s="466"/>
      <c r="E63" s="466">
        <v>3729</v>
      </c>
      <c r="F63" s="466">
        <v>78168</v>
      </c>
      <c r="G63" s="466"/>
      <c r="H63" s="466"/>
      <c r="I63" s="467"/>
      <c r="J63" s="467"/>
      <c r="K63" s="1672">
        <f t="shared" si="7"/>
        <v>138301</v>
      </c>
      <c r="L63" s="466">
        <v>138575</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105104</v>
      </c>
      <c r="D65" s="1670">
        <f t="shared" ref="D65:L65" si="8">SUM(D59:D64)</f>
        <v>50</v>
      </c>
      <c r="E65" s="1670">
        <f t="shared" si="8"/>
        <v>14684</v>
      </c>
      <c r="F65" s="1670">
        <f t="shared" si="8"/>
        <v>80121</v>
      </c>
      <c r="G65" s="1670">
        <f t="shared" si="8"/>
        <v>0</v>
      </c>
      <c r="H65" s="1670">
        <f t="shared" si="8"/>
        <v>0</v>
      </c>
      <c r="I65" s="1670">
        <f t="shared" si="8"/>
        <v>0</v>
      </c>
      <c r="J65" s="1670">
        <f t="shared" si="8"/>
        <v>0</v>
      </c>
      <c r="K65" s="1670">
        <f t="shared" si="8"/>
        <v>199959</v>
      </c>
      <c r="L65" s="1670">
        <f t="shared" si="8"/>
        <v>200475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100</v>
      </c>
      <c r="G73" s="573"/>
      <c r="H73" s="573"/>
      <c r="I73" s="531"/>
      <c r="J73" s="531"/>
      <c r="K73" s="1670">
        <f>SUM(C73:J73)</f>
        <v>100</v>
      </c>
      <c r="L73" s="576">
        <v>100</v>
      </c>
      <c r="M73" s="609"/>
      <c r="N73" s="609"/>
    </row>
    <row r="74" spans="1:14" ht="12.75" customHeight="1" thickTop="1" thickBot="1" x14ac:dyDescent="0.25">
      <c r="A74" s="1668" t="s">
        <v>811</v>
      </c>
      <c r="B74" s="1676">
        <v>2000</v>
      </c>
      <c r="C74" s="1677">
        <f>SUM(C42,C47,C53,C57,C65,C72,C73)</f>
        <v>563420</v>
      </c>
      <c r="D74" s="1677">
        <f t="shared" ref="D74:K74" si="10">SUM(D42,D47,D53,D57,D65,D72,D73)</f>
        <v>78531</v>
      </c>
      <c r="E74" s="1677">
        <f t="shared" si="10"/>
        <v>173626</v>
      </c>
      <c r="F74" s="1677">
        <f t="shared" si="10"/>
        <v>85295</v>
      </c>
      <c r="G74" s="1677">
        <f t="shared" si="10"/>
        <v>104638</v>
      </c>
      <c r="H74" s="1677">
        <f t="shared" si="10"/>
        <v>0</v>
      </c>
      <c r="I74" s="1677">
        <f t="shared" si="10"/>
        <v>0</v>
      </c>
      <c r="J74" s="1677">
        <f t="shared" si="10"/>
        <v>0</v>
      </c>
      <c r="K74" s="1677">
        <f t="shared" si="10"/>
        <v>1005510</v>
      </c>
      <c r="L74" s="1677">
        <f>SUM(L42,L47,L53,L57,L65,L72,L73)</f>
        <v>905200</v>
      </c>
    </row>
    <row r="75" spans="1:14" s="259" customFormat="1" ht="15.75" customHeight="1" thickTop="1" thickBot="1" x14ac:dyDescent="0.25">
      <c r="A75" s="1610" t="s">
        <v>47</v>
      </c>
      <c r="B75" s="1611" t="s">
        <v>575</v>
      </c>
      <c r="C75" s="573">
        <v>104446</v>
      </c>
      <c r="D75" s="573">
        <v>13216</v>
      </c>
      <c r="E75" s="573">
        <v>330</v>
      </c>
      <c r="F75" s="573">
        <v>4783</v>
      </c>
      <c r="G75" s="573"/>
      <c r="H75" s="573"/>
      <c r="I75" s="531"/>
      <c r="J75" s="531"/>
      <c r="K75" s="1670">
        <f>SUM(C75:J75)</f>
        <v>122775</v>
      </c>
      <c r="L75" s="576">
        <v>123250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132904</v>
      </c>
      <c r="F79" s="616"/>
      <c r="G79" s="616"/>
      <c r="H79" s="466"/>
      <c r="I79" s="477"/>
      <c r="J79" s="477"/>
      <c r="K79" s="1671">
        <f t="shared" si="11"/>
        <v>132904</v>
      </c>
      <c r="L79" s="466">
        <v>133550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132904</v>
      </c>
      <c r="F84" s="616"/>
      <c r="G84" s="616"/>
      <c r="H84" s="1670">
        <f>SUM(H78:H83)</f>
        <v>0</v>
      </c>
      <c r="I84" s="477"/>
      <c r="J84" s="477"/>
      <c r="K84" s="1670">
        <f>SUM(K78:K83)</f>
        <v>132904</v>
      </c>
      <c r="L84" s="1670">
        <f>SUM(L78:L83)</f>
        <v>133550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v>63815</v>
      </c>
      <c r="I86" s="477"/>
      <c r="J86" s="477"/>
      <c r="K86" s="1677">
        <f t="shared" ref="K86:K98" si="12">H86</f>
        <v>63815</v>
      </c>
      <c r="L86" s="530">
        <v>64000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63815</v>
      </c>
      <c r="I92" s="477"/>
      <c r="J92" s="477"/>
      <c r="K92" s="1677">
        <f t="shared" si="12"/>
        <v>63815</v>
      </c>
      <c r="L92" s="1670">
        <f>SUM(L85:L91)</f>
        <v>64000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147332</v>
      </c>
      <c r="F101" s="616"/>
      <c r="G101" s="616"/>
      <c r="H101" s="531">
        <v>63747</v>
      </c>
      <c r="I101" s="477"/>
      <c r="J101" s="477"/>
      <c r="K101" s="1679">
        <f>SUM(C101:J101)</f>
        <v>211079</v>
      </c>
      <c r="L101" s="530">
        <v>211200</v>
      </c>
    </row>
    <row r="102" spans="1:14" ht="12.75" customHeight="1" thickTop="1" thickBot="1" x14ac:dyDescent="0.25">
      <c r="A102" s="1668" t="s">
        <v>1487</v>
      </c>
      <c r="B102" s="1678">
        <v>4000</v>
      </c>
      <c r="C102" s="616"/>
      <c r="D102" s="616"/>
      <c r="E102" s="1677">
        <f>SUM(E84,E92,E100,E101)</f>
        <v>280236</v>
      </c>
      <c r="F102" s="616"/>
      <c r="G102" s="616"/>
      <c r="H102" s="1677">
        <f>SUM(H84,H92,H100,H101)</f>
        <v>127562</v>
      </c>
      <c r="I102" s="477"/>
      <c r="J102" s="477"/>
      <c r="K102" s="1677">
        <f>SUM(K84,K92,K100,K101)</f>
        <v>407798</v>
      </c>
      <c r="L102" s="1677">
        <f>SUM(L84,L92,L100,L101)</f>
        <v>408750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2809081</v>
      </c>
      <c r="D114" s="1670">
        <f t="shared" ref="D114:K114" si="13">SUM(D33,D74,D75,D102,D112,D113)</f>
        <v>634121</v>
      </c>
      <c r="E114" s="1670">
        <f t="shared" si="13"/>
        <v>576584</v>
      </c>
      <c r="F114" s="1670">
        <f t="shared" si="13"/>
        <v>203485</v>
      </c>
      <c r="G114" s="1670">
        <f t="shared" si="13"/>
        <v>129916</v>
      </c>
      <c r="H114" s="1670">
        <f>SUM(H33,H74,H75,H102,H112,H113)</f>
        <v>139640</v>
      </c>
      <c r="I114" s="1670">
        <f t="shared" si="13"/>
        <v>0</v>
      </c>
      <c r="J114" s="1670">
        <f t="shared" si="13"/>
        <v>0</v>
      </c>
      <c r="K114" s="1670">
        <f t="shared" si="13"/>
        <v>4492827</v>
      </c>
      <c r="L114" s="1670">
        <f>SUM(L33,L74,L75,L102,L112,L113)</f>
        <v>4403150</v>
      </c>
    </row>
    <row r="115" spans="1:14" ht="13.5" thickTop="1" x14ac:dyDescent="0.2">
      <c r="A115" s="2161" t="s">
        <v>996</v>
      </c>
      <c r="B115" s="2162"/>
      <c r="C115" s="618"/>
      <c r="D115" s="618"/>
      <c r="E115" s="618"/>
      <c r="F115" s="618"/>
      <c r="G115" s="618"/>
      <c r="H115" s="618"/>
      <c r="I115" s="618"/>
      <c r="J115" s="618"/>
      <c r="K115" s="1684">
        <f>'Revenues 9-14'!C268-'Expenditures 15-22'!K114</f>
        <v>-165312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127689</v>
      </c>
      <c r="D124" s="466">
        <v>28841</v>
      </c>
      <c r="E124" s="466">
        <v>51939</v>
      </c>
      <c r="F124" s="466">
        <v>110374</v>
      </c>
      <c r="G124" s="466">
        <v>1885</v>
      </c>
      <c r="H124" s="466"/>
      <c r="I124" s="467"/>
      <c r="J124" s="467"/>
      <c r="K124" s="1670">
        <f>SUM(C124:J124)</f>
        <v>320728</v>
      </c>
      <c r="L124" s="466">
        <v>324850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127689</v>
      </c>
      <c r="D127" s="1670">
        <f t="shared" ref="D127:L127" si="14">SUM(D122:D126)</f>
        <v>28841</v>
      </c>
      <c r="E127" s="1670">
        <f t="shared" si="14"/>
        <v>51939</v>
      </c>
      <c r="F127" s="1670">
        <f t="shared" si="14"/>
        <v>110374</v>
      </c>
      <c r="G127" s="1670">
        <f t="shared" si="14"/>
        <v>1885</v>
      </c>
      <c r="H127" s="1670">
        <f t="shared" si="14"/>
        <v>0</v>
      </c>
      <c r="I127" s="1670">
        <f t="shared" si="14"/>
        <v>0</v>
      </c>
      <c r="J127" s="1670">
        <f t="shared" si="14"/>
        <v>0</v>
      </c>
      <c r="K127" s="1670">
        <f t="shared" si="14"/>
        <v>320728</v>
      </c>
      <c r="L127" s="1670">
        <f t="shared" si="14"/>
        <v>324850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127689</v>
      </c>
      <c r="D129" s="1677">
        <f t="shared" ref="D129:L129" si="15">SUM(D120,D127,D128)</f>
        <v>28841</v>
      </c>
      <c r="E129" s="1677">
        <f t="shared" si="15"/>
        <v>51939</v>
      </c>
      <c r="F129" s="1677">
        <f t="shared" si="15"/>
        <v>110374</v>
      </c>
      <c r="G129" s="1677">
        <f t="shared" si="15"/>
        <v>1885</v>
      </c>
      <c r="H129" s="1677">
        <f t="shared" si="15"/>
        <v>0</v>
      </c>
      <c r="I129" s="1677">
        <f t="shared" si="15"/>
        <v>0</v>
      </c>
      <c r="J129" s="1677">
        <f t="shared" si="15"/>
        <v>0</v>
      </c>
      <c r="K129" s="1677">
        <f t="shared" si="15"/>
        <v>320728</v>
      </c>
      <c r="L129" s="1677">
        <f t="shared" si="15"/>
        <v>324850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8" t="s">
        <v>620</v>
      </c>
      <c r="B151" s="2158"/>
      <c r="C151" s="1670">
        <f>SUM(C129,C130,C139,C149,C150)</f>
        <v>127689</v>
      </c>
      <c r="D151" s="1670">
        <f t="shared" ref="D151:K151" si="16">SUM(D129,D130,D139,D149,D150)</f>
        <v>28841</v>
      </c>
      <c r="E151" s="1670">
        <f t="shared" si="16"/>
        <v>51939</v>
      </c>
      <c r="F151" s="1670">
        <f t="shared" si="16"/>
        <v>110374</v>
      </c>
      <c r="G151" s="1670">
        <f t="shared" si="16"/>
        <v>1885</v>
      </c>
      <c r="H151" s="1670">
        <f t="shared" si="16"/>
        <v>0</v>
      </c>
      <c r="I151" s="1670">
        <f t="shared" si="16"/>
        <v>0</v>
      </c>
      <c r="J151" s="1670">
        <f t="shared" si="16"/>
        <v>0</v>
      </c>
      <c r="K151" s="1670">
        <f t="shared" si="16"/>
        <v>320728</v>
      </c>
      <c r="L151" s="1670">
        <f>SUM(L129,L130,L139,L149,L150)</f>
        <v>324850</v>
      </c>
    </row>
    <row r="152" spans="1:14" ht="12.75" customHeight="1" thickTop="1" x14ac:dyDescent="0.2">
      <c r="A152" s="2181" t="s">
        <v>1178</v>
      </c>
      <c r="B152" s="2182"/>
      <c r="C152" s="618"/>
      <c r="D152" s="618"/>
      <c r="E152" s="618"/>
      <c r="F152" s="618"/>
      <c r="G152" s="618"/>
      <c r="H152" s="618"/>
      <c r="I152" s="618"/>
      <c r="J152" s="616"/>
      <c r="K152" s="1684">
        <f>'Revenues 9-14'!D268-'Expenditures 15-22'!K151</f>
        <v>-120510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432511</v>
      </c>
      <c r="I169" s="616"/>
      <c r="J169" s="616"/>
      <c r="K169" s="1671">
        <f>SUM(C169:H169)</f>
        <v>432511</v>
      </c>
      <c r="L169" s="656">
        <v>432552</v>
      </c>
    </row>
    <row r="170" spans="1:14" ht="33.75" customHeight="1" x14ac:dyDescent="0.2">
      <c r="A170" s="669" t="s">
        <v>1670</v>
      </c>
      <c r="B170" s="671" t="s">
        <v>31</v>
      </c>
      <c r="C170" s="616"/>
      <c r="D170" s="616"/>
      <c r="E170" s="616"/>
      <c r="F170" s="616"/>
      <c r="G170" s="616"/>
      <c r="H170" s="569">
        <v>225598</v>
      </c>
      <c r="I170" s="616"/>
      <c r="J170" s="616"/>
      <c r="K170" s="1671">
        <f>SUM(C170:J170)</f>
        <v>225598</v>
      </c>
      <c r="L170" s="569">
        <v>225798</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658109</v>
      </c>
      <c r="I172" s="638"/>
      <c r="J172" s="616"/>
      <c r="K172" s="1677">
        <f>SUM(K168,K169,K170,K171)</f>
        <v>658109</v>
      </c>
      <c r="L172" s="1677">
        <f>SUM(L168,L169,L170,L171)</f>
        <v>658350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658109</v>
      </c>
      <c r="I174" s="638"/>
      <c r="J174" s="616"/>
      <c r="K174" s="1677">
        <f>SUM(K160,K172,K173)</f>
        <v>658109</v>
      </c>
      <c r="L174" s="1677">
        <f>SUM(L160,L172,L173)</f>
        <v>658350</v>
      </c>
    </row>
    <row r="175" spans="1:14" ht="13.5" thickTop="1" x14ac:dyDescent="0.2">
      <c r="A175" s="2161" t="s">
        <v>996</v>
      </c>
      <c r="B175" s="2162"/>
      <c r="C175" s="616"/>
      <c r="D175" s="616"/>
      <c r="E175" s="616"/>
      <c r="F175" s="616"/>
      <c r="G175" s="616"/>
      <c r="H175" s="618"/>
      <c r="I175" s="616"/>
      <c r="J175" s="616"/>
      <c r="K175" s="1684">
        <f>'Revenues 9-14'!E268-'Expenditures 15-22'!K174</f>
        <v>-30154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113795</v>
      </c>
      <c r="D182" s="466"/>
      <c r="E182" s="466">
        <v>108415</v>
      </c>
      <c r="F182" s="466">
        <v>33175</v>
      </c>
      <c r="G182" s="466"/>
      <c r="H182" s="466"/>
      <c r="I182" s="467"/>
      <c r="J182" s="467"/>
      <c r="K182" s="1671">
        <f>SUM(C182:J182)</f>
        <v>255385</v>
      </c>
      <c r="L182" s="466">
        <v>256334</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113795</v>
      </c>
      <c r="D184" s="1677">
        <f t="shared" ref="D184:J184" si="17">SUM(D180,D182,D183)</f>
        <v>0</v>
      </c>
      <c r="E184" s="1677">
        <f t="shared" si="17"/>
        <v>108415</v>
      </c>
      <c r="F184" s="1677">
        <f t="shared" si="17"/>
        <v>33175</v>
      </c>
      <c r="G184" s="1677">
        <f t="shared" si="17"/>
        <v>0</v>
      </c>
      <c r="H184" s="1677">
        <f t="shared" si="17"/>
        <v>0</v>
      </c>
      <c r="I184" s="1677">
        <f t="shared" si="17"/>
        <v>0</v>
      </c>
      <c r="J184" s="1677">
        <f t="shared" si="17"/>
        <v>0</v>
      </c>
      <c r="K184" s="1677">
        <f>SUM(K180,K182,K183)</f>
        <v>255385</v>
      </c>
      <c r="L184" s="1677">
        <f>SUM(L180, L182:L183)</f>
        <v>256334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113795</v>
      </c>
      <c r="D210" s="1670">
        <f>SUM(D184,D185)</f>
        <v>0</v>
      </c>
      <c r="E210" s="1670">
        <f>SUM(E184,E185,E196)</f>
        <v>108415</v>
      </c>
      <c r="F210" s="1670">
        <f>SUM(F184,F185)</f>
        <v>33175</v>
      </c>
      <c r="G210" s="1670">
        <f>SUM(G184,G185)</f>
        <v>0</v>
      </c>
      <c r="H210" s="1670">
        <f>SUM(H184,H185,H196,H208,H209)</f>
        <v>0</v>
      </c>
      <c r="I210" s="1670">
        <f>SUM(I184,I185)</f>
        <v>0</v>
      </c>
      <c r="J210" s="1670">
        <f>SUM(J184,J185)</f>
        <v>0</v>
      </c>
      <c r="K210" s="1671">
        <f>SUM(K184,K185,K196,K208,K209)</f>
        <v>255385</v>
      </c>
      <c r="L210" s="1670">
        <f>SUM(L184,L185,L196,L208,L209)</f>
        <v>256334</v>
      </c>
    </row>
    <row r="211" spans="1:14" ht="13.5" thickTop="1" x14ac:dyDescent="0.2">
      <c r="A211" s="2161" t="s">
        <v>996</v>
      </c>
      <c r="B211" s="2162"/>
      <c r="C211" s="618"/>
      <c r="D211" s="618"/>
      <c r="E211" s="618"/>
      <c r="F211" s="618"/>
      <c r="G211" s="618"/>
      <c r="H211" s="618"/>
      <c r="I211" s="616"/>
      <c r="J211" s="616"/>
      <c r="K211" s="1684">
        <f>'Revenues 9-14'!F268-'Expenditures 15-22'!K210</f>
        <v>-6606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29953</v>
      </c>
      <c r="E215" s="616"/>
      <c r="F215" s="616"/>
      <c r="G215" s="616"/>
      <c r="H215" s="616"/>
      <c r="I215" s="616"/>
      <c r="J215" s="616"/>
      <c r="K215" s="1671">
        <f>D215</f>
        <v>29953</v>
      </c>
      <c r="L215" s="466">
        <v>31050</v>
      </c>
    </row>
    <row r="216" spans="1:14" x14ac:dyDescent="0.2">
      <c r="A216" s="1504" t="s">
        <v>163</v>
      </c>
      <c r="B216" s="614" t="s">
        <v>967</v>
      </c>
      <c r="C216" s="616"/>
      <c r="D216" s="467">
        <v>2221</v>
      </c>
      <c r="E216" s="616"/>
      <c r="F216" s="616"/>
      <c r="G216" s="616"/>
      <c r="H216" s="616"/>
      <c r="I216" s="616"/>
      <c r="J216" s="616"/>
      <c r="K216" s="1671">
        <f t="shared" ref="K216:K228" si="19">D216</f>
        <v>2221</v>
      </c>
      <c r="L216" s="466">
        <v>2600</v>
      </c>
    </row>
    <row r="217" spans="1:14" x14ac:dyDescent="0.2">
      <c r="A217" s="1504" t="s">
        <v>164</v>
      </c>
      <c r="B217" s="614">
        <v>1200</v>
      </c>
      <c r="C217" s="616"/>
      <c r="D217" s="466">
        <v>29900</v>
      </c>
      <c r="E217" s="616"/>
      <c r="F217" s="616"/>
      <c r="G217" s="616"/>
      <c r="H217" s="616"/>
      <c r="I217" s="616"/>
      <c r="J217" s="616"/>
      <c r="K217" s="1671">
        <f t="shared" si="19"/>
        <v>29900</v>
      </c>
      <c r="L217" s="466">
        <v>30100</v>
      </c>
    </row>
    <row r="218" spans="1:14" x14ac:dyDescent="0.2">
      <c r="A218" s="1504" t="s">
        <v>278</v>
      </c>
      <c r="B218" s="614" t="s">
        <v>968</v>
      </c>
      <c r="C218" s="616"/>
      <c r="D218" s="467">
        <v>268</v>
      </c>
      <c r="E218" s="616"/>
      <c r="F218" s="616"/>
      <c r="G218" s="616"/>
      <c r="H218" s="616"/>
      <c r="I218" s="616"/>
      <c r="J218" s="616"/>
      <c r="K218" s="1671">
        <f t="shared" si="19"/>
        <v>268</v>
      </c>
      <c r="L218" s="466">
        <v>335</v>
      </c>
    </row>
    <row r="219" spans="1:14" x14ac:dyDescent="0.2">
      <c r="A219" s="1504" t="s">
        <v>279</v>
      </c>
      <c r="B219" s="614">
        <v>1250</v>
      </c>
      <c r="C219" s="616"/>
      <c r="D219" s="466">
        <v>2985</v>
      </c>
      <c r="E219" s="616"/>
      <c r="F219" s="616"/>
      <c r="G219" s="616"/>
      <c r="H219" s="616"/>
      <c r="I219" s="616"/>
      <c r="J219" s="616"/>
      <c r="K219" s="1671">
        <f t="shared" si="19"/>
        <v>2985</v>
      </c>
      <c r="L219" s="466">
        <v>3200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1501</v>
      </c>
      <c r="E222" s="616"/>
      <c r="F222" s="616"/>
      <c r="G222" s="616"/>
      <c r="H222" s="616"/>
      <c r="I222" s="616"/>
      <c r="J222" s="616"/>
      <c r="K222" s="1671">
        <f t="shared" si="19"/>
        <v>1501</v>
      </c>
      <c r="L222" s="466">
        <v>1700</v>
      </c>
    </row>
    <row r="223" spans="1:14" x14ac:dyDescent="0.2">
      <c r="A223" s="1504" t="s">
        <v>963</v>
      </c>
      <c r="B223" s="614">
        <v>1500</v>
      </c>
      <c r="C223" s="616"/>
      <c r="D223" s="466">
        <v>4167</v>
      </c>
      <c r="E223" s="616"/>
      <c r="F223" s="616"/>
      <c r="G223" s="616"/>
      <c r="H223" s="616"/>
      <c r="I223" s="616"/>
      <c r="J223" s="616"/>
      <c r="K223" s="1671">
        <f t="shared" si="19"/>
        <v>4167</v>
      </c>
      <c r="L223" s="466">
        <v>4850</v>
      </c>
    </row>
    <row r="224" spans="1:14" x14ac:dyDescent="0.2">
      <c r="A224" s="1504" t="s">
        <v>964</v>
      </c>
      <c r="B224" s="614">
        <v>1600</v>
      </c>
      <c r="C224" s="616"/>
      <c r="D224" s="466">
        <v>29</v>
      </c>
      <c r="E224" s="616"/>
      <c r="F224" s="616"/>
      <c r="G224" s="616"/>
      <c r="H224" s="616"/>
      <c r="I224" s="616"/>
      <c r="J224" s="616"/>
      <c r="K224" s="1671">
        <f t="shared" si="19"/>
        <v>29</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v>458</v>
      </c>
      <c r="E226" s="616"/>
      <c r="F226" s="616"/>
      <c r="G226" s="616"/>
      <c r="H226" s="616"/>
      <c r="I226" s="616"/>
      <c r="J226" s="616"/>
      <c r="K226" s="1671">
        <f t="shared" si="19"/>
        <v>458</v>
      </c>
      <c r="L226" s="466">
        <v>600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71482</v>
      </c>
      <c r="E229" s="616"/>
      <c r="F229" s="616"/>
      <c r="G229" s="616"/>
      <c r="H229" s="616"/>
      <c r="I229" s="616"/>
      <c r="J229" s="616"/>
      <c r="K229" s="1670">
        <f>SUM(K215:K228)</f>
        <v>71482</v>
      </c>
      <c r="L229" s="1670">
        <f>SUM(L215:L228)</f>
        <v>74435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v>492</v>
      </c>
      <c r="E233" s="616"/>
      <c r="F233" s="616"/>
      <c r="G233" s="616"/>
      <c r="H233" s="616"/>
      <c r="I233" s="616"/>
      <c r="J233" s="616"/>
      <c r="K233" s="1671">
        <f t="shared" si="20"/>
        <v>492</v>
      </c>
      <c r="L233" s="466">
        <v>700</v>
      </c>
    </row>
    <row r="234" spans="1:12" x14ac:dyDescent="0.2">
      <c r="A234" s="1504" t="s">
        <v>198</v>
      </c>
      <c r="B234" s="614">
        <v>2130</v>
      </c>
      <c r="C234" s="616"/>
      <c r="D234" s="466">
        <v>6294</v>
      </c>
      <c r="E234" s="616"/>
      <c r="F234" s="616"/>
      <c r="G234" s="616"/>
      <c r="H234" s="616"/>
      <c r="I234" s="616"/>
      <c r="J234" s="616"/>
      <c r="K234" s="1671">
        <f t="shared" si="20"/>
        <v>6294</v>
      </c>
      <c r="L234" s="466">
        <v>6650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6786</v>
      </c>
      <c r="E238" s="616"/>
      <c r="F238" s="616"/>
      <c r="G238" s="616"/>
      <c r="H238" s="616"/>
      <c r="I238" s="616"/>
      <c r="J238" s="616"/>
      <c r="K238" s="1670">
        <f>SUM(K232:K237)</f>
        <v>6786</v>
      </c>
      <c r="L238" s="1670">
        <f>SUM(L232:L237)</f>
        <v>7350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v>4670</v>
      </c>
      <c r="E241" s="616"/>
      <c r="F241" s="616"/>
      <c r="G241" s="616"/>
      <c r="H241" s="616"/>
      <c r="I241" s="616"/>
      <c r="J241" s="616"/>
      <c r="K241" s="1672">
        <f>D241</f>
        <v>4670</v>
      </c>
      <c r="L241" s="466">
        <v>5050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4670</v>
      </c>
      <c r="E243" s="616"/>
      <c r="F243" s="616"/>
      <c r="G243" s="616"/>
      <c r="H243" s="616"/>
      <c r="I243" s="616"/>
      <c r="J243" s="616"/>
      <c r="K243" s="1670">
        <f>SUM(K240:K242)</f>
        <v>4670</v>
      </c>
      <c r="L243" s="1670">
        <f>SUM(L240:L242)</f>
        <v>5050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119</v>
      </c>
      <c r="E245" s="616"/>
      <c r="F245" s="616"/>
      <c r="G245" s="616"/>
      <c r="H245" s="616"/>
      <c r="I245" s="616"/>
      <c r="J245" s="616"/>
      <c r="K245" s="1672">
        <f>D245</f>
        <v>119</v>
      </c>
      <c r="L245" s="481">
        <v>175</v>
      </c>
    </row>
    <row r="246" spans="1:12" x14ac:dyDescent="0.2">
      <c r="A246" s="1504" t="s">
        <v>818</v>
      </c>
      <c r="B246" s="614">
        <v>2320</v>
      </c>
      <c r="C246" s="616"/>
      <c r="D246" s="466">
        <v>707</v>
      </c>
      <c r="E246" s="616"/>
      <c r="F246" s="616"/>
      <c r="G246" s="616"/>
      <c r="H246" s="616"/>
      <c r="I246" s="616"/>
      <c r="J246" s="616"/>
      <c r="K246" s="1672">
        <f t="shared" ref="K246:K256" si="21">D246</f>
        <v>707</v>
      </c>
      <c r="L246" s="466">
        <v>800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826</v>
      </c>
      <c r="E257" s="616"/>
      <c r="F257" s="616"/>
      <c r="G257" s="616"/>
      <c r="H257" s="616"/>
      <c r="I257" s="616"/>
      <c r="J257" s="616"/>
      <c r="K257" s="1670">
        <f>SUM(K245:K256)</f>
        <v>826</v>
      </c>
      <c r="L257" s="1670">
        <f>SUM(L245:L256)</f>
        <v>975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12010</v>
      </c>
      <c r="E259" s="616"/>
      <c r="F259" s="616"/>
      <c r="G259" s="616"/>
      <c r="H259" s="616"/>
      <c r="I259" s="616"/>
      <c r="J259" s="616"/>
      <c r="K259" s="1672">
        <f>D259</f>
        <v>12010</v>
      </c>
      <c r="L259" s="481">
        <v>12350</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12010</v>
      </c>
      <c r="E261" s="616"/>
      <c r="F261" s="616"/>
      <c r="G261" s="616"/>
      <c r="H261" s="616"/>
      <c r="I261" s="616"/>
      <c r="J261" s="616"/>
      <c r="K261" s="1670">
        <f>SUM(K259:K260)</f>
        <v>12010</v>
      </c>
      <c r="L261" s="1670">
        <f>SUM(L259:L260)</f>
        <v>12350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8593</v>
      </c>
      <c r="E264" s="616"/>
      <c r="F264" s="616"/>
      <c r="G264" s="616"/>
      <c r="H264" s="616"/>
      <c r="I264" s="616"/>
      <c r="J264" s="616"/>
      <c r="K264" s="1672">
        <f t="shared" ref="K264:K269" si="22">D264</f>
        <v>8593</v>
      </c>
      <c r="L264" s="466">
        <v>8850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22123</v>
      </c>
      <c r="E266" s="616"/>
      <c r="F266" s="616"/>
      <c r="G266" s="616"/>
      <c r="H266" s="616"/>
      <c r="I266" s="616"/>
      <c r="J266" s="616"/>
      <c r="K266" s="1672">
        <f t="shared" si="22"/>
        <v>22123</v>
      </c>
      <c r="L266" s="466">
        <v>22700</v>
      </c>
    </row>
    <row r="267" spans="1:14" x14ac:dyDescent="0.2">
      <c r="A267" s="1504" t="s">
        <v>953</v>
      </c>
      <c r="B267" s="614">
        <v>2550</v>
      </c>
      <c r="C267" s="616"/>
      <c r="D267" s="466">
        <v>17306</v>
      </c>
      <c r="E267" s="616"/>
      <c r="F267" s="616"/>
      <c r="G267" s="616"/>
      <c r="H267" s="616"/>
      <c r="I267" s="616"/>
      <c r="J267" s="616"/>
      <c r="K267" s="1672">
        <f t="shared" si="22"/>
        <v>17306</v>
      </c>
      <c r="L267" s="466">
        <v>18275</v>
      </c>
    </row>
    <row r="268" spans="1:14" x14ac:dyDescent="0.2">
      <c r="A268" s="1504" t="s">
        <v>100</v>
      </c>
      <c r="B268" s="614">
        <v>2560</v>
      </c>
      <c r="C268" s="616"/>
      <c r="D268" s="466">
        <v>9787</v>
      </c>
      <c r="E268" s="616"/>
      <c r="F268" s="616"/>
      <c r="G268" s="616"/>
      <c r="H268" s="616"/>
      <c r="I268" s="616"/>
      <c r="J268" s="616"/>
      <c r="K268" s="1672">
        <f t="shared" si="22"/>
        <v>9787</v>
      </c>
      <c r="L268" s="466">
        <v>10300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57809</v>
      </c>
      <c r="E270" s="616"/>
      <c r="F270" s="616"/>
      <c r="G270" s="616"/>
      <c r="H270" s="616"/>
      <c r="I270" s="616"/>
      <c r="J270" s="616"/>
      <c r="K270" s="1670">
        <f>SUM(K263:K269)</f>
        <v>57809</v>
      </c>
      <c r="L270" s="1670">
        <f>SUM(L263:L269)</f>
        <v>60125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82101</v>
      </c>
      <c r="E279" s="616"/>
      <c r="F279" s="616"/>
      <c r="G279" s="616"/>
      <c r="H279" s="616"/>
      <c r="I279" s="616"/>
      <c r="J279" s="616"/>
      <c r="K279" s="1677">
        <f>SUM(K238,K243,K257,K261,K270,K277,K278)</f>
        <v>82101</v>
      </c>
      <c r="L279" s="1677">
        <f>SUM(L238,L243,L257,L261,L270,L277,L278)</f>
        <v>85850</v>
      </c>
    </row>
    <row r="280" spans="1:12" ht="15.75" customHeight="1" thickTop="1" thickBot="1" x14ac:dyDescent="0.25">
      <c r="A280" s="1624" t="s">
        <v>875</v>
      </c>
      <c r="B280" s="1613">
        <v>3000</v>
      </c>
      <c r="C280" s="616"/>
      <c r="D280" s="576">
        <v>18117</v>
      </c>
      <c r="E280" s="616"/>
      <c r="F280" s="616"/>
      <c r="G280" s="616"/>
      <c r="H280" s="616"/>
      <c r="I280" s="616"/>
      <c r="J280" s="616"/>
      <c r="K280" s="1679">
        <f>D280</f>
        <v>18117</v>
      </c>
      <c r="L280" s="576">
        <v>18700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9" t="s">
        <v>505</v>
      </c>
      <c r="B295" s="2180"/>
      <c r="C295" s="616"/>
      <c r="D295" s="1670">
        <f>SUM(D229,D279,D280,D285)</f>
        <v>171700</v>
      </c>
      <c r="E295" s="616"/>
      <c r="F295" s="616"/>
      <c r="G295" s="616"/>
      <c r="H295" s="1670">
        <f>H293</f>
        <v>0</v>
      </c>
      <c r="I295" s="616"/>
      <c r="J295" s="616"/>
      <c r="K295" s="1670">
        <f>SUM(K229,K279,K280,K285,K293,K294)</f>
        <v>171700</v>
      </c>
      <c r="L295" s="1670">
        <f>SUM(L229,L279,L280,L285,L293,L294)</f>
        <v>178985</v>
      </c>
    </row>
    <row r="296" spans="1:14" ht="13.5" thickTop="1" x14ac:dyDescent="0.2">
      <c r="A296" s="2161" t="s">
        <v>996</v>
      </c>
      <c r="B296" s="2162"/>
      <c r="C296" s="616"/>
      <c r="D296" s="618"/>
      <c r="E296" s="616"/>
      <c r="F296" s="616"/>
      <c r="G296" s="616"/>
      <c r="H296" s="687"/>
      <c r="I296" s="616"/>
      <c r="J296" s="616"/>
      <c r="K296" s="1684">
        <f>'Revenues 9-14'!G268-'Expenditures 15-22'!K295</f>
        <v>29304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v>21206</v>
      </c>
      <c r="F320" s="467"/>
      <c r="G320" s="467"/>
      <c r="H320" s="467"/>
      <c r="I320" s="467"/>
      <c r="J320" s="467"/>
      <c r="K320" s="1671">
        <f t="shared" ref="K320:K327" si="24">SUM(C320:J320)</f>
        <v>21206</v>
      </c>
      <c r="L320" s="467">
        <v>21206</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v>30913</v>
      </c>
      <c r="F322" s="467"/>
      <c r="G322" s="467"/>
      <c r="H322" s="467"/>
      <c r="I322" s="467"/>
      <c r="J322" s="467"/>
      <c r="K322" s="1671">
        <f t="shared" si="24"/>
        <v>30913</v>
      </c>
      <c r="L322" s="467">
        <v>30913</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v>84000</v>
      </c>
      <c r="F324" s="467"/>
      <c r="G324" s="467"/>
      <c r="H324" s="467"/>
      <c r="I324" s="467"/>
      <c r="J324" s="467"/>
      <c r="K324" s="1671">
        <f t="shared" si="24"/>
        <v>84000</v>
      </c>
      <c r="L324" s="467">
        <v>84000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63643</v>
      </c>
      <c r="F327" s="467"/>
      <c r="G327" s="467"/>
      <c r="H327" s="467"/>
      <c r="I327" s="467"/>
      <c r="J327" s="467"/>
      <c r="K327" s="1671">
        <f t="shared" si="24"/>
        <v>63643</v>
      </c>
      <c r="L327" s="467">
        <v>63700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199762</v>
      </c>
      <c r="F330" s="1670">
        <f t="shared" si="25"/>
        <v>0</v>
      </c>
      <c r="G330" s="1670">
        <f t="shared" si="25"/>
        <v>0</v>
      </c>
      <c r="H330" s="1670">
        <f t="shared" si="25"/>
        <v>0</v>
      </c>
      <c r="I330" s="1670">
        <f t="shared" si="25"/>
        <v>0</v>
      </c>
      <c r="J330" s="1670">
        <f t="shared" si="25"/>
        <v>0</v>
      </c>
      <c r="K330" s="1670">
        <f>SUM(K319:K329)</f>
        <v>199762</v>
      </c>
      <c r="L330" s="1670">
        <f>SUM(L319:L329)</f>
        <v>199819</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199762</v>
      </c>
      <c r="F342" s="1670">
        <f>SUM(F330)</f>
        <v>0</v>
      </c>
      <c r="G342" s="1670">
        <f>SUM(G330)</f>
        <v>0</v>
      </c>
      <c r="H342" s="1670">
        <f>SUM(H330,H334,H340)</f>
        <v>0</v>
      </c>
      <c r="I342" s="1670">
        <f>SUM(I330)</f>
        <v>0</v>
      </c>
      <c r="J342" s="1670">
        <f>SUM(J330)</f>
        <v>0</v>
      </c>
      <c r="K342" s="1670">
        <f>SUM(K330,K334,K340)</f>
        <v>199762</v>
      </c>
      <c r="L342" s="1677">
        <f>SUM(L330,L340,L341)</f>
        <v>199819</v>
      </c>
    </row>
    <row r="343" spans="1:14" ht="12.75" customHeight="1" thickTop="1" x14ac:dyDescent="0.2">
      <c r="A343" s="2174" t="s">
        <v>996</v>
      </c>
      <c r="B343" s="2175"/>
      <c r="C343" s="616"/>
      <c r="D343" s="616"/>
      <c r="E343" s="616"/>
      <c r="F343" s="616"/>
      <c r="G343" s="616"/>
      <c r="H343" s="616"/>
      <c r="I343" s="616"/>
      <c r="J343" s="616"/>
      <c r="K343" s="1684">
        <f>'Revenues 9-14'!J268-'Expenditures 15-22'!K342</f>
        <v>-78623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19376</v>
      </c>
      <c r="F348" s="466"/>
      <c r="G348" s="466"/>
      <c r="H348" s="466"/>
      <c r="I348" s="467"/>
      <c r="J348" s="467"/>
      <c r="K348" s="1671">
        <f>SUM(C348:J348)</f>
        <v>19376</v>
      </c>
      <c r="L348" s="466">
        <v>19500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19376</v>
      </c>
      <c r="F350" s="1670">
        <f t="shared" si="26"/>
        <v>0</v>
      </c>
      <c r="G350" s="1670">
        <f t="shared" si="26"/>
        <v>0</v>
      </c>
      <c r="H350" s="1670">
        <f t="shared" si="26"/>
        <v>0</v>
      </c>
      <c r="I350" s="1670">
        <f t="shared" si="26"/>
        <v>0</v>
      </c>
      <c r="J350" s="1670">
        <f t="shared" si="26"/>
        <v>0</v>
      </c>
      <c r="K350" s="1670">
        <f t="shared" si="26"/>
        <v>19376</v>
      </c>
      <c r="L350" s="1670">
        <f t="shared" si="26"/>
        <v>19500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19376</v>
      </c>
      <c r="F352" s="1670">
        <f t="shared" si="27"/>
        <v>0</v>
      </c>
      <c r="G352" s="1670">
        <f t="shared" si="27"/>
        <v>0</v>
      </c>
      <c r="H352" s="1670">
        <f t="shared" si="27"/>
        <v>0</v>
      </c>
      <c r="I352" s="1670">
        <f t="shared" si="27"/>
        <v>0</v>
      </c>
      <c r="J352" s="1670">
        <f t="shared" si="27"/>
        <v>0</v>
      </c>
      <c r="K352" s="1670">
        <f t="shared" si="27"/>
        <v>19376</v>
      </c>
      <c r="L352" s="1670">
        <f t="shared" si="27"/>
        <v>19500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19376</v>
      </c>
      <c r="F367" s="1670">
        <f t="shared" si="28"/>
        <v>0</v>
      </c>
      <c r="G367" s="1670">
        <f t="shared" si="28"/>
        <v>0</v>
      </c>
      <c r="H367" s="1670">
        <f t="shared" si="28"/>
        <v>0</v>
      </c>
      <c r="I367" s="1670">
        <f t="shared" si="28"/>
        <v>0</v>
      </c>
      <c r="J367" s="1670">
        <f t="shared" si="28"/>
        <v>0</v>
      </c>
      <c r="K367" s="1670">
        <f t="shared" si="28"/>
        <v>19376</v>
      </c>
      <c r="L367" s="1670">
        <f t="shared" si="28"/>
        <v>19500</v>
      </c>
    </row>
    <row r="368" spans="1:14" ht="13.5" thickTop="1" x14ac:dyDescent="0.2">
      <c r="A368" s="2161" t="s">
        <v>996</v>
      </c>
      <c r="B368" s="2162"/>
      <c r="C368" s="654"/>
      <c r="D368" s="654"/>
      <c r="E368" s="626"/>
      <c r="F368" s="626"/>
      <c r="G368" s="626"/>
      <c r="H368" s="626"/>
      <c r="I368" s="626"/>
      <c r="J368" s="623"/>
      <c r="K368" s="1671">
        <f>'Revenues 9-14'!K268-'Expenditures 15-22'!K367</f>
        <v>11233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topLeftCell="A10" colorId="8" zoomScale="110" zoomScaleNormal="110" workbookViewId="0">
      <selection activeCell="E14" sqref="E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1951</v>
      </c>
      <c r="C2" s="714" t="s">
        <v>1952</v>
      </c>
      <c r="D2" s="714" t="s">
        <v>1953</v>
      </c>
      <c r="E2" s="714" t="s">
        <v>1954</v>
      </c>
      <c r="F2" s="714" t="s">
        <v>1955</v>
      </c>
    </row>
    <row r="3" spans="1:6" ht="12" customHeight="1" x14ac:dyDescent="0.2">
      <c r="A3" s="2189"/>
      <c r="B3" s="1525"/>
      <c r="C3" s="1526"/>
      <c r="D3" s="1527" t="s">
        <v>256</v>
      </c>
      <c r="E3" s="1526"/>
      <c r="F3" s="1527" t="s">
        <v>257</v>
      </c>
    </row>
    <row r="4" spans="1:6" ht="13.7" customHeight="1" x14ac:dyDescent="0.2">
      <c r="A4" s="715" t="s">
        <v>1155</v>
      </c>
      <c r="B4" s="1749">
        <f>'Revenues 9-14'!C5</f>
        <v>1610103</v>
      </c>
      <c r="C4" s="1524">
        <v>8038</v>
      </c>
      <c r="D4" s="1752">
        <f>B4-C4</f>
        <v>1602065</v>
      </c>
      <c r="E4" s="1524">
        <v>1665601</v>
      </c>
      <c r="F4" s="1752">
        <f>E4-C4</f>
        <v>1657563</v>
      </c>
    </row>
    <row r="5" spans="1:6" ht="13.7" customHeight="1" x14ac:dyDescent="0.2">
      <c r="A5" s="715" t="s">
        <v>870</v>
      </c>
      <c r="B5" s="1750">
        <f>'Revenues 9-14'!D5</f>
        <v>188521</v>
      </c>
      <c r="C5" s="585">
        <v>881</v>
      </c>
      <c r="D5" s="1753">
        <f t="shared" ref="D5:D18" si="0">B5-C5</f>
        <v>187640</v>
      </c>
      <c r="E5" s="585">
        <v>193156</v>
      </c>
      <c r="F5" s="1753">
        <f>E5-C5</f>
        <v>192275</v>
      </c>
    </row>
    <row r="6" spans="1:6" ht="13.7" customHeight="1" x14ac:dyDescent="0.2">
      <c r="A6" s="715" t="s">
        <v>411</v>
      </c>
      <c r="B6" s="1750">
        <f>'Revenues 9-14'!E5</f>
        <v>623426</v>
      </c>
      <c r="C6" s="585">
        <v>3013</v>
      </c>
      <c r="D6" s="1753">
        <f t="shared" si="0"/>
        <v>620413</v>
      </c>
      <c r="E6" s="585">
        <v>658277</v>
      </c>
      <c r="F6" s="1753">
        <f t="shared" ref="F6:F18" si="1">E6-C6</f>
        <v>655264</v>
      </c>
    </row>
    <row r="7" spans="1:6" ht="13.7" customHeight="1" x14ac:dyDescent="0.2">
      <c r="A7" s="715" t="s">
        <v>155</v>
      </c>
      <c r="B7" s="1750">
        <f>'Revenues 9-14'!F5</f>
        <v>115631</v>
      </c>
      <c r="C7" s="585">
        <v>531</v>
      </c>
      <c r="D7" s="1753">
        <f t="shared" si="0"/>
        <v>115100</v>
      </c>
      <c r="E7" s="585">
        <v>118529</v>
      </c>
      <c r="F7" s="1753">
        <f t="shared" si="1"/>
        <v>117998</v>
      </c>
    </row>
    <row r="8" spans="1:6" ht="13.7" customHeight="1" x14ac:dyDescent="0.2">
      <c r="A8" s="715" t="s">
        <v>1179</v>
      </c>
      <c r="B8" s="1750">
        <f>'Revenues 9-14'!G5</f>
        <v>83684</v>
      </c>
      <c r="C8" s="585">
        <v>439</v>
      </c>
      <c r="D8" s="1753">
        <f t="shared" si="0"/>
        <v>83245</v>
      </c>
      <c r="E8" s="585">
        <v>96191</v>
      </c>
      <c r="F8" s="1753">
        <f t="shared" si="1"/>
        <v>95752</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18717</v>
      </c>
      <c r="C10" s="585">
        <v>87</v>
      </c>
      <c r="D10" s="1753">
        <f t="shared" si="0"/>
        <v>18630</v>
      </c>
      <c r="E10" s="585">
        <v>19180</v>
      </c>
      <c r="F10" s="1753">
        <f t="shared" si="1"/>
        <v>19093</v>
      </c>
    </row>
    <row r="11" spans="1:6" x14ac:dyDescent="0.2">
      <c r="A11" s="715" t="s">
        <v>409</v>
      </c>
      <c r="B11" s="1750">
        <f>'Revenues 9-14'!J5</f>
        <v>119606</v>
      </c>
      <c r="C11" s="585">
        <v>559</v>
      </c>
      <c r="D11" s="1753">
        <f t="shared" si="0"/>
        <v>119047</v>
      </c>
      <c r="E11" s="585">
        <v>122551</v>
      </c>
      <c r="F11" s="1753">
        <f t="shared" si="1"/>
        <v>121992</v>
      </c>
    </row>
    <row r="12" spans="1:6" ht="13.7" customHeight="1" x14ac:dyDescent="0.2">
      <c r="A12" s="715" t="s">
        <v>157</v>
      </c>
      <c r="B12" s="1750">
        <f>'Revenues 9-14'!K5</f>
        <v>27696</v>
      </c>
      <c r="C12" s="585">
        <v>129</v>
      </c>
      <c r="D12" s="1753">
        <f t="shared" si="0"/>
        <v>27567</v>
      </c>
      <c r="E12" s="585">
        <v>28383</v>
      </c>
      <c r="F12" s="1753">
        <f t="shared" si="1"/>
        <v>28254</v>
      </c>
    </row>
    <row r="13" spans="1:6" ht="13.7" customHeight="1" x14ac:dyDescent="0.2">
      <c r="A13" s="715" t="s">
        <v>936</v>
      </c>
      <c r="B13" s="1750">
        <f>SUM('Revenues 9-14'!C6:D6)</f>
        <v>28967</v>
      </c>
      <c r="C13" s="585">
        <v>135</v>
      </c>
      <c r="D13" s="1753">
        <f t="shared" si="0"/>
        <v>28832</v>
      </c>
      <c r="E13" s="585">
        <v>29682</v>
      </c>
      <c r="F13" s="1753">
        <f t="shared" si="1"/>
        <v>29547</v>
      </c>
    </row>
    <row r="14" spans="1:6" ht="13.7" customHeight="1" x14ac:dyDescent="0.2">
      <c r="A14" s="715" t="s">
        <v>410</v>
      </c>
      <c r="B14" s="1750">
        <f>SUM('Revenues 9-14'!C7:D7,'Revenues 9-14'!F7:H7)</f>
        <v>23160</v>
      </c>
      <c r="C14" s="585">
        <v>108</v>
      </c>
      <c r="D14" s="1753">
        <f t="shared" si="0"/>
        <v>23052</v>
      </c>
      <c r="E14" s="585">
        <v>23737</v>
      </c>
      <c r="F14" s="1753">
        <f t="shared" si="1"/>
        <v>23629</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109915</v>
      </c>
      <c r="C16" s="585">
        <v>466</v>
      </c>
      <c r="D16" s="1753">
        <f t="shared" si="0"/>
        <v>109449</v>
      </c>
      <c r="E16" s="585">
        <v>102176</v>
      </c>
      <c r="F16" s="1753">
        <f t="shared" si="1"/>
        <v>101710</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2949426</v>
      </c>
      <c r="C19" s="1751">
        <f>SUM(C4:C18)</f>
        <v>14386</v>
      </c>
      <c r="D19" s="1751">
        <f>SUM(D4:D18)</f>
        <v>2935040</v>
      </c>
      <c r="E19" s="1751">
        <f>SUM(E4:E18)</f>
        <v>3057463</v>
      </c>
      <c r="F19" s="1751">
        <f>SUM(F4:F18)</f>
        <v>3043077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29" colorId="8" zoomScaleNormal="100" workbookViewId="0">
      <selection activeCell="A37" sqref="A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1802</v>
      </c>
      <c r="B2" s="2216"/>
      <c r="C2" s="1884" t="s">
        <v>1956</v>
      </c>
      <c r="D2" s="723" t="s">
        <v>1957</v>
      </c>
      <c r="E2" s="723" t="s">
        <v>1958</v>
      </c>
      <c r="F2" s="1884" t="s">
        <v>1959</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2112</v>
      </c>
      <c r="B31" s="733">
        <v>36678</v>
      </c>
      <c r="C31" s="734">
        <v>6472988</v>
      </c>
      <c r="D31" s="735">
        <v>6</v>
      </c>
      <c r="E31" s="734">
        <v>376968</v>
      </c>
      <c r="F31" s="734"/>
      <c r="G31" s="734"/>
      <c r="H31" s="734">
        <v>189298</v>
      </c>
      <c r="I31" s="1756">
        <f>((E31+F31)-H31)+G31</f>
        <v>187670</v>
      </c>
      <c r="J31" s="734">
        <v>121037</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2082</v>
      </c>
      <c r="B33" s="733">
        <v>42272</v>
      </c>
      <c r="C33" s="734">
        <v>112140</v>
      </c>
      <c r="D33" s="735">
        <v>7</v>
      </c>
      <c r="E33" s="734">
        <v>52332</v>
      </c>
      <c r="F33" s="734"/>
      <c r="G33" s="734">
        <v>-40153</v>
      </c>
      <c r="H33" s="734">
        <v>12179</v>
      </c>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t="s">
        <v>2083</v>
      </c>
      <c r="B35" s="733">
        <v>42845</v>
      </c>
      <c r="C35" s="738">
        <v>43600</v>
      </c>
      <c r="D35" s="735">
        <v>7</v>
      </c>
      <c r="E35" s="738">
        <v>28677</v>
      </c>
      <c r="F35" s="738"/>
      <c r="G35" s="738"/>
      <c r="H35" s="738">
        <v>13809</v>
      </c>
      <c r="I35" s="1756">
        <f t="shared" si="1"/>
        <v>14868</v>
      </c>
      <c r="J35" s="738">
        <v>14868</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t="s">
        <v>2084</v>
      </c>
      <c r="B37" s="733">
        <v>43077</v>
      </c>
      <c r="C37" s="467">
        <v>9653</v>
      </c>
      <c r="D37" s="740">
        <v>7</v>
      </c>
      <c r="E37" s="467">
        <v>8688</v>
      </c>
      <c r="F37" s="467"/>
      <c r="G37" s="467">
        <v>-8688</v>
      </c>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t="s">
        <v>2086</v>
      </c>
      <c r="B39" s="733">
        <v>43452</v>
      </c>
      <c r="C39" s="734">
        <v>113119</v>
      </c>
      <c r="D39" s="741">
        <v>7</v>
      </c>
      <c r="E39" s="742"/>
      <c r="F39" s="742">
        <v>103119</v>
      </c>
      <c r="G39" s="742"/>
      <c r="H39" s="742">
        <v>10312</v>
      </c>
      <c r="I39" s="1756">
        <f t="shared" si="1"/>
        <v>92807</v>
      </c>
      <c r="J39" s="743">
        <v>92807</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6751500</v>
      </c>
      <c r="D49" s="745"/>
      <c r="E49" s="1756">
        <f t="shared" ref="E49:J49" si="2">SUM(E31:E48)</f>
        <v>466665</v>
      </c>
      <c r="F49" s="1756">
        <f t="shared" si="2"/>
        <v>103119</v>
      </c>
      <c r="G49" s="1756">
        <f t="shared" si="2"/>
        <v>-48841</v>
      </c>
      <c r="H49" s="1756">
        <f t="shared" si="2"/>
        <v>225598</v>
      </c>
      <c r="I49" s="1756">
        <f t="shared" si="2"/>
        <v>295345</v>
      </c>
      <c r="J49" s="1756">
        <f t="shared" si="2"/>
        <v>228712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t="s">
        <v>2085</v>
      </c>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topLeftCell="A22"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1812</v>
      </c>
      <c r="K2" s="762" t="s">
        <v>138</v>
      </c>
    </row>
    <row r="3" spans="1:11" x14ac:dyDescent="0.2">
      <c r="A3" s="2241" t="s">
        <v>1964</v>
      </c>
      <c r="B3" s="2242"/>
      <c r="C3" s="2242"/>
      <c r="D3" s="2242"/>
      <c r="E3" s="2243"/>
      <c r="F3" s="763"/>
      <c r="G3" s="764"/>
      <c r="H3" s="764"/>
      <c r="I3" s="764"/>
      <c r="J3" s="765">
        <v>3506</v>
      </c>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23160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5290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6588</v>
      </c>
    </row>
    <row r="10" spans="1:11" x14ac:dyDescent="0.2">
      <c r="A10" s="2222" t="s">
        <v>1813</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23160</v>
      </c>
      <c r="I12" s="1758">
        <f>SUM(I5:I11)</f>
        <v>0</v>
      </c>
      <c r="J12" s="1758">
        <f>SUM(J5:J11)</f>
        <v>0</v>
      </c>
      <c r="K12" s="1758">
        <f>SUM(K5:K11)</f>
        <v>11878</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23160</v>
      </c>
      <c r="I14" s="771"/>
      <c r="J14" s="773"/>
      <c r="K14" s="765">
        <v>11878</v>
      </c>
    </row>
    <row r="15" spans="1:11" x14ac:dyDescent="0.2">
      <c r="A15" s="2223" t="s">
        <v>4</v>
      </c>
      <c r="B15" s="2223"/>
      <c r="C15" s="2223"/>
      <c r="D15" s="2223"/>
      <c r="E15" s="2224"/>
      <c r="F15" s="789" t="s">
        <v>855</v>
      </c>
      <c r="G15" s="771"/>
      <c r="H15" s="764"/>
      <c r="I15" s="764"/>
      <c r="J15" s="765"/>
      <c r="K15" s="765"/>
    </row>
    <row r="16" spans="1:11" x14ac:dyDescent="0.2">
      <c r="A16" s="2223" t="s">
        <v>298</v>
      </c>
      <c r="B16" s="2223"/>
      <c r="C16" s="2223"/>
      <c r="D16" s="2223"/>
      <c r="E16" s="2224"/>
      <c r="F16" s="789" t="s">
        <v>923</v>
      </c>
      <c r="G16" s="772"/>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31" t="s">
        <v>1809</v>
      </c>
      <c r="B19" s="2231"/>
      <c r="C19" s="2231"/>
      <c r="D19" s="2231"/>
      <c r="E19" s="2232"/>
      <c r="F19" s="789" t="s">
        <v>933</v>
      </c>
      <c r="G19" s="782"/>
      <c r="H19" s="782"/>
      <c r="I19" s="782"/>
      <c r="J19" s="765"/>
      <c r="K19" s="795"/>
    </row>
    <row r="20" spans="1:11" x14ac:dyDescent="0.2">
      <c r="A20" s="2233" t="s">
        <v>1814</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0</v>
      </c>
      <c r="K21" s="793"/>
    </row>
    <row r="22" spans="1:11" ht="13.5" thickTop="1" x14ac:dyDescent="0.2">
      <c r="A22" s="2223" t="s">
        <v>1815</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0</v>
      </c>
      <c r="H23" s="1758">
        <f>SUM(H14:H16,H21,H22)</f>
        <v>23160</v>
      </c>
      <c r="I23" s="1758">
        <f>SUM(I14:I16,I21,I22)</f>
        <v>0</v>
      </c>
      <c r="J23" s="1758">
        <f>SUM(J14:J16,J21,J22)</f>
        <v>0</v>
      </c>
      <c r="K23" s="1758">
        <f>SUM(K14:K16,K21,K22)</f>
        <v>11878</v>
      </c>
    </row>
    <row r="24" spans="1:11" ht="14.25" thickTop="1" thickBot="1" x14ac:dyDescent="0.25">
      <c r="A24" s="2253" t="s">
        <v>1965</v>
      </c>
      <c r="B24" s="2252"/>
      <c r="C24" s="2252"/>
      <c r="D24" s="2252"/>
      <c r="E24" s="2252"/>
      <c r="F24" s="1762"/>
      <c r="G24" s="1763">
        <f>SUM(G3,G12)-G23</f>
        <v>0</v>
      </c>
      <c r="H24" s="1763">
        <f>SUM(H3,H12)-H23</f>
        <v>0</v>
      </c>
      <c r="I24" s="1763">
        <f>SUM(I3,I12)-I23</f>
        <v>0</v>
      </c>
      <c r="J24" s="1763">
        <f>SUM(J3,J12)-J23</f>
        <v>3506</v>
      </c>
      <c r="K24" s="1763">
        <f>SUM(K3,K12)-K23</f>
        <v>0</v>
      </c>
    </row>
    <row r="25" spans="1:11" ht="13.5" thickTop="1" x14ac:dyDescent="0.2">
      <c r="A25" s="798" t="s">
        <v>420</v>
      </c>
      <c r="B25" s="799"/>
      <c r="C25" s="799"/>
      <c r="D25" s="799"/>
      <c r="E25" s="800"/>
      <c r="F25" s="801">
        <v>714</v>
      </c>
      <c r="G25" s="802"/>
      <c r="H25" s="802"/>
      <c r="I25" s="802"/>
      <c r="J25" s="797">
        <v>3506</v>
      </c>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topLeftCell="A4"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1909</v>
      </c>
      <c r="B1" s="2259"/>
      <c r="C1" s="2260"/>
      <c r="D1" s="826"/>
      <c r="E1" s="827"/>
      <c r="F1" s="827"/>
      <c r="G1" s="828"/>
      <c r="H1" s="829"/>
      <c r="I1" s="830"/>
      <c r="J1" s="2256"/>
      <c r="K1" s="2257"/>
      <c r="L1" s="2257"/>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17968</v>
      </c>
      <c r="D5" s="841"/>
      <c r="E5" s="841"/>
      <c r="F5" s="1760">
        <f>(C5+D5)-E5</f>
        <v>17968</v>
      </c>
      <c r="G5" s="837"/>
      <c r="H5" s="842"/>
      <c r="I5" s="842"/>
      <c r="J5" s="842"/>
      <c r="K5" s="793"/>
      <c r="L5" s="1769">
        <f>F5-K5</f>
        <v>17968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11147935</v>
      </c>
      <c r="D8" s="844"/>
      <c r="E8" s="844"/>
      <c r="F8" s="1760">
        <f>(C8+D8)-E8</f>
        <v>11147935</v>
      </c>
      <c r="G8" s="843">
        <v>50</v>
      </c>
      <c r="H8" s="765">
        <v>4642775</v>
      </c>
      <c r="I8" s="765">
        <v>205233</v>
      </c>
      <c r="J8" s="765"/>
      <c r="K8" s="1769">
        <f>(H8+I8)-J8</f>
        <v>4848008</v>
      </c>
      <c r="L8" s="1769">
        <f>F8-K8</f>
        <v>6299927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310414</v>
      </c>
      <c r="D10" s="846"/>
      <c r="E10" s="846"/>
      <c r="F10" s="1764">
        <f>(C10+D10)-E10</f>
        <v>310414</v>
      </c>
      <c r="G10" s="843">
        <v>20</v>
      </c>
      <c r="H10" s="847">
        <v>217638</v>
      </c>
      <c r="I10" s="847">
        <v>14211</v>
      </c>
      <c r="J10" s="847"/>
      <c r="K10" s="1769">
        <f>(H10+I10)-J10</f>
        <v>231849</v>
      </c>
      <c r="L10" s="1769">
        <f>F10-K10</f>
        <v>78565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901121</v>
      </c>
      <c r="D12" s="844">
        <v>131801</v>
      </c>
      <c r="E12" s="844">
        <v>133121</v>
      </c>
      <c r="F12" s="1760">
        <f>(C12+D12)-E12</f>
        <v>899801</v>
      </c>
      <c r="G12" s="843">
        <v>10</v>
      </c>
      <c r="H12" s="765">
        <v>414712</v>
      </c>
      <c r="I12" s="765">
        <v>90727</v>
      </c>
      <c r="J12" s="765">
        <v>54623</v>
      </c>
      <c r="K12" s="1769">
        <f>(H12+I12)-J12</f>
        <v>450816</v>
      </c>
      <c r="L12" s="1769">
        <f>F12-K12</f>
        <v>448985</v>
      </c>
    </row>
    <row r="13" spans="1:14" ht="14.25" thickTop="1" thickBot="1" x14ac:dyDescent="0.25">
      <c r="A13" s="848" t="s">
        <v>1122</v>
      </c>
      <c r="B13" s="840">
        <v>252</v>
      </c>
      <c r="C13" s="844">
        <v>129923</v>
      </c>
      <c r="D13" s="844"/>
      <c r="E13" s="844"/>
      <c r="F13" s="1760">
        <f>(C13+D13)-E13</f>
        <v>129923</v>
      </c>
      <c r="G13" s="843">
        <v>5</v>
      </c>
      <c r="H13" s="765">
        <v>83741</v>
      </c>
      <c r="I13" s="765">
        <v>15551</v>
      </c>
      <c r="J13" s="765"/>
      <c r="K13" s="1769">
        <f>(H13+I13)-J13</f>
        <v>99292</v>
      </c>
      <c r="L13" s="1769">
        <f>F13-K13</f>
        <v>30631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12507361</v>
      </c>
      <c r="D16" s="1760">
        <f>SUM(D3,D5:D6,D8:D10,D12:D15)</f>
        <v>131801</v>
      </c>
      <c r="E16" s="1760">
        <f>SUM(E3,E5:E6,E8:E10,E12:E15)</f>
        <v>133121</v>
      </c>
      <c r="F16" s="1760">
        <f>SUM(F3,F5:F6,F8:F10,F12:F15)</f>
        <v>12506041</v>
      </c>
      <c r="G16" s="843"/>
      <c r="H16" s="1760">
        <f>SUM(H3,H6,H8:H10,H12:H14,)</f>
        <v>5358866</v>
      </c>
      <c r="I16" s="1760">
        <f>SUM(I3,I6,I8:I10,I12:I14,)</f>
        <v>325722</v>
      </c>
      <c r="J16" s="1760">
        <f>SUM(J3,J6,J8:J10,J12:J14,)</f>
        <v>54623</v>
      </c>
      <c r="K16" s="1760">
        <f>(H16+I16)-J16</f>
        <v>5629965</v>
      </c>
      <c r="L16" s="1760">
        <f>F16-K16</f>
        <v>6876076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325722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2"/>
  <sheetViews>
    <sheetView showGridLines="0" defaultGridColor="0" colorId="8" zoomScale="110" zoomScaleNormal="110" workbookViewId="0">
      <pane ySplit="5" topLeftCell="A69" activePane="bottomLeft" state="frozen"/>
      <selection activeCell="A47" sqref="A47"/>
      <selection pane="bottomLeft" activeCell="I84" sqref="I84:I8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1975</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4492827</v>
      </c>
      <c r="G8" s="865"/>
    </row>
    <row r="9" spans="1:7" x14ac:dyDescent="0.2">
      <c r="A9" s="869" t="s">
        <v>460</v>
      </c>
      <c r="B9" s="870" t="s">
        <v>1877</v>
      </c>
      <c r="C9" s="871"/>
      <c r="D9" s="869" t="s">
        <v>501</v>
      </c>
      <c r="E9" s="868"/>
      <c r="F9" s="1909">
        <f>'Expenditures 15-22'!K151</f>
        <v>320728</v>
      </c>
      <c r="G9" s="872"/>
    </row>
    <row r="10" spans="1:7" x14ac:dyDescent="0.2">
      <c r="A10" s="869" t="s">
        <v>499</v>
      </c>
      <c r="B10" s="870" t="s">
        <v>1878</v>
      </c>
      <c r="C10" s="871"/>
      <c r="D10" s="869" t="s">
        <v>501</v>
      </c>
      <c r="E10" s="868"/>
      <c r="F10" s="1909">
        <f>'Expenditures 15-22'!K174</f>
        <v>658109</v>
      </c>
      <c r="G10" s="872"/>
    </row>
    <row r="11" spans="1:7" x14ac:dyDescent="0.2">
      <c r="A11" s="869" t="s">
        <v>461</v>
      </c>
      <c r="B11" s="870" t="s">
        <v>1879</v>
      </c>
      <c r="C11" s="871"/>
      <c r="D11" s="869" t="s">
        <v>501</v>
      </c>
      <c r="E11" s="868"/>
      <c r="F11" s="1909">
        <f>'Expenditures 15-22'!K210</f>
        <v>255385</v>
      </c>
      <c r="G11" s="872"/>
    </row>
    <row r="12" spans="1:7" x14ac:dyDescent="0.2">
      <c r="A12" s="869" t="s">
        <v>462</v>
      </c>
      <c r="B12" s="870" t="s">
        <v>1880</v>
      </c>
      <c r="C12" s="871"/>
      <c r="D12" s="869" t="s">
        <v>501</v>
      </c>
      <c r="E12" s="868"/>
      <c r="F12" s="1909">
        <f>'Expenditures 15-22'!K295</f>
        <v>171700</v>
      </c>
      <c r="G12" s="872"/>
    </row>
    <row r="13" spans="1:7" x14ac:dyDescent="0.2">
      <c r="A13" s="869" t="s">
        <v>106</v>
      </c>
      <c r="B13" s="870" t="s">
        <v>1881</v>
      </c>
      <c r="C13" s="871"/>
      <c r="D13" s="869" t="s">
        <v>501</v>
      </c>
      <c r="E13" s="868"/>
      <c r="F13" s="1909">
        <f>'Expenditures 15-22'!K342</f>
        <v>199762</v>
      </c>
      <c r="G13" s="873"/>
    </row>
    <row r="14" spans="1:7" ht="12" customHeight="1" thickBot="1" x14ac:dyDescent="0.25">
      <c r="A14" s="1770"/>
      <c r="B14" s="1771"/>
      <c r="C14" s="1772"/>
      <c r="D14" s="1773" t="s">
        <v>501</v>
      </c>
      <c r="E14" s="1774" t="s">
        <v>958</v>
      </c>
      <c r="F14" s="1775">
        <f>SUM(F8:F13)</f>
        <v>6098511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37504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25562</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2252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2000</v>
      </c>
      <c r="G51" s="865"/>
    </row>
    <row r="52" spans="1:7" x14ac:dyDescent="0.2">
      <c r="A52" s="869" t="s">
        <v>459</v>
      </c>
      <c r="B52" s="869" t="s">
        <v>1474</v>
      </c>
      <c r="C52" s="889" t="str">
        <f>'Expenditures 15-22'!B75</f>
        <v>3000</v>
      </c>
      <c r="D52" s="888" t="s">
        <v>449</v>
      </c>
      <c r="E52" s="868"/>
      <c r="F52" s="1913">
        <f>'Expenditures 15-22'!K75-SUM('Expenditures 15-22'!G75,'Expenditures 15-22'!I75)</f>
        <v>122775</v>
      </c>
      <c r="G52" s="865"/>
    </row>
    <row r="53" spans="1:7" x14ac:dyDescent="0.2">
      <c r="A53" s="869" t="s">
        <v>459</v>
      </c>
      <c r="B53" s="869" t="s">
        <v>1475</v>
      </c>
      <c r="C53" s="889">
        <f>'Expenditures 15-22'!B102</f>
        <v>4000</v>
      </c>
      <c r="D53" s="888" t="str">
        <f>'Expenditures 15-22'!A102</f>
        <v>Total Payments to Other Govt Units</v>
      </c>
      <c r="E53" s="868"/>
      <c r="F53" s="1913">
        <f>'Expenditures 15-22'!K102</f>
        <v>407798</v>
      </c>
      <c r="G53" s="865"/>
    </row>
    <row r="54" spans="1:7" x14ac:dyDescent="0.2">
      <c r="A54" s="869" t="s">
        <v>459</v>
      </c>
      <c r="B54" s="869" t="s">
        <v>1476</v>
      </c>
      <c r="C54" s="889" t="s">
        <v>982</v>
      </c>
      <c r="D54" s="885" t="s">
        <v>1095</v>
      </c>
      <c r="E54" s="868"/>
      <c r="F54" s="1913">
        <f>'Expenditures 15-22'!G114</f>
        <v>129916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1885</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225598</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2221</v>
      </c>
      <c r="G67" s="865"/>
    </row>
    <row r="68" spans="1:8" x14ac:dyDescent="0.2">
      <c r="A68" s="869" t="s">
        <v>462</v>
      </c>
      <c r="B68" s="869" t="s">
        <v>1479</v>
      </c>
      <c r="C68" s="886" t="str">
        <f>'Expenditures 15-22'!B218</f>
        <v>1225</v>
      </c>
      <c r="D68" s="892" t="str">
        <f>'Expenditures 15-22'!A218</f>
        <v>Special Education Programs - Pre-K</v>
      </c>
      <c r="E68" s="868"/>
      <c r="F68" s="1913">
        <f>'Expenditures 15-22'!K218</f>
        <v>268</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29</v>
      </c>
      <c r="G71" s="865"/>
    </row>
    <row r="72" spans="1:8" x14ac:dyDescent="0.2">
      <c r="A72" s="869" t="s">
        <v>462</v>
      </c>
      <c r="B72" s="869" t="s">
        <v>1896</v>
      </c>
      <c r="C72" s="886">
        <f>'Expenditures 15-22'!B280</f>
        <v>3000</v>
      </c>
      <c r="D72" s="876" t="s">
        <v>449</v>
      </c>
      <c r="E72" s="868"/>
      <c r="F72" s="1913">
        <f>'Expenditures 15-22'!K280</f>
        <v>18117</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975925</v>
      </c>
      <c r="G76" s="865"/>
    </row>
    <row r="77" spans="1:8" s="893" customFormat="1" ht="12" customHeight="1" thickTop="1" thickBot="1" x14ac:dyDescent="0.25">
      <c r="A77" s="1779"/>
      <c r="B77" s="1776"/>
      <c r="C77" s="1772"/>
      <c r="D77" s="1777" t="s">
        <v>1900</v>
      </c>
      <c r="E77" s="1774"/>
      <c r="F77" s="1780">
        <f>(F14-F76)</f>
        <v>5122586</v>
      </c>
      <c r="G77" s="869"/>
    </row>
    <row r="78" spans="1:8" s="893" customFormat="1" ht="12" customHeight="1" thickTop="1" x14ac:dyDescent="0.2">
      <c r="A78" s="1781"/>
      <c r="B78" s="1776"/>
      <c r="C78" s="1772"/>
      <c r="D78" s="1777" t="s">
        <v>2062</v>
      </c>
      <c r="E78" s="1774"/>
      <c r="F78" s="898">
        <v>413.6</v>
      </c>
      <c r="G78" s="899"/>
      <c r="H78" s="869"/>
    </row>
    <row r="79" spans="1:8" s="893" customFormat="1" ht="12" customHeight="1" thickBot="1" x14ac:dyDescent="0.25">
      <c r="A79" s="1782"/>
      <c r="B79" s="1776"/>
      <c r="C79" s="1772"/>
      <c r="D79" s="1777" t="s">
        <v>1901</v>
      </c>
      <c r="E79" s="1774" t="s">
        <v>958</v>
      </c>
      <c r="F79" s="1783">
        <f>IF(F78&gt;0,F77/F78," Complete Line 78")</f>
        <v>12385.362669245647</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2143</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121747</v>
      </c>
      <c r="G94" s="912"/>
    </row>
    <row r="95" spans="1:7" x14ac:dyDescent="0.2">
      <c r="A95" s="908" t="s">
        <v>140</v>
      </c>
      <c r="B95" s="908" t="s">
        <v>175</v>
      </c>
      <c r="C95" s="910">
        <v>1700</v>
      </c>
      <c r="D95" s="918" t="str">
        <f>'Revenues 9-14'!A82</f>
        <v>Total District/School Activity Income</v>
      </c>
      <c r="E95" s="906"/>
      <c r="F95" s="1789">
        <f>SUM('Revenues 9-14'!C82,'Revenues 9-14'!D82)</f>
        <v>49552</v>
      </c>
      <c r="G95" s="912"/>
    </row>
    <row r="96" spans="1:7" x14ac:dyDescent="0.2">
      <c r="A96" s="908" t="s">
        <v>459</v>
      </c>
      <c r="B96" s="908" t="s">
        <v>176</v>
      </c>
      <c r="C96" s="910">
        <f>'Revenues 9-14'!B84</f>
        <v>1811</v>
      </c>
      <c r="D96" s="911" t="str">
        <f>'Revenues 9-14'!A84</f>
        <v>Rentals - Regular Textbooks</v>
      </c>
      <c r="E96" s="906"/>
      <c r="F96" s="1789">
        <f>'Revenues 9-14'!C84</f>
        <v>17289</v>
      </c>
      <c r="G96" s="912"/>
    </row>
    <row r="97" spans="1:7" x14ac:dyDescent="0.2">
      <c r="A97" s="908" t="s">
        <v>459</v>
      </c>
      <c r="B97" s="908" t="s">
        <v>177</v>
      </c>
      <c r="C97" s="910">
        <f>'Revenues 9-14'!B87</f>
        <v>1819</v>
      </c>
      <c r="D97" s="911" t="str">
        <f>'Revenues 9-14'!A87</f>
        <v>Rentals - Other (Describe &amp; Itemize)</v>
      </c>
      <c r="E97" s="906"/>
      <c r="F97" s="1789">
        <f>'Revenues 9-14'!C87</f>
        <v>195</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134065</v>
      </c>
      <c r="G104" s="912"/>
    </row>
    <row r="105" spans="1:7" x14ac:dyDescent="0.2">
      <c r="A105" s="908" t="s">
        <v>503</v>
      </c>
      <c r="B105" s="908" t="s">
        <v>2003</v>
      </c>
      <c r="C105" s="913">
        <v>3100</v>
      </c>
      <c r="D105" s="919" t="str">
        <f>'Revenues 9-14'!A132</f>
        <v>Total Special Education</v>
      </c>
      <c r="E105" s="906"/>
      <c r="F105" s="1789">
        <f>SUM('Revenues 9-14'!C132:D132,'Revenues 9-14'!F132)</f>
        <v>15472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10435</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1082</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6588</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125833</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1463</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36940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71900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77058</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88965</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97709</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4848</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11321</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157129</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1031734</v>
      </c>
    </row>
    <row r="175" spans="1:7" ht="12" customHeight="1" x14ac:dyDescent="0.2">
      <c r="A175" s="1770"/>
      <c r="B175" s="1784"/>
      <c r="C175" s="1785"/>
      <c r="D175" s="1786" t="s">
        <v>2057</v>
      </c>
      <c r="E175" s="1787"/>
      <c r="F175" s="1789">
        <f>'PCTC-OEPP 27-28'!F77-F174</f>
        <v>4090852</v>
      </c>
    </row>
    <row r="176" spans="1:7" ht="12" customHeight="1" x14ac:dyDescent="0.2">
      <c r="A176" s="1770"/>
      <c r="B176" s="1784"/>
      <c r="C176" s="1785"/>
      <c r="D176" s="1786" t="s">
        <v>1817</v>
      </c>
      <c r="E176" s="1787"/>
      <c r="F176" s="1789">
        <f>'Cap Outlay Deprec 26'!I18</f>
        <v>325722</v>
      </c>
    </row>
    <row r="177" spans="1:7" ht="12" customHeight="1" x14ac:dyDescent="0.2">
      <c r="A177" s="1770"/>
      <c r="B177" s="1784"/>
      <c r="C177" s="1785"/>
      <c r="D177" s="1786" t="s">
        <v>2058</v>
      </c>
      <c r="E177" s="1787"/>
      <c r="F177" s="1789">
        <f>F175+F176</f>
        <v>4416574</v>
      </c>
    </row>
    <row r="178" spans="1:7" ht="12" customHeight="1" x14ac:dyDescent="0.2">
      <c r="A178" s="1770"/>
      <c r="B178" s="1790"/>
      <c r="C178" s="1785"/>
      <c r="D178" s="1786" t="str">
        <f>D78</f>
        <v>9 Month ADA from District Average Daily Attendance/Prior General State Aid Inquiry 2018-2019</v>
      </c>
      <c r="E178" s="1787"/>
      <c r="F178" s="1791">
        <f>'PCTC-OEPP 27-28'!F78</f>
        <v>413.6</v>
      </c>
      <c r="G178" s="930"/>
    </row>
    <row r="179" spans="1:7" ht="12" customHeight="1" thickBot="1" x14ac:dyDescent="0.25">
      <c r="A179" s="1770"/>
      <c r="B179" s="1790"/>
      <c r="C179" s="1785"/>
      <c r="D179" s="1786" t="s">
        <v>2059</v>
      </c>
      <c r="E179" s="1787" t="s">
        <v>1545</v>
      </c>
      <c r="F179" s="1792">
        <f>F177/F178</f>
        <v>10678.370406189555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topLeftCell="A7" zoomScaleNormal="100" workbookViewId="0">
      <selection activeCell="A19" sqref="A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534" t="s">
        <v>1819</v>
      </c>
      <c r="B6" s="1535"/>
      <c r="C6" s="1535"/>
      <c r="D6" s="1535"/>
      <c r="E6" s="1535"/>
      <c r="F6" s="1535"/>
      <c r="G6" s="1536"/>
    </row>
    <row r="7" spans="1:7" ht="30.75" customHeight="1" x14ac:dyDescent="0.25">
      <c r="A7" s="2281" t="s">
        <v>1932</v>
      </c>
      <c r="B7" s="2282"/>
      <c r="C7" s="2282"/>
      <c r="D7" s="2282"/>
      <c r="E7" s="2282"/>
      <c r="F7" s="2282"/>
      <c r="G7" s="2283"/>
    </row>
    <row r="8" spans="1:7" ht="15.75" customHeight="1" x14ac:dyDescent="0.25">
      <c r="A8" s="2284" t="s">
        <v>1907</v>
      </c>
      <c r="B8" s="2285"/>
      <c r="C8" s="2285"/>
      <c r="D8" s="2285"/>
      <c r="E8" s="2285"/>
      <c r="F8" s="2285"/>
      <c r="G8" s="2286"/>
    </row>
    <row r="9" spans="1:7" ht="35.25" customHeight="1" x14ac:dyDescent="0.25">
      <c r="A9" s="2281" t="s">
        <v>1935</v>
      </c>
      <c r="B9" s="2282"/>
      <c r="C9" s="2282"/>
      <c r="D9" s="2282"/>
      <c r="E9" s="2282"/>
      <c r="F9" s="2282"/>
      <c r="G9" s="2283"/>
    </row>
    <row r="10" spans="1:7" ht="15" customHeight="1" x14ac:dyDescent="0.25">
      <c r="A10" s="1537" t="s">
        <v>1820</v>
      </c>
      <c r="B10" s="1538"/>
      <c r="C10" s="1538"/>
      <c r="D10" s="1538"/>
      <c r="E10" s="1538"/>
      <c r="F10" s="1538"/>
      <c r="G10" s="1539"/>
    </row>
    <row r="11" spans="1:7" ht="17.25" customHeight="1" x14ac:dyDescent="0.25">
      <c r="A11" s="2281" t="s">
        <v>1934</v>
      </c>
      <c r="B11" s="2282"/>
      <c r="C11" s="2282"/>
      <c r="D11" s="2282"/>
      <c r="E11" s="2282"/>
      <c r="F11" s="2282"/>
      <c r="G11" s="2283"/>
    </row>
    <row r="12" spans="1:7" ht="15" customHeight="1" x14ac:dyDescent="0.25">
      <c r="A12" s="1537" t="s">
        <v>1825</v>
      </c>
      <c r="B12" s="1538"/>
      <c r="C12" s="1538"/>
      <c r="D12" s="1538"/>
      <c r="E12" s="1538"/>
      <c r="F12" s="1538"/>
      <c r="G12" s="1539"/>
    </row>
    <row r="13" spans="1:7" ht="32.25" customHeight="1" x14ac:dyDescent="0.25">
      <c r="A13" s="2272" t="s">
        <v>1976</v>
      </c>
      <c r="B13" s="2273"/>
      <c r="C13" s="2273"/>
      <c r="D13" s="2273"/>
      <c r="E13" s="2273"/>
      <c r="F13" s="2273"/>
      <c r="G13" s="2274"/>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2" t="s">
        <v>2113</v>
      </c>
      <c r="B17" s="1937" t="s">
        <v>2087</v>
      </c>
      <c r="C17" s="1938" t="s">
        <v>2088</v>
      </c>
      <c r="D17" s="1844">
        <v>62800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37800</v>
      </c>
      <c r="H17" s="1647"/>
    </row>
    <row r="18" spans="1:8" x14ac:dyDescent="0.25">
      <c r="A18" s="1942" t="s">
        <v>2114</v>
      </c>
      <c r="B18" s="1937" t="s">
        <v>2089</v>
      </c>
      <c r="C18" s="1938" t="s">
        <v>2090</v>
      </c>
      <c r="D18" s="1844">
        <v>85652</v>
      </c>
      <c r="E18" s="1540">
        <f t="shared" ref="E18:E140" si="2">IF(D18&lt;=25000,D18,IF(D18&gt;25000,25000,0))</f>
        <v>25000</v>
      </c>
      <c r="F18" s="1932">
        <f t="shared" si="1"/>
        <v>25000</v>
      </c>
      <c r="G18" s="1793">
        <f t="shared" ref="G18:G140" si="3">IF(F18=0,0,D18-F18)</f>
        <v>60652</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148452</v>
      </c>
      <c r="E141" s="1541">
        <f t="shared" si="0"/>
        <v>25000</v>
      </c>
      <c r="F141" s="1933">
        <f>SUM(F17:F140)</f>
        <v>50000</v>
      </c>
      <c r="G141" s="1795">
        <f>SUM(G17:G140)</f>
        <v>98452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71899</v>
      </c>
      <c r="F10" s="974"/>
      <c r="G10" s="975"/>
      <c r="H10" s="162"/>
      <c r="I10" s="162"/>
    </row>
    <row r="11" spans="1:9" s="668" customFormat="1" ht="22.5" customHeight="1" x14ac:dyDescent="0.2">
      <c r="A11" s="2292" t="s">
        <v>1977</v>
      </c>
      <c r="B11" s="2293"/>
      <c r="C11" s="2293"/>
      <c r="D11" s="2294"/>
      <c r="E11" s="977">
        <v>16447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3002948</v>
      </c>
      <c r="F19" s="1799"/>
      <c r="G19" s="1801">
        <f>'Expenditures 15-22'!K33-SUM('Expenditures 15-22'!G33,'Expenditures 15-22'!I33)+'Expenditures 15-22'!D229</f>
        <v>3002948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206611</v>
      </c>
      <c r="F21" s="1802"/>
      <c r="G21" s="1805">
        <f>'Expenditures 15-22'!K42-SUM('Expenditures 15-22'!G42,'Expenditures 15-22'!I42)+'Expenditures 15-22'!K120-SUM('Expenditures 15-22'!G120,'Expenditures 15-22'!I120)+'Expenditures 15-22'!K180-SUM('Expenditures 15-22'!G180,'Expenditures 15-22'!I180)+'Expenditures 15-22'!D238</f>
        <v>206611</v>
      </c>
      <c r="H21" s="987"/>
      <c r="I21" s="162"/>
    </row>
    <row r="22" spans="1:9" s="668" customFormat="1" ht="12" customHeight="1" x14ac:dyDescent="0.2">
      <c r="A22" s="994" t="s">
        <v>564</v>
      </c>
      <c r="B22" s="995"/>
      <c r="C22" s="993">
        <v>2200</v>
      </c>
      <c r="D22" s="1802"/>
      <c r="E22" s="1804">
        <f>'Expenditures 15-22'!K47-SUM('Expenditures 15-22'!G47,'Expenditures 15-22'!I47)+'Expenditures 15-22'!D243</f>
        <v>50605</v>
      </c>
      <c r="F22" s="1802"/>
      <c r="G22" s="1805">
        <f>'Expenditures 15-22'!K47-SUM('Expenditures 15-22'!G47,'Expenditures 15-22'!I47)+'Expenditures 15-22'!D243</f>
        <v>50605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333894</v>
      </c>
      <c r="F23" s="1802"/>
      <c r="G23" s="1804">
        <f>'Expenditures 15-22'!K53-SUM('Expenditures 15-22'!G53,'Expenditures 15-22'!I53)+'Expenditures 15-22'!D257+'Expenditures 15-22'!K330-SUM('Expenditures 15-22'!G330,'Expenditures 15-22'!I330)</f>
        <v>333894</v>
      </c>
      <c r="H23" s="987"/>
      <c r="I23" s="162"/>
    </row>
    <row r="24" spans="1:9" s="668" customFormat="1" ht="12" customHeight="1" x14ac:dyDescent="0.2">
      <c r="A24" s="994" t="s">
        <v>566</v>
      </c>
      <c r="B24" s="995"/>
      <c r="C24" s="993">
        <v>2400</v>
      </c>
      <c r="D24" s="1802"/>
      <c r="E24" s="1804">
        <f>'Expenditures 15-22'!K57-SUM('Expenditures 15-22'!G57,'Expenditures 15-22'!I57)+'Expenditures 15-22'!D261</f>
        <v>333757</v>
      </c>
      <c r="F24" s="1802"/>
      <c r="G24" s="1805">
        <f>'Expenditures 15-22'!K57-SUM('Expenditures 15-22'!G57,'Expenditures 15-22'!I57)+'Expenditures 15-22'!D261</f>
        <v>333757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70251</v>
      </c>
      <c r="E27" s="1804">
        <f>E8</f>
        <v>0</v>
      </c>
      <c r="F27" s="1804">
        <f>'Expenditures 15-22'!K60-SUM('Expenditures 15-22'!G60,'Expenditures 15-22'!I60)+'Expenditures 15-22'!D264-E8</f>
        <v>70251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340966</v>
      </c>
      <c r="F28" s="1806">
        <f>'Expenditures 15-22'!K61-SUM('Expenditures 15-22'!G61,'Expenditures 15-22'!I61)+'Expenditures 15-22'!K124-SUM('Expenditures 15-22'!G124,'Expenditures 15-22'!I124)+'Expenditures 15-22'!D266-E9</f>
        <v>340966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272691</v>
      </c>
      <c r="F29" s="1802"/>
      <c r="G29" s="1805">
        <f>'Expenditures 15-22'!K62-SUM('Expenditures 15-22'!G62,'Expenditures 15-22'!I62)+'Expenditures 15-22'!K125-SUM('Expenditures 15-22'!G125,'Expenditures 15-22'!I125)+'Expenditures 15-22'!K182-SUM('Expenditures 15-22'!G182,'Expenditures 15-22'!I182)+'Expenditures 15-22'!D267</f>
        <v>272691</v>
      </c>
      <c r="H29" s="985"/>
    </row>
    <row r="30" spans="1:9" ht="12" customHeight="1" x14ac:dyDescent="0.2">
      <c r="A30" s="994" t="s">
        <v>100</v>
      </c>
      <c r="B30" s="997"/>
      <c r="C30" s="993">
        <v>2560</v>
      </c>
      <c r="D30" s="1802"/>
      <c r="E30" s="1804">
        <f>'Expenditures 15-22'!K63-SUM('Expenditures 15-22'!G63,'Expenditures 15-22'!I63)+'Expenditures 15-22'!D268-E10</f>
        <v>76189</v>
      </c>
      <c r="F30" s="1802"/>
      <c r="G30" s="1804">
        <f>'Expenditures 15-22'!K63-SUM('Expenditures 15-22'!G63,'Expenditures 15-22'!I63)+'Expenditures 15-22'!D268-E10</f>
        <v>76189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100</v>
      </c>
      <c r="F38" s="1802"/>
      <c r="G38" s="1804">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140892</v>
      </c>
      <c r="F39" s="1802"/>
      <c r="G39" s="1804">
        <f>'Expenditures 15-22'!K75-SUM('Expenditures 15-22'!G75,'Expenditures 15-22'!I75)+'Expenditures 15-22'!K130-SUM('Expenditures 15-22'!G130,'Expenditures 15-22'!I130)+'Expenditures 15-22'!K185-SUM('Expenditures 15-22'!G185,'Expenditures 15-22'!I185)+'Expenditures 15-22'!D280</f>
        <v>140892</v>
      </c>
    </row>
    <row r="40" spans="1:7" ht="12" customHeight="1" x14ac:dyDescent="0.2">
      <c r="A40" s="990" t="s">
        <v>1823</v>
      </c>
      <c r="B40" s="991"/>
      <c r="C40" s="993"/>
      <c r="D40" s="1802"/>
      <c r="E40" s="1806">
        <f>-'Contracts Paid in CY 29'!G141</f>
        <v>-98452</v>
      </c>
      <c r="F40" s="1802"/>
      <c r="G40" s="1806">
        <f>-'Contracts Paid in CY 29'!G141</f>
        <v>-98452</v>
      </c>
    </row>
    <row r="41" spans="1:7" ht="12" customHeight="1" x14ac:dyDescent="0.2">
      <c r="A41" s="998" t="s">
        <v>156</v>
      </c>
      <c r="B41" s="999"/>
      <c r="C41" s="1000"/>
      <c r="D41" s="1806">
        <f>SUM(D19:D39)</f>
        <v>70251</v>
      </c>
      <c r="E41" s="1806">
        <f>SUM(E19:E40)</f>
        <v>4660201</v>
      </c>
      <c r="F41" s="1806">
        <f>SUM(F19:F39)</f>
        <v>411217</v>
      </c>
      <c r="G41" s="1806">
        <f>SUM(G19:G40)</f>
        <v>4319235</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70251</v>
      </c>
      <c r="F43" s="1807" t="s">
        <v>473</v>
      </c>
      <c r="G43" s="1808">
        <f>F41</f>
        <v>411217</v>
      </c>
    </row>
    <row r="44" spans="1:7" ht="12" customHeight="1" x14ac:dyDescent="0.2">
      <c r="A44" s="987"/>
      <c r="B44" s="162"/>
      <c r="C44" s="1001"/>
      <c r="D44" s="1807" t="s">
        <v>474</v>
      </c>
      <c r="E44" s="1808">
        <f>E41</f>
        <v>4660201</v>
      </c>
      <c r="F44" s="1807" t="s">
        <v>474</v>
      </c>
      <c r="G44" s="1808">
        <f>G41</f>
        <v>4319235</v>
      </c>
    </row>
    <row r="45" spans="1:7" ht="12" customHeight="1" x14ac:dyDescent="0.2">
      <c r="A45" s="987"/>
      <c r="B45" s="162"/>
      <c r="C45" s="162"/>
      <c r="D45" s="1809" t="s">
        <v>1006</v>
      </c>
      <c r="E45" s="1810">
        <f>(E43/E44)</f>
        <v>1.5074671671887113E-2</v>
      </c>
      <c r="F45" s="1809" t="s">
        <v>1006</v>
      </c>
      <c r="G45" s="1810">
        <f>(G43/G44)</f>
        <v>9.5205979762620005E-2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Pearl City CUSD 200</v>
      </c>
      <c r="D6" s="2313"/>
      <c r="E6" s="2313"/>
      <c r="F6" s="1852"/>
    </row>
    <row r="7" spans="1:10" ht="11.25" customHeight="1" thickBot="1" x14ac:dyDescent="0.3">
      <c r="A7" s="1850"/>
      <c r="B7" s="1851"/>
      <c r="C7" s="2314">
        <f>COVER!A13</f>
        <v>8089200026</v>
      </c>
      <c r="D7" s="2314"/>
      <c r="E7" s="2314"/>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2108</v>
      </c>
      <c r="D15" s="1865" t="s">
        <v>2108</v>
      </c>
      <c r="E15" s="1868" t="s">
        <v>2108</v>
      </c>
      <c r="F15" s="1867" t="s">
        <v>2091</v>
      </c>
      <c r="H15" s="1878">
        <f t="shared" si="0"/>
        <v>5</v>
      </c>
      <c r="I15" s="1878">
        <f t="shared" si="1"/>
        <v>5</v>
      </c>
      <c r="J15" s="1878">
        <f t="shared" si="2"/>
        <v>5</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t="s">
        <v>2108</v>
      </c>
      <c r="D27" s="1865" t="s">
        <v>2108</v>
      </c>
      <c r="E27" s="1868" t="s">
        <v>2108</v>
      </c>
      <c r="F27" s="1867" t="s">
        <v>2092</v>
      </c>
      <c r="H27" s="1878">
        <f t="shared" si="0"/>
        <v>5</v>
      </c>
      <c r="I27" s="1878">
        <f t="shared" si="1"/>
        <v>5</v>
      </c>
      <c r="J27" s="1878">
        <f t="shared" si="2"/>
        <v>5</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2108</v>
      </c>
      <c r="D29" s="1865" t="s">
        <v>2108</v>
      </c>
      <c r="E29" s="1868" t="s">
        <v>2108</v>
      </c>
      <c r="F29" s="1867" t="s">
        <v>2093</v>
      </c>
      <c r="H29" s="1878">
        <f t="shared" si="0"/>
        <v>5</v>
      </c>
      <c r="I29" s="1878">
        <f t="shared" si="1"/>
        <v>5</v>
      </c>
      <c r="J29" s="1878">
        <f t="shared" si="2"/>
        <v>5</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2108</v>
      </c>
      <c r="D31" s="1865" t="s">
        <v>2108</v>
      </c>
      <c r="E31" s="1868" t="s">
        <v>2108</v>
      </c>
      <c r="F31" s="1867" t="s">
        <v>2094</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20</v>
      </c>
      <c r="K34" s="1878">
        <f>SUM(H34:J34)</f>
        <v>60</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topLeftCell="A7"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Pearl City CUSD 200</v>
      </c>
      <c r="J6" s="2323"/>
      <c r="Q6" s="1664"/>
    </row>
    <row r="7" spans="1:17" x14ac:dyDescent="0.2">
      <c r="A7" s="2324" t="s">
        <v>869</v>
      </c>
      <c r="B7" s="2325"/>
      <c r="C7" s="2325"/>
      <c r="D7" s="2325"/>
      <c r="E7" s="2326"/>
      <c r="F7" s="1017"/>
      <c r="G7" s="1009"/>
      <c r="H7" s="1016" t="s">
        <v>372</v>
      </c>
      <c r="I7" s="2327">
        <f>COVER!A13</f>
        <v>8089200026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216540</v>
      </c>
      <c r="F12" s="1039"/>
      <c r="G12" s="1811">
        <f t="shared" ref="G12:G18" si="0">SUM(E12:F12)</f>
        <v>216540</v>
      </c>
      <c r="H12" s="1040">
        <v>186500</v>
      </c>
      <c r="I12" s="1039"/>
      <c r="J12" s="1811">
        <f t="shared" ref="J12:J18" si="1">SUM(H12:I12)</f>
        <v>186500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216540</v>
      </c>
      <c r="F19" s="1813">
        <f t="shared" si="2"/>
        <v>0</v>
      </c>
      <c r="G19" s="1813">
        <f t="shared" si="2"/>
        <v>216540</v>
      </c>
      <c r="H19" s="1813">
        <f t="shared" si="2"/>
        <v>186500</v>
      </c>
      <c r="I19" s="1813">
        <f t="shared" si="2"/>
        <v>0</v>
      </c>
      <c r="J19" s="1813">
        <f t="shared" si="2"/>
        <v>186500</v>
      </c>
    </row>
    <row r="20" spans="1:10" ht="13.5" thickTop="1" x14ac:dyDescent="0.2">
      <c r="A20" s="1035">
        <v>9</v>
      </c>
      <c r="B20" s="2334" t="s">
        <v>1981</v>
      </c>
      <c r="C20" s="2334"/>
      <c r="D20" s="2335"/>
      <c r="E20" s="1046"/>
      <c r="F20" s="1046"/>
      <c r="G20" s="1046"/>
      <c r="H20" s="1046"/>
      <c r="I20" s="1046"/>
      <c r="J20" s="1814">
        <f>IF(AND(G19&gt;0,J19&gt;0),(((J19-G19)/G19)),"Enter Budget Data")</f>
        <v>-0.13872725593423849</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1983</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G64"/>
  <sheetViews>
    <sheetView showGridLines="0" topLeftCell="A13" zoomScaleNormal="100" workbookViewId="0">
      <selection activeCell="D61" sqref="D61"/>
    </sheetView>
  </sheetViews>
  <sheetFormatPr defaultRowHeight="12.75" x14ac:dyDescent="0.2"/>
  <cols>
    <col min="1" max="1" width="3" style="329" customWidth="1"/>
    <col min="2" max="5" width="10.85546875" style="329" customWidth="1"/>
    <col min="6" max="6" width="28.28515625" style="329" customWidth="1"/>
    <col min="7" max="7" width="11.7109375" style="329" customWidth="1"/>
    <col min="8" max="16384" width="9.140625" style="329"/>
  </cols>
  <sheetData>
    <row r="2" spans="1:7" x14ac:dyDescent="0.2">
      <c r="A2" s="389" t="s">
        <v>258</v>
      </c>
    </row>
    <row r="3" spans="1:7" x14ac:dyDescent="0.2">
      <c r="A3" s="329" t="s">
        <v>259</v>
      </c>
    </row>
    <row r="5" spans="1:7" x14ac:dyDescent="0.2">
      <c r="A5" s="1068"/>
      <c r="B5" s="1943" t="s">
        <v>2096</v>
      </c>
      <c r="C5" s="1943" t="s">
        <v>2097</v>
      </c>
      <c r="D5" s="1943" t="s">
        <v>1077</v>
      </c>
      <c r="E5" s="1943" t="s">
        <v>2095</v>
      </c>
      <c r="F5" s="1943" t="s">
        <v>481</v>
      </c>
      <c r="G5" s="1943" t="s">
        <v>865</v>
      </c>
    </row>
    <row r="6" spans="1:7" x14ac:dyDescent="0.2">
      <c r="A6" s="1068"/>
      <c r="B6" s="1943"/>
      <c r="C6" s="1943"/>
      <c r="D6" s="1943"/>
      <c r="E6" s="1943"/>
      <c r="F6" s="1943"/>
      <c r="G6" s="1943"/>
    </row>
    <row r="7" spans="1:7" ht="13.5" thickBot="1" x14ac:dyDescent="0.25">
      <c r="A7" s="1068"/>
      <c r="B7" s="1939">
        <v>10</v>
      </c>
      <c r="C7" s="1939">
        <v>72</v>
      </c>
      <c r="D7" s="1939">
        <v>10</v>
      </c>
      <c r="E7" s="1939">
        <v>1614</v>
      </c>
      <c r="F7" s="329" t="s">
        <v>2098</v>
      </c>
      <c r="G7" s="1940">
        <v>3965</v>
      </c>
    </row>
    <row r="8" spans="1:7" ht="13.5" thickTop="1" x14ac:dyDescent="0.2">
      <c r="A8" s="1068"/>
      <c r="B8" s="1939"/>
      <c r="C8" s="1939"/>
      <c r="D8" s="1939"/>
      <c r="E8" s="1939"/>
    </row>
    <row r="9" spans="1:7" ht="13.5" thickBot="1" x14ac:dyDescent="0.25">
      <c r="A9" s="1068"/>
      <c r="B9" s="1939">
        <v>10</v>
      </c>
      <c r="C9" s="1939">
        <v>74</v>
      </c>
      <c r="D9" s="1939">
        <v>10</v>
      </c>
      <c r="E9" s="1939">
        <v>1690</v>
      </c>
      <c r="F9" s="329" t="s">
        <v>2099</v>
      </c>
      <c r="G9" s="1940">
        <v>1143</v>
      </c>
    </row>
    <row r="10" spans="1:7" ht="13.5" thickTop="1" x14ac:dyDescent="0.2">
      <c r="A10" s="1069"/>
      <c r="B10" s="1939"/>
      <c r="C10" s="1939"/>
      <c r="D10" s="1939"/>
      <c r="E10" s="1939"/>
    </row>
    <row r="11" spans="1:7" ht="13.5" thickBot="1" x14ac:dyDescent="0.25">
      <c r="A11" s="1069"/>
      <c r="B11" s="1939">
        <v>10</v>
      </c>
      <c r="C11" s="1939">
        <v>87</v>
      </c>
      <c r="D11" s="1939">
        <v>10</v>
      </c>
      <c r="E11" s="1939">
        <v>1819</v>
      </c>
      <c r="F11" s="329" t="s">
        <v>2100</v>
      </c>
      <c r="G11" s="1940">
        <v>195</v>
      </c>
    </row>
    <row r="12" spans="1:7" ht="13.5" thickTop="1" x14ac:dyDescent="0.2">
      <c r="A12" s="1069"/>
      <c r="B12" s="1939"/>
      <c r="C12" s="1939"/>
      <c r="D12" s="1939"/>
      <c r="E12" s="1939"/>
    </row>
    <row r="13" spans="1:7" ht="13.5" thickBot="1" x14ac:dyDescent="0.25">
      <c r="A13" s="1069"/>
      <c r="B13" s="1939">
        <v>10</v>
      </c>
      <c r="C13" s="1939">
        <v>106</v>
      </c>
      <c r="D13" s="1939">
        <v>10</v>
      </c>
      <c r="E13" s="1939">
        <v>1993</v>
      </c>
      <c r="F13" s="329" t="s">
        <v>2117</v>
      </c>
      <c r="G13" s="1940">
        <v>134065</v>
      </c>
    </row>
    <row r="14" spans="1:7" ht="13.5" thickTop="1" x14ac:dyDescent="0.2">
      <c r="A14" s="1069"/>
      <c r="B14" s="1939"/>
      <c r="C14" s="1939"/>
      <c r="D14" s="1939"/>
      <c r="E14" s="1939"/>
    </row>
    <row r="15" spans="1:7" x14ac:dyDescent="0.2">
      <c r="A15" s="1069"/>
      <c r="B15" s="1939">
        <v>10</v>
      </c>
      <c r="C15" s="1939">
        <v>107</v>
      </c>
      <c r="D15" s="1939">
        <v>10</v>
      </c>
      <c r="E15" s="1939">
        <v>1999</v>
      </c>
      <c r="F15" s="329" t="s">
        <v>2101</v>
      </c>
      <c r="G15" s="1941">
        <v>9720</v>
      </c>
    </row>
    <row r="16" spans="1:7" x14ac:dyDescent="0.2">
      <c r="A16" s="1069"/>
      <c r="B16" s="1939"/>
      <c r="C16" s="1939"/>
      <c r="D16" s="1939"/>
      <c r="E16" s="1939"/>
      <c r="F16" s="329" t="s">
        <v>2105</v>
      </c>
      <c r="G16" s="1945">
        <v>4318</v>
      </c>
    </row>
    <row r="17" spans="1:7" x14ac:dyDescent="0.2">
      <c r="A17" s="1069"/>
      <c r="B17" s="1939"/>
      <c r="C17" s="1939"/>
      <c r="D17" s="1939"/>
      <c r="E17" s="1939"/>
      <c r="F17" s="329" t="s">
        <v>2107</v>
      </c>
      <c r="G17" s="1945">
        <v>1032</v>
      </c>
    </row>
    <row r="18" spans="1:7" x14ac:dyDescent="0.2">
      <c r="A18" s="1069"/>
      <c r="B18" s="1939"/>
      <c r="C18" s="1939"/>
      <c r="D18" s="1939"/>
      <c r="E18" s="1939"/>
      <c r="F18" s="329" t="s">
        <v>2106</v>
      </c>
      <c r="G18" s="1945">
        <v>9528</v>
      </c>
    </row>
    <row r="19" spans="1:7" ht="13.5" thickBot="1" x14ac:dyDescent="0.25">
      <c r="A19" s="1069"/>
      <c r="B19" s="1939"/>
      <c r="C19" s="1939"/>
      <c r="D19" s="1939"/>
      <c r="E19" s="1939"/>
      <c r="G19" s="1944">
        <f>SUM(G15:G18)</f>
        <v>24598</v>
      </c>
    </row>
    <row r="20" spans="1:7" ht="13.5" thickTop="1" x14ac:dyDescent="0.2">
      <c r="A20" s="1069"/>
      <c r="B20" s="1939"/>
      <c r="C20" s="1939"/>
      <c r="D20" s="1939"/>
      <c r="E20" s="1939"/>
    </row>
    <row r="21" spans="1:7" ht="13.5" thickBot="1" x14ac:dyDescent="0.25">
      <c r="A21" s="1069"/>
      <c r="B21" s="1939">
        <v>10</v>
      </c>
      <c r="C21" s="1939">
        <v>107</v>
      </c>
      <c r="D21" s="1939">
        <v>40</v>
      </c>
      <c r="E21" s="1939">
        <v>1999</v>
      </c>
      <c r="F21" s="329" t="s">
        <v>2104</v>
      </c>
      <c r="G21" s="1940">
        <v>1378</v>
      </c>
    </row>
    <row r="22" spans="1:7" ht="13.5" thickTop="1" x14ac:dyDescent="0.2">
      <c r="A22" s="1069"/>
      <c r="B22" s="1939"/>
      <c r="C22" s="1939"/>
      <c r="D22" s="1939"/>
      <c r="E22" s="1939"/>
    </row>
    <row r="23" spans="1:7" ht="13.5" thickBot="1" x14ac:dyDescent="0.25">
      <c r="A23" s="1069"/>
      <c r="B23" s="1939">
        <v>12</v>
      </c>
      <c r="C23" s="1939">
        <v>168</v>
      </c>
      <c r="D23" s="1939">
        <v>10</v>
      </c>
      <c r="E23" s="1939">
        <v>3999</v>
      </c>
      <c r="F23" s="329" t="s">
        <v>2103</v>
      </c>
      <c r="G23" s="1940">
        <v>1463</v>
      </c>
    </row>
    <row r="24" spans="1:7" ht="13.5" thickTop="1" x14ac:dyDescent="0.2">
      <c r="A24" s="1069"/>
      <c r="B24" s="1939"/>
      <c r="C24" s="1939"/>
      <c r="D24" s="1939"/>
      <c r="E24" s="1939"/>
    </row>
    <row r="25" spans="1:7" ht="13.5" thickBot="1" x14ac:dyDescent="0.25">
      <c r="A25" s="1069"/>
      <c r="B25" s="1939">
        <v>12</v>
      </c>
      <c r="C25" s="1939">
        <v>180</v>
      </c>
      <c r="D25" s="1939">
        <v>10</v>
      </c>
      <c r="E25" s="1939">
        <v>4090</v>
      </c>
      <c r="F25" s="329" t="s">
        <v>2102</v>
      </c>
      <c r="G25" s="1940">
        <v>36940</v>
      </c>
    </row>
    <row r="26" spans="1:7" ht="13.5" thickTop="1" x14ac:dyDescent="0.2">
      <c r="A26" s="1069"/>
    </row>
    <row r="27" spans="1:7" ht="13.5" thickBot="1" x14ac:dyDescent="0.25">
      <c r="A27" s="1069"/>
      <c r="B27" s="1939">
        <v>16</v>
      </c>
      <c r="C27" s="1939">
        <v>73</v>
      </c>
      <c r="D27" s="1939">
        <v>10</v>
      </c>
      <c r="E27" s="1939">
        <v>2900</v>
      </c>
      <c r="F27" s="329" t="s">
        <v>2116</v>
      </c>
      <c r="G27" s="1940">
        <v>100</v>
      </c>
    </row>
    <row r="28" spans="1:7" ht="13.5" thickTop="1" x14ac:dyDescent="0.2">
      <c r="A28" s="1069"/>
    </row>
    <row r="29" spans="1:7" x14ac:dyDescent="0.2">
      <c r="A29" s="1069"/>
      <c r="B29" s="329" t="s">
        <v>2118</v>
      </c>
    </row>
    <row r="30" spans="1:7" x14ac:dyDescent="0.2">
      <c r="A30" s="1069"/>
      <c r="B30" s="329" t="s">
        <v>2119</v>
      </c>
    </row>
    <row r="31" spans="1:7" x14ac:dyDescent="0.2">
      <c r="A31" s="1069"/>
    </row>
    <row r="32" spans="1:7" x14ac:dyDescent="0.2">
      <c r="A32" s="1069"/>
      <c r="B32" s="329" t="s">
        <v>2115</v>
      </c>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Pearl City CUSD 200</v>
      </c>
    </row>
    <row r="64" spans="1:2" x14ac:dyDescent="0.2">
      <c r="B64" s="1070">
        <f>COVER!A13</f>
        <v>8089200026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1987</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1988</v>
      </c>
      <c r="B4" s="2362"/>
      <c r="C4" s="2362"/>
      <c r="D4" s="2362"/>
      <c r="E4" s="2362"/>
      <c r="F4" s="2363"/>
      <c r="G4" s="1074"/>
      <c r="H4" s="1074"/>
    </row>
    <row r="5" spans="1:8" ht="14.25" customHeight="1" x14ac:dyDescent="0.2">
      <c r="A5" s="2364" t="s">
        <v>1984</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4327515</v>
      </c>
      <c r="C8" s="1815">
        <f>'Acct Summary 7-8'!D8</f>
        <v>200218</v>
      </c>
      <c r="D8" s="1815">
        <f>'Acct Summary 7-8'!F8</f>
        <v>248779</v>
      </c>
      <c r="E8" s="1815">
        <f>'Acct Summary 7-8'!I8</f>
        <v>24610</v>
      </c>
      <c r="F8" s="1815">
        <f>SUM(B8:E8)</f>
        <v>4801122</v>
      </c>
    </row>
    <row r="9" spans="1:8" s="1079" customFormat="1" ht="14.25" customHeight="1" thickBot="1" x14ac:dyDescent="0.25">
      <c r="A9" s="1078" t="s">
        <v>1369</v>
      </c>
      <c r="B9" s="1816">
        <f>'Acct Summary 7-8'!C17</f>
        <v>4492827</v>
      </c>
      <c r="C9" s="1816">
        <f>'Acct Summary 7-8'!D17</f>
        <v>320728</v>
      </c>
      <c r="D9" s="1816">
        <f>'Acct Summary 7-8'!F17</f>
        <v>255385</v>
      </c>
      <c r="E9" s="1815"/>
      <c r="F9" s="1815">
        <f>SUM(B9:E9)</f>
        <v>5068940</v>
      </c>
    </row>
    <row r="10" spans="1:8" s="1079" customFormat="1" ht="14.25" thickTop="1" thickBot="1" x14ac:dyDescent="0.25">
      <c r="A10" s="1080" t="s">
        <v>1370</v>
      </c>
      <c r="B10" s="1817">
        <f>(B8-B9)</f>
        <v>-165312</v>
      </c>
      <c r="C10" s="1817">
        <f>(C8-C9)</f>
        <v>-120510</v>
      </c>
      <c r="D10" s="1817">
        <f>(D8-D9)</f>
        <v>-6606</v>
      </c>
      <c r="E10" s="1816">
        <f>(E8-E9)</f>
        <v>24610</v>
      </c>
      <c r="F10" s="1818">
        <f>SUM(F8-F9)</f>
        <v>-267818</v>
      </c>
    </row>
    <row r="11" spans="1:8" s="1079" customFormat="1" ht="14.25" thickTop="1" thickBot="1" x14ac:dyDescent="0.25">
      <c r="A11" s="1081" t="s">
        <v>1985</v>
      </c>
      <c r="B11" s="1819">
        <f>'Acct Summary 7-8'!C81</f>
        <v>32972</v>
      </c>
      <c r="C11" s="1819">
        <f>'Acct Summary 7-8'!D81</f>
        <v>455896</v>
      </c>
      <c r="D11" s="1819">
        <f>'Acct Summary 7-8'!F81</f>
        <v>277555</v>
      </c>
      <c r="E11" s="1819">
        <f>'Acct Summary 7-8'!I81</f>
        <v>172946</v>
      </c>
      <c r="F11" s="1820">
        <f>SUM(B11:E11)</f>
        <v>939369</v>
      </c>
    </row>
    <row r="12" spans="1:8" ht="16.5" customHeight="1" thickTop="1" x14ac:dyDescent="0.2">
      <c r="A12" s="1082"/>
      <c r="B12" s="1083"/>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election activeCell="H87" sqref="H8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ERROR!</v>
      </c>
    </row>
    <row r="69" spans="1:4" x14ac:dyDescent="0.2">
      <c r="A69" s="1100"/>
      <c r="B69" s="1110"/>
      <c r="C69" s="1102" t="s">
        <v>1916</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8089200026</v>
      </c>
    </row>
    <row r="3" spans="1:2" x14ac:dyDescent="0.2">
      <c r="A3" t="s">
        <v>956</v>
      </c>
      <c r="B3" s="138" t="str">
        <f>COVER!A15</f>
        <v>STEPHENSON</v>
      </c>
    </row>
    <row r="4" spans="1:2" x14ac:dyDescent="0.2">
      <c r="A4" t="s">
        <v>1007</v>
      </c>
      <c r="B4" s="138" t="str">
        <f>COVER!A17</f>
        <v>Pearl City CUSD 200</v>
      </c>
    </row>
    <row r="5" spans="1:2" x14ac:dyDescent="0.2">
      <c r="A5" t="s">
        <v>704</v>
      </c>
      <c r="B5" s="138" t="str">
        <f>COVER!A38</f>
        <v>MICHAEL SCHIFFMAN</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35521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32789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-183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-183</v>
      </c>
      <c r="C91" s="2" t="s">
        <v>573</v>
      </c>
      <c r="D91" s="2" t="str">
        <f t="shared" si="0"/>
        <v>Error?</v>
      </c>
    </row>
    <row r="92" spans="1:4" x14ac:dyDescent="0.2">
      <c r="A92" s="5">
        <v>31</v>
      </c>
      <c r="B92" s="138">
        <f>'Assets-Liab 5-6'!C39</f>
        <v>32972</v>
      </c>
      <c r="D92" s="2" t="str">
        <f t="shared" si="0"/>
        <v>Error?</v>
      </c>
    </row>
    <row r="93" spans="1:4" x14ac:dyDescent="0.2">
      <c r="A93" s="5">
        <v>32</v>
      </c>
      <c r="B93" s="138">
        <f>'Assets-Liab 5-6'!C41</f>
        <v>32789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455896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455896</v>
      </c>
      <c r="D123" s="2" t="str">
        <f t="shared" si="0"/>
        <v>Error?</v>
      </c>
    </row>
    <row r="124" spans="1:4" x14ac:dyDescent="0.2">
      <c r="A124" s="5">
        <v>63</v>
      </c>
      <c r="B124" s="138">
        <f>'Assets-Liab 5-6'!D41</f>
        <v>455896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66633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66633</v>
      </c>
      <c r="D140" s="2" t="str">
        <f t="shared" si="1"/>
        <v>Error?</v>
      </c>
    </row>
    <row r="141" spans="1:4" x14ac:dyDescent="0.2">
      <c r="A141" s="5">
        <v>80</v>
      </c>
      <c r="B141" s="138">
        <f>'Assets-Liab 5-6'!E41</f>
        <v>66633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277555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277555</v>
      </c>
      <c r="D170" s="2" t="str">
        <f t="shared" si="1"/>
        <v>Error?</v>
      </c>
    </row>
    <row r="171" spans="1:4" x14ac:dyDescent="0.2">
      <c r="A171" s="5">
        <v>110</v>
      </c>
      <c r="B171" s="138">
        <f>'Assets-Liab 5-6'!F41</f>
        <v>277555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70347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36432</v>
      </c>
      <c r="D189" s="2" t="str">
        <f t="shared" si="1"/>
        <v>Error?</v>
      </c>
    </row>
    <row r="190" spans="1:4" x14ac:dyDescent="0.2">
      <c r="A190" s="5">
        <v>129</v>
      </c>
      <c r="B190" s="138">
        <f>'Assets-Liab 5-6'!G41</f>
        <v>70347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3506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3506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17968</v>
      </c>
      <c r="D273" s="2" t="str">
        <f t="shared" si="3"/>
        <v>Error?</v>
      </c>
    </row>
    <row r="274" spans="1:4" x14ac:dyDescent="0.2">
      <c r="A274" s="5">
        <v>213</v>
      </c>
      <c r="B274" s="138">
        <f>'Assets-Liab 5-6'!M17</f>
        <v>11147935</v>
      </c>
      <c r="D274" s="2" t="str">
        <f t="shared" si="3"/>
        <v>Error?</v>
      </c>
    </row>
    <row r="275" spans="1:4" x14ac:dyDescent="0.2">
      <c r="A275" s="5">
        <v>214</v>
      </c>
      <c r="B275" s="138">
        <f>'Assets-Liab 5-6'!M18</f>
        <v>310414</v>
      </c>
      <c r="D275" s="2" t="str">
        <f t="shared" si="3"/>
        <v>Error?</v>
      </c>
    </row>
    <row r="276" spans="1:4" x14ac:dyDescent="0.2">
      <c r="A276" s="5">
        <v>215</v>
      </c>
      <c r="B276" s="138">
        <f>'Assets-Liab 5-6'!M19</f>
        <v>1029724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12506041</v>
      </c>
      <c r="C279" s="2" t="s">
        <v>573</v>
      </c>
      <c r="D279" s="2" t="str">
        <f t="shared" si="3"/>
        <v>Error?</v>
      </c>
    </row>
    <row r="280" spans="1:4" x14ac:dyDescent="0.2">
      <c r="A280" s="5">
        <v>219</v>
      </c>
      <c r="B280" s="138">
        <f>'Assets-Liab 5-6'!M40</f>
        <v>12506041</v>
      </c>
      <c r="D280" s="2" t="str">
        <f t="shared" si="3"/>
        <v>Error?</v>
      </c>
    </row>
    <row r="281" spans="1:4" x14ac:dyDescent="0.2">
      <c r="A281" s="5">
        <v>220</v>
      </c>
      <c r="B281" s="138">
        <f>'Assets-Liab 5-6'!M41</f>
        <v>12506041</v>
      </c>
      <c r="C281" s="2" t="s">
        <v>573</v>
      </c>
      <c r="D281" s="2" t="str">
        <f t="shared" si="3"/>
        <v>Error?</v>
      </c>
    </row>
    <row r="282" spans="1:4" x14ac:dyDescent="0.2">
      <c r="A282" s="5">
        <v>221</v>
      </c>
      <c r="B282" s="138">
        <f>'Assets-Liab 5-6'!N21</f>
        <v>66633</v>
      </c>
      <c r="D282" s="2" t="str">
        <f t="shared" si="3"/>
        <v>Error?</v>
      </c>
    </row>
    <row r="283" spans="1:4" x14ac:dyDescent="0.2">
      <c r="A283" s="5">
        <v>222</v>
      </c>
      <c r="B283" s="138">
        <f>'Assets-Liab 5-6'!N22</f>
        <v>228712</v>
      </c>
      <c r="D283" s="2" t="str">
        <f t="shared" si="3"/>
        <v>Error?</v>
      </c>
    </row>
    <row r="284" spans="1:4" x14ac:dyDescent="0.2">
      <c r="A284" s="5">
        <v>223</v>
      </c>
      <c r="B284" s="138">
        <f>'Assets-Liab 5-6'!N23</f>
        <v>295345</v>
      </c>
      <c r="C284" s="2" t="s">
        <v>573</v>
      </c>
      <c r="D284" s="2" t="str">
        <f t="shared" si="3"/>
        <v>Error?</v>
      </c>
    </row>
    <row r="285" spans="1:4" x14ac:dyDescent="0.2">
      <c r="A285" s="5">
        <v>224</v>
      </c>
      <c r="B285" s="138">
        <f>'Assets-Liab 5-6'!N36</f>
        <v>295345</v>
      </c>
      <c r="D285" s="2" t="str">
        <f t="shared" si="3"/>
        <v>Error?</v>
      </c>
    </row>
    <row r="286" spans="1:4" x14ac:dyDescent="0.2">
      <c r="A286" s="10">
        <v>225</v>
      </c>
      <c r="D286" s="2" t="str">
        <f t="shared" si="3"/>
        <v>OK</v>
      </c>
    </row>
    <row r="287" spans="1:4" x14ac:dyDescent="0.2">
      <c r="A287" s="5">
        <v>226</v>
      </c>
      <c r="B287" s="138">
        <f>'Assets-Liab 5-6'!N37</f>
        <v>295345</v>
      </c>
      <c r="C287" s="2" t="s">
        <v>573</v>
      </c>
      <c r="D287" s="2" t="str">
        <f t="shared" si="3"/>
        <v>Error?</v>
      </c>
    </row>
    <row r="288" spans="1:4" x14ac:dyDescent="0.2">
      <c r="A288" s="5">
        <v>227</v>
      </c>
      <c r="B288" s="138">
        <f>'Assets-Liab 5-6'!N41</f>
        <v>295345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5893</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1521322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103584</v>
      </c>
      <c r="D717" s="2" t="str">
        <f t="shared" si="10"/>
        <v>Error?</v>
      </c>
    </row>
    <row r="718" spans="1:4" x14ac:dyDescent="0.2">
      <c r="A718" s="5">
        <v>657</v>
      </c>
      <c r="B718" s="138">
        <f>'Expenditures 15-22'!C14</f>
        <v>68545</v>
      </c>
      <c r="D718" s="2" t="str">
        <f t="shared" si="10"/>
        <v>Error?</v>
      </c>
    </row>
    <row r="719" spans="1:4" x14ac:dyDescent="0.2">
      <c r="A719" s="5">
        <v>658</v>
      </c>
      <c r="B719" s="138">
        <f>'Expenditures 15-22'!C15</f>
        <v>1995</v>
      </c>
      <c r="D719" s="2" t="str">
        <f t="shared" si="10"/>
        <v>Error?</v>
      </c>
    </row>
    <row r="720" spans="1:4" x14ac:dyDescent="0.2">
      <c r="A720" s="5">
        <v>659</v>
      </c>
      <c r="B720" s="138">
        <f>'Expenditures 15-22'!C33</f>
        <v>2141215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41056</v>
      </c>
      <c r="D722" s="2" t="str">
        <f t="shared" si="10"/>
        <v>Error?</v>
      </c>
    </row>
    <row r="723" spans="1:4" x14ac:dyDescent="0.2">
      <c r="A723" s="5">
        <v>662</v>
      </c>
      <c r="B723" s="138">
        <f>'Expenditures 15-22'!C38</f>
        <v>46496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87552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31424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31424</v>
      </c>
      <c r="C731" s="2" t="s">
        <v>573</v>
      </c>
      <c r="D731" s="2" t="str">
        <f t="shared" si="10"/>
        <v>Error?</v>
      </c>
    </row>
    <row r="732" spans="1:4" x14ac:dyDescent="0.2">
      <c r="A732" s="5">
        <v>671</v>
      </c>
      <c r="B732" s="138">
        <f>'Expenditures 15-22'!C49</f>
        <v>1560</v>
      </c>
      <c r="D732" s="2" t="str">
        <f t="shared" si="10"/>
        <v>Error?</v>
      </c>
    </row>
    <row r="733" spans="1:4" x14ac:dyDescent="0.2">
      <c r="A733" s="5">
        <v>672</v>
      </c>
      <c r="B733" s="138">
        <f>'Expenditures 15-22'!C50</f>
        <v>72000</v>
      </c>
      <c r="D733" s="2" t="str">
        <f t="shared" si="10"/>
        <v>Error?</v>
      </c>
    </row>
    <row r="734" spans="1:4" x14ac:dyDescent="0.2">
      <c r="A734" s="5">
        <v>673</v>
      </c>
      <c r="B734" s="138">
        <f>'Expenditures 15-22'!C53</f>
        <v>73560</v>
      </c>
      <c r="C734" s="2" t="s">
        <v>573</v>
      </c>
      <c r="D734" s="2" t="str">
        <f t="shared" si="10"/>
        <v>Error?</v>
      </c>
    </row>
    <row r="735" spans="1:4" x14ac:dyDescent="0.2">
      <c r="A735" s="5">
        <v>674</v>
      </c>
      <c r="B735" s="138">
        <f>'Expenditures 15-22'!C55</f>
        <v>265780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265780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48700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56404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105104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563420</v>
      </c>
      <c r="C755" s="2" t="s">
        <v>573</v>
      </c>
      <c r="D755" s="2" t="str">
        <f t="shared" si="10"/>
        <v>Error?</v>
      </c>
    </row>
    <row r="756" spans="1:4" x14ac:dyDescent="0.2">
      <c r="A756" s="5">
        <v>695</v>
      </c>
      <c r="B756" s="138">
        <f>'Expenditures 15-22'!C75</f>
        <v>104446</v>
      </c>
      <c r="D756" s="2" t="str">
        <f t="shared" si="10"/>
        <v>Error?</v>
      </c>
    </row>
    <row r="757" spans="1:4" x14ac:dyDescent="0.2">
      <c r="A757" s="5">
        <v>696</v>
      </c>
      <c r="B757" s="138">
        <f>'Expenditures 15-22'!C114</f>
        <v>2809081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430996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30132</v>
      </c>
      <c r="D775" s="2" t="str">
        <f t="shared" si="11"/>
        <v>Error?</v>
      </c>
    </row>
    <row r="776" spans="1:4" x14ac:dyDescent="0.2">
      <c r="A776" s="5">
        <v>715</v>
      </c>
      <c r="B776" s="138">
        <f>'Expenditures 15-22'!D14</f>
        <v>2107</v>
      </c>
      <c r="D776" s="2" t="str">
        <f t="shared" si="11"/>
        <v>Error?</v>
      </c>
    </row>
    <row r="777" spans="1:4" x14ac:dyDescent="0.2">
      <c r="A777" s="5">
        <v>716</v>
      </c>
      <c r="B777" s="138">
        <f>'Expenditures 15-22'!D15</f>
        <v>257</v>
      </c>
      <c r="D777" s="2" t="str">
        <f t="shared" si="11"/>
        <v>Error?</v>
      </c>
    </row>
    <row r="778" spans="1:4" x14ac:dyDescent="0.2">
      <c r="A778" s="5">
        <v>717</v>
      </c>
      <c r="B778" s="138">
        <f>'Expenditures 15-22'!D33</f>
        <v>542374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13773</v>
      </c>
      <c r="D780" s="2" t="str">
        <f t="shared" si="11"/>
        <v>Error?</v>
      </c>
    </row>
    <row r="781" spans="1:4" x14ac:dyDescent="0.2">
      <c r="A781" s="5">
        <v>720</v>
      </c>
      <c r="B781" s="138">
        <f>'Expenditures 15-22'!D38</f>
        <v>10518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24291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437</v>
      </c>
      <c r="D791" s="2" t="str">
        <f t="shared" si="11"/>
        <v>Error?</v>
      </c>
    </row>
    <row r="792" spans="1:4" x14ac:dyDescent="0.2">
      <c r="A792" s="5">
        <v>731</v>
      </c>
      <c r="B792" s="138">
        <f>'Expenditures 15-22'!D53</f>
        <v>437</v>
      </c>
      <c r="C792" s="2" t="s">
        <v>573</v>
      </c>
      <c r="D792" s="2" t="str">
        <f t="shared" si="11"/>
        <v>Error?</v>
      </c>
    </row>
    <row r="793" spans="1:4" x14ac:dyDescent="0.2">
      <c r="A793" s="5">
        <v>732</v>
      </c>
      <c r="B793" s="138">
        <f>'Expenditures 15-22'!D55</f>
        <v>53753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53753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78531</v>
      </c>
      <c r="C813" s="2" t="s">
        <v>573</v>
      </c>
      <c r="D813" s="2" t="str">
        <f t="shared" si="11"/>
        <v>Error?</v>
      </c>
    </row>
    <row r="814" spans="1:4" x14ac:dyDescent="0.2">
      <c r="A814" s="5">
        <v>753</v>
      </c>
      <c r="B814" s="138">
        <f>'Expenditures 15-22'!D75</f>
        <v>13216</v>
      </c>
      <c r="D814" s="2" t="str">
        <f t="shared" si="11"/>
        <v>Error?</v>
      </c>
    </row>
    <row r="815" spans="1:4" x14ac:dyDescent="0.2">
      <c r="A815" s="5">
        <v>754</v>
      </c>
      <c r="B815" s="138">
        <f>'Expenditures 15-22'!D114</f>
        <v>634121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12656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11103</v>
      </c>
      <c r="D833" s="2" t="str">
        <f t="shared" si="12"/>
        <v>Error?</v>
      </c>
    </row>
    <row r="834" spans="1:4" x14ac:dyDescent="0.2">
      <c r="A834" s="5">
        <v>773</v>
      </c>
      <c r="B834" s="138">
        <f>'Expenditures 15-22'!E14</f>
        <v>32862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122392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495</v>
      </c>
      <c r="D838" s="2" t="str">
        <f t="shared" si="12"/>
        <v>Error?</v>
      </c>
    </row>
    <row r="839" spans="1:4" x14ac:dyDescent="0.2">
      <c r="A839" s="5">
        <v>778</v>
      </c>
      <c r="B839" s="138">
        <f>'Expenditures 15-22'!E38</f>
        <v>793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86424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87712</v>
      </c>
      <c r="C843" s="2" t="s">
        <v>573</v>
      </c>
      <c r="D843" s="2" t="str">
        <f t="shared" si="12"/>
        <v>Error?</v>
      </c>
    </row>
    <row r="844" spans="1:4" x14ac:dyDescent="0.2">
      <c r="A844" s="5">
        <v>783</v>
      </c>
      <c r="B844" s="138">
        <f>'Expenditures 15-22'!E44</f>
        <v>10021</v>
      </c>
      <c r="D844" s="2" t="str">
        <f t="shared" si="12"/>
        <v>Error?</v>
      </c>
    </row>
    <row r="845" spans="1:4" x14ac:dyDescent="0.2">
      <c r="A845" s="5">
        <v>784</v>
      </c>
      <c r="B845" s="138">
        <f>'Expenditures 15-22'!E45</f>
        <v>1045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11066</v>
      </c>
      <c r="C847" s="2" t="s">
        <v>573</v>
      </c>
      <c r="D847" s="2" t="str">
        <f t="shared" si="12"/>
        <v>Error?</v>
      </c>
    </row>
    <row r="848" spans="1:4" x14ac:dyDescent="0.2">
      <c r="A848" s="5">
        <v>787</v>
      </c>
      <c r="B848" s="138">
        <f>'Expenditures 15-22'!E49</f>
        <v>18325</v>
      </c>
      <c r="D848" s="2" t="str">
        <f t="shared" si="12"/>
        <v>Error?</v>
      </c>
    </row>
    <row r="849" spans="1:4" x14ac:dyDescent="0.2">
      <c r="A849" s="5">
        <v>788</v>
      </c>
      <c r="B849" s="138">
        <f>'Expenditures 15-22'!E50</f>
        <v>40894</v>
      </c>
      <c r="D849" s="2" t="str">
        <f t="shared" si="12"/>
        <v>Error?</v>
      </c>
    </row>
    <row r="850" spans="1:4" x14ac:dyDescent="0.2">
      <c r="A850" s="5">
        <v>789</v>
      </c>
      <c r="B850" s="138">
        <f>'Expenditures 15-22'!E53</f>
        <v>59219</v>
      </c>
      <c r="C850" s="2" t="s">
        <v>573</v>
      </c>
      <c r="D850" s="2" t="str">
        <f t="shared" si="12"/>
        <v>Error?</v>
      </c>
    </row>
    <row r="851" spans="1:4" x14ac:dyDescent="0.2">
      <c r="A851" s="5">
        <v>790</v>
      </c>
      <c r="B851" s="138">
        <f>'Expenditures 15-22'!E55</f>
        <v>945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10955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14684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173626</v>
      </c>
      <c r="C871" s="2" t="s">
        <v>573</v>
      </c>
      <c r="D871" s="2" t="str">
        <f t="shared" si="12"/>
        <v>Error?</v>
      </c>
    </row>
    <row r="872" spans="1:4" x14ac:dyDescent="0.2">
      <c r="A872" s="5">
        <v>811</v>
      </c>
      <c r="B872" s="138">
        <f>'Expenditures 15-22'!E75</f>
        <v>330</v>
      </c>
      <c r="D872" s="2" t="str">
        <f t="shared" si="12"/>
        <v>Error?</v>
      </c>
    </row>
    <row r="873" spans="1:4" x14ac:dyDescent="0.2">
      <c r="A873" s="5">
        <v>812</v>
      </c>
      <c r="B873" s="138">
        <f>'Expenditures 15-22'!E114</f>
        <v>576584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95865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4143</v>
      </c>
      <c r="D891" s="2" t="str">
        <f t="shared" si="12"/>
        <v>Error?</v>
      </c>
    </row>
    <row r="892" spans="1:4" x14ac:dyDescent="0.2">
      <c r="A892" s="5">
        <v>831</v>
      </c>
      <c r="B892" s="138">
        <f>'Expenditures 15-22'!F14</f>
        <v>10814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113407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3445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3445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90</v>
      </c>
      <c r="D907" s="2" t="str">
        <f t="shared" si="13"/>
        <v>Error?</v>
      </c>
    </row>
    <row r="908" spans="1:4" x14ac:dyDescent="0.2">
      <c r="A908" s="5">
        <v>847</v>
      </c>
      <c r="B908" s="138">
        <f>'Expenditures 15-22'!F53</f>
        <v>90</v>
      </c>
      <c r="C908" s="2" t="s">
        <v>573</v>
      </c>
      <c r="D908" s="2" t="str">
        <f t="shared" si="13"/>
        <v>Error?</v>
      </c>
    </row>
    <row r="909" spans="1:4" x14ac:dyDescent="0.2">
      <c r="A909" s="5">
        <v>848</v>
      </c>
      <c r="B909" s="138">
        <f>'Expenditures 15-22'!F55</f>
        <v>1269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1269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78168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80121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85295</v>
      </c>
      <c r="C929" s="2" t="s">
        <v>573</v>
      </c>
      <c r="D929" s="2" t="str">
        <f t="shared" si="13"/>
        <v>Error?</v>
      </c>
    </row>
    <row r="930" spans="1:4" x14ac:dyDescent="0.2">
      <c r="A930" s="5">
        <v>869</v>
      </c>
      <c r="B930" s="138">
        <f>'Expenditures 15-22'!F75</f>
        <v>4783</v>
      </c>
      <c r="D930" s="2" t="str">
        <f t="shared" si="13"/>
        <v>Error?</v>
      </c>
    </row>
    <row r="931" spans="1:4" x14ac:dyDescent="0.2">
      <c r="A931" s="5">
        <v>870</v>
      </c>
      <c r="B931" s="138">
        <f>'Expenditures 15-22'!F114</f>
        <v>203485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25278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25278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1519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1519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103119</v>
      </c>
      <c r="D965" s="2" t="str">
        <f t="shared" si="14"/>
        <v>Error?</v>
      </c>
    </row>
    <row r="966" spans="1:4" x14ac:dyDescent="0.2">
      <c r="A966" s="5">
        <v>905</v>
      </c>
      <c r="B966" s="138">
        <f>'Expenditures 15-22'!G53</f>
        <v>103119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104638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129916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10078</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12078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127562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139640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2086117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159040</v>
      </c>
      <c r="C1105" s="2" t="s">
        <v>573</v>
      </c>
      <c r="D1105" s="2" t="str">
        <f t="shared" si="16"/>
        <v>Error?</v>
      </c>
    </row>
    <row r="1106" spans="1:4" x14ac:dyDescent="0.2">
      <c r="A1106" s="5">
        <v>1045</v>
      </c>
      <c r="B1106" s="138">
        <f>'Expenditures 15-22'!K14</f>
        <v>114328</v>
      </c>
      <c r="C1106" s="2" t="s">
        <v>573</v>
      </c>
      <c r="D1106" s="2" t="str">
        <f t="shared" si="16"/>
        <v>Error?</v>
      </c>
    </row>
    <row r="1107" spans="1:4" x14ac:dyDescent="0.2">
      <c r="A1107" s="5">
        <v>1046</v>
      </c>
      <c r="B1107" s="138">
        <f>'Expenditures 15-22'!K15</f>
        <v>2252</v>
      </c>
      <c r="C1107" s="2" t="s">
        <v>573</v>
      </c>
      <c r="D1107" s="2" t="str">
        <f t="shared" si="16"/>
        <v>Error?</v>
      </c>
    </row>
    <row r="1108" spans="1:4" x14ac:dyDescent="0.2">
      <c r="A1108" s="5">
        <v>1047</v>
      </c>
      <c r="B1108" s="138">
        <f>'Expenditures 15-22'!K33</f>
        <v>2956744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55324</v>
      </c>
      <c r="C1110" s="2" t="s">
        <v>573</v>
      </c>
      <c r="D1110" s="2" t="str">
        <f t="shared" si="16"/>
        <v>Error?</v>
      </c>
    </row>
    <row r="1111" spans="1:4" x14ac:dyDescent="0.2">
      <c r="A1111" s="5">
        <v>1050</v>
      </c>
      <c r="B1111" s="138">
        <f>'Expenditures 15-22'!K38</f>
        <v>58077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86424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199825</v>
      </c>
      <c r="C1115" s="2" t="s">
        <v>573</v>
      </c>
      <c r="D1115" s="2" t="str">
        <f t="shared" si="16"/>
        <v>Error?</v>
      </c>
    </row>
    <row r="1116" spans="1:4" x14ac:dyDescent="0.2">
      <c r="A1116" s="5">
        <v>1055</v>
      </c>
      <c r="B1116" s="138">
        <f>'Expenditures 15-22'!K44</f>
        <v>10021</v>
      </c>
      <c r="C1116" s="2" t="s">
        <v>573</v>
      </c>
      <c r="D1116" s="2" t="str">
        <f t="shared" si="16"/>
        <v>Error?</v>
      </c>
    </row>
    <row r="1117" spans="1:4" x14ac:dyDescent="0.2">
      <c r="A1117" s="5">
        <v>1056</v>
      </c>
      <c r="B1117" s="138">
        <f>'Expenditures 15-22'!K45</f>
        <v>37433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47454</v>
      </c>
      <c r="C1119" s="2" t="s">
        <v>573</v>
      </c>
      <c r="D1119" s="2" t="str">
        <f t="shared" si="16"/>
        <v>Error?</v>
      </c>
    </row>
    <row r="1120" spans="1:4" x14ac:dyDescent="0.2">
      <c r="A1120" s="5">
        <v>1059</v>
      </c>
      <c r="B1120" s="138">
        <f>'Expenditures 15-22'!K49</f>
        <v>19885</v>
      </c>
      <c r="C1120" s="2" t="s">
        <v>573</v>
      </c>
      <c r="D1120" s="2" t="str">
        <f t="shared" si="16"/>
        <v>Error?</v>
      </c>
    </row>
    <row r="1121" spans="1:4" x14ac:dyDescent="0.2">
      <c r="A1121" s="5">
        <v>1060</v>
      </c>
      <c r="B1121" s="138">
        <f>'Expenditures 15-22'!K50</f>
        <v>216540</v>
      </c>
      <c r="C1121" s="2" t="s">
        <v>573</v>
      </c>
      <c r="D1121" s="2" t="str">
        <f t="shared" si="16"/>
        <v>Error?</v>
      </c>
    </row>
    <row r="1122" spans="1:4" x14ac:dyDescent="0.2">
      <c r="A1122" s="5">
        <v>1061</v>
      </c>
      <c r="B1122" s="138">
        <f>'Expenditures 15-22'!K53</f>
        <v>236425</v>
      </c>
      <c r="C1122" s="2" t="s">
        <v>573</v>
      </c>
      <c r="D1122" s="2" t="str">
        <f t="shared" si="16"/>
        <v>Error?</v>
      </c>
    </row>
    <row r="1123" spans="1:4" x14ac:dyDescent="0.2">
      <c r="A1123" s="5">
        <v>1062</v>
      </c>
      <c r="B1123" s="138">
        <f>'Expenditures 15-22'!K55</f>
        <v>321747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321747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61658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138301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199959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100</v>
      </c>
      <c r="C1142" s="2" t="s">
        <v>573</v>
      </c>
      <c r="D1142" s="2" t="str">
        <f t="shared" si="16"/>
        <v>Error?</v>
      </c>
    </row>
    <row r="1143" spans="1:4" x14ac:dyDescent="0.2">
      <c r="A1143" s="5">
        <v>1082</v>
      </c>
      <c r="B1143" s="138">
        <f>'Expenditures 15-22'!K74</f>
        <v>1005510</v>
      </c>
      <c r="C1143" s="2" t="s">
        <v>573</v>
      </c>
      <c r="D1143" s="2" t="str">
        <f t="shared" si="16"/>
        <v>Error?</v>
      </c>
    </row>
    <row r="1144" spans="1:4" x14ac:dyDescent="0.2">
      <c r="A1144" s="5">
        <v>1083</v>
      </c>
      <c r="B1144" s="138">
        <f>'Expenditures 15-22'!K75</f>
        <v>122775</v>
      </c>
      <c r="C1144" s="2" t="s">
        <v>573</v>
      </c>
      <c r="D1144" s="2" t="str">
        <f t="shared" si="16"/>
        <v>Error?</v>
      </c>
    </row>
    <row r="1145" spans="1:4" x14ac:dyDescent="0.2">
      <c r="A1145" s="5">
        <v>1084</v>
      </c>
      <c r="B1145" s="138">
        <f>'Expenditures 15-22'!K102</f>
        <v>407798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4492827</v>
      </c>
      <c r="C1152" s="2" t="s">
        <v>573</v>
      </c>
      <c r="D1152" s="2" t="str">
        <f t="shared" si="17"/>
        <v>Error?</v>
      </c>
    </row>
    <row r="1153" spans="1:4" x14ac:dyDescent="0.2">
      <c r="A1153" s="5">
        <v>1092</v>
      </c>
      <c r="B1153" s="138">
        <f>'Expenditures 15-22'!K115</f>
        <v>-165312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127689</v>
      </c>
      <c r="D1221" s="2" t="str">
        <f t="shared" si="18"/>
        <v>Error?</v>
      </c>
    </row>
    <row r="1222" spans="1:4" x14ac:dyDescent="0.2">
      <c r="A1222" s="10">
        <v>1161</v>
      </c>
      <c r="D1222" s="2" t="str">
        <f t="shared" si="18"/>
        <v>OK</v>
      </c>
    </row>
    <row r="1223" spans="1:4" x14ac:dyDescent="0.2">
      <c r="A1223" s="5">
        <v>1162</v>
      </c>
      <c r="B1223" s="138">
        <f>'Expenditures 15-22'!C127</f>
        <v>127689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127689</v>
      </c>
      <c r="C1225" s="2" t="s">
        <v>573</v>
      </c>
      <c r="D1225" s="2" t="str">
        <f t="shared" si="18"/>
        <v>Error?</v>
      </c>
    </row>
    <row r="1226" spans="1:4" x14ac:dyDescent="0.2">
      <c r="A1226" s="5">
        <v>1165</v>
      </c>
      <c r="B1226" s="138">
        <f>'Expenditures 15-22'!C151</f>
        <v>127689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28841</v>
      </c>
      <c r="D1229" s="2" t="str">
        <f t="shared" si="18"/>
        <v>Error?</v>
      </c>
    </row>
    <row r="1230" spans="1:4" x14ac:dyDescent="0.2">
      <c r="A1230" s="10">
        <v>1169</v>
      </c>
      <c r="D1230" s="2" t="str">
        <f t="shared" si="18"/>
        <v>OK</v>
      </c>
    </row>
    <row r="1231" spans="1:4" x14ac:dyDescent="0.2">
      <c r="A1231" s="5">
        <v>1170</v>
      </c>
      <c r="B1231" s="138">
        <f>'Expenditures 15-22'!D127</f>
        <v>28841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28841</v>
      </c>
      <c r="C1233" s="2" t="s">
        <v>573</v>
      </c>
      <c r="D1233" s="2" t="str">
        <f t="shared" si="18"/>
        <v>Error?</v>
      </c>
    </row>
    <row r="1234" spans="1:4" x14ac:dyDescent="0.2">
      <c r="A1234" s="5">
        <v>1173</v>
      </c>
      <c r="B1234" s="138">
        <f>'Expenditures 15-22'!D151</f>
        <v>28841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51939</v>
      </c>
      <c r="D1237" s="2" t="str">
        <f t="shared" si="18"/>
        <v>Error?</v>
      </c>
    </row>
    <row r="1238" spans="1:4" x14ac:dyDescent="0.2">
      <c r="A1238" s="10">
        <v>1177</v>
      </c>
      <c r="D1238" s="2" t="str">
        <f t="shared" si="18"/>
        <v>OK</v>
      </c>
    </row>
    <row r="1239" spans="1:4" x14ac:dyDescent="0.2">
      <c r="A1239" s="5">
        <v>1178</v>
      </c>
      <c r="B1239" s="138">
        <f>'Expenditures 15-22'!E127</f>
        <v>51939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51939</v>
      </c>
      <c r="C1241" s="2" t="s">
        <v>573</v>
      </c>
      <c r="D1241" s="2" t="str">
        <f t="shared" si="18"/>
        <v>Error?</v>
      </c>
    </row>
    <row r="1242" spans="1:4" x14ac:dyDescent="0.2">
      <c r="A1242" s="5">
        <v>1181</v>
      </c>
      <c r="B1242" s="138">
        <f>'Expenditures 15-22'!E151</f>
        <v>51939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110374</v>
      </c>
      <c r="D1245" s="2" t="str">
        <f t="shared" si="18"/>
        <v>Error?</v>
      </c>
    </row>
    <row r="1246" spans="1:4" x14ac:dyDescent="0.2">
      <c r="A1246" s="10">
        <v>1185</v>
      </c>
      <c r="D1246" s="2" t="str">
        <f t="shared" si="18"/>
        <v>OK</v>
      </c>
    </row>
    <row r="1247" spans="1:4" x14ac:dyDescent="0.2">
      <c r="A1247" s="5">
        <v>1186</v>
      </c>
      <c r="B1247" s="138">
        <f>'Expenditures 15-22'!F127</f>
        <v>110374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110374</v>
      </c>
      <c r="C1249" s="2" t="s">
        <v>573</v>
      </c>
      <c r="D1249" s="2" t="str">
        <f t="shared" si="18"/>
        <v>Error?</v>
      </c>
    </row>
    <row r="1250" spans="1:4" x14ac:dyDescent="0.2">
      <c r="A1250" s="5">
        <v>1189</v>
      </c>
      <c r="B1250" s="138">
        <f>'Expenditures 15-22'!F151</f>
        <v>110374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1885</v>
      </c>
      <c r="C1258" s="2" t="s">
        <v>573</v>
      </c>
      <c r="D1258" s="2" t="str">
        <f t="shared" si="18"/>
        <v>Error?</v>
      </c>
    </row>
    <row r="1259" spans="1:4" x14ac:dyDescent="0.2">
      <c r="A1259" s="5">
        <v>1198</v>
      </c>
      <c r="B1259" s="138">
        <f>'Expenditures 15-22'!G151</f>
        <v>1885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320728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320728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320728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320728</v>
      </c>
      <c r="C1288" s="2" t="s">
        <v>573</v>
      </c>
      <c r="D1288" s="2" t="str">
        <f t="shared" si="19"/>
        <v>Error?</v>
      </c>
    </row>
    <row r="1289" spans="1:4" x14ac:dyDescent="0.2">
      <c r="A1289" s="5">
        <v>1228</v>
      </c>
      <c r="B1289" s="138">
        <f>'Expenditures 15-22'!K152</f>
        <v>-120510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432511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225598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658109</v>
      </c>
      <c r="C1317" s="2" t="s">
        <v>573</v>
      </c>
      <c r="D1317" s="2" t="str">
        <f t="shared" si="19"/>
        <v>Error?</v>
      </c>
    </row>
    <row r="1318" spans="1:4" x14ac:dyDescent="0.2">
      <c r="A1318" s="5">
        <v>1257</v>
      </c>
      <c r="B1318" s="138">
        <f>'Expenditures 15-22'!H174</f>
        <v>658109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432511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225598</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658109</v>
      </c>
      <c r="C1331" s="2" t="s">
        <v>573</v>
      </c>
      <c r="D1331" s="2" t="str">
        <f t="shared" si="19"/>
        <v>Error?</v>
      </c>
    </row>
    <row r="1332" spans="1:4" x14ac:dyDescent="0.2">
      <c r="A1332" s="5">
        <v>1271</v>
      </c>
      <c r="B1332" s="138">
        <f>'Expenditures 15-22'!K174</f>
        <v>658109</v>
      </c>
      <c r="C1332" s="2" t="s">
        <v>573</v>
      </c>
      <c r="D1332" s="2" t="str">
        <f t="shared" si="19"/>
        <v>Error?</v>
      </c>
    </row>
    <row r="1333" spans="1:4" x14ac:dyDescent="0.2">
      <c r="A1333" s="5">
        <v>1272</v>
      </c>
      <c r="B1333" s="138">
        <f>'Expenditures 15-22'!K175</f>
        <v>-30154</v>
      </c>
      <c r="C1333" s="2" t="s">
        <v>573</v>
      </c>
      <c r="D1333" s="2" t="str">
        <f t="shared" si="19"/>
        <v>Error?</v>
      </c>
    </row>
    <row r="1334" spans="1:4" x14ac:dyDescent="0.2">
      <c r="A1334" s="10">
        <v>1273</v>
      </c>
      <c r="D1334" s="2" t="str">
        <f t="shared" si="19"/>
        <v>OK</v>
      </c>
    </row>
    <row r="1335" spans="1:4" x14ac:dyDescent="0.2">
      <c r="A1335" s="5">
        <v>1274</v>
      </c>
      <c r="B1335" s="138">
        <f>'Expenditures 15-22'!C182</f>
        <v>113795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113795</v>
      </c>
      <c r="C1339" s="2" t="s">
        <v>573</v>
      </c>
      <c r="D1339" s="2" t="str">
        <f t="shared" si="19"/>
        <v>Error?</v>
      </c>
    </row>
    <row r="1340" spans="1:4" x14ac:dyDescent="0.2">
      <c r="A1340" s="5">
        <v>1279</v>
      </c>
      <c r="B1340" s="138">
        <f>'Expenditures 15-22'!C210</f>
        <v>113795</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108415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108415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108415</v>
      </c>
      <c r="C1353" s="2" t="s">
        <v>573</v>
      </c>
      <c r="D1353" s="2" t="str">
        <f t="shared" si="20"/>
        <v>Error?</v>
      </c>
    </row>
    <row r="1354" spans="1:4" x14ac:dyDescent="0.2">
      <c r="A1354" s="5">
        <v>1293</v>
      </c>
      <c r="B1354" s="138">
        <f>'Expenditures 15-22'!F182</f>
        <v>33175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33175</v>
      </c>
      <c r="C1358" s="2" t="s">
        <v>573</v>
      </c>
      <c r="D1358" s="2" t="str">
        <f t="shared" si="20"/>
        <v>Error?</v>
      </c>
    </row>
    <row r="1359" spans="1:4" x14ac:dyDescent="0.2">
      <c r="A1359" s="5">
        <v>1298</v>
      </c>
      <c r="B1359" s="138">
        <f>'Expenditures 15-22'!F210</f>
        <v>33175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255385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255385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255385</v>
      </c>
      <c r="C1388" s="2" t="s">
        <v>573</v>
      </c>
      <c r="D1388" s="2" t="str">
        <f t="shared" si="20"/>
        <v>Error?</v>
      </c>
    </row>
    <row r="1389" spans="1:4" x14ac:dyDescent="0.2">
      <c r="A1389" s="5">
        <v>1328</v>
      </c>
      <c r="B1389" s="138">
        <f>'Expenditures 15-22'!K211</f>
        <v>-6606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1501</v>
      </c>
      <c r="D1407" s="2" t="str">
        <f t="shared" ref="D1407:D1470" si="21">IF(ISBLANK(B1407),"OK",IF(A1407-B1407=0,"OK","Error?"))</f>
        <v>Error?</v>
      </c>
    </row>
    <row r="1408" spans="1:4" x14ac:dyDescent="0.2">
      <c r="A1408" s="5">
        <v>1347</v>
      </c>
      <c r="B1408" s="138">
        <f>'Expenditures 15-22'!D223</f>
        <v>4167</v>
      </c>
      <c r="D1408" s="2" t="str">
        <f t="shared" si="21"/>
        <v>Error?</v>
      </c>
    </row>
    <row r="1409" spans="1:4" x14ac:dyDescent="0.2">
      <c r="A1409" s="5">
        <v>1348</v>
      </c>
      <c r="B1409" s="138">
        <f>'Expenditures 15-22'!D224</f>
        <v>29</v>
      </c>
      <c r="D1409" s="2" t="str">
        <f t="shared" si="21"/>
        <v>Error?</v>
      </c>
    </row>
    <row r="1410" spans="1:4" x14ac:dyDescent="0.2">
      <c r="A1410" s="5">
        <v>1349</v>
      </c>
      <c r="B1410" s="138">
        <f>'Expenditures 15-22'!D229</f>
        <v>71482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492</v>
      </c>
      <c r="D1412" s="2" t="str">
        <f t="shared" si="21"/>
        <v>Error?</v>
      </c>
    </row>
    <row r="1413" spans="1:4" x14ac:dyDescent="0.2">
      <c r="A1413" s="5">
        <v>1352</v>
      </c>
      <c r="B1413" s="138">
        <f>'Expenditures 15-22'!D234</f>
        <v>6294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6786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4670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4670</v>
      </c>
      <c r="C1421" s="2" t="s">
        <v>573</v>
      </c>
      <c r="D1421" s="2" t="str">
        <f t="shared" si="21"/>
        <v>Error?</v>
      </c>
    </row>
    <row r="1422" spans="1:4" x14ac:dyDescent="0.2">
      <c r="A1422" s="5">
        <v>1361</v>
      </c>
      <c r="B1422" s="138">
        <f>'Expenditures 15-22'!D245</f>
        <v>119</v>
      </c>
      <c r="D1422" s="2" t="str">
        <f t="shared" si="21"/>
        <v>Error?</v>
      </c>
    </row>
    <row r="1423" spans="1:4" x14ac:dyDescent="0.2">
      <c r="A1423" s="5">
        <v>1362</v>
      </c>
      <c r="B1423" s="138">
        <f>'Expenditures 15-22'!D246</f>
        <v>707</v>
      </c>
      <c r="D1423" s="2" t="str">
        <f t="shared" si="21"/>
        <v>Error?</v>
      </c>
    </row>
    <row r="1424" spans="1:4" x14ac:dyDescent="0.2">
      <c r="A1424" s="5">
        <v>1363</v>
      </c>
      <c r="B1424" s="138">
        <f>'Expenditures 15-22'!D257</f>
        <v>826</v>
      </c>
      <c r="C1424" s="2" t="s">
        <v>573</v>
      </c>
      <c r="D1424" s="2" t="str">
        <f t="shared" si="21"/>
        <v>Error?</v>
      </c>
    </row>
    <row r="1425" spans="1:4" x14ac:dyDescent="0.2">
      <c r="A1425" s="5">
        <v>1364</v>
      </c>
      <c r="B1425" s="138">
        <f>'Expenditures 15-22'!D259</f>
        <v>12010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12010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8593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22123</v>
      </c>
      <c r="D1431" s="2" t="str">
        <f t="shared" si="21"/>
        <v>Error?</v>
      </c>
    </row>
    <row r="1432" spans="1:4" x14ac:dyDescent="0.2">
      <c r="A1432" s="5">
        <v>1371</v>
      </c>
      <c r="B1432" s="138">
        <f>'Expenditures 15-22'!D267</f>
        <v>17306</v>
      </c>
      <c r="D1432" s="2" t="str">
        <f t="shared" si="21"/>
        <v>Error?</v>
      </c>
    </row>
    <row r="1433" spans="1:4" x14ac:dyDescent="0.2">
      <c r="A1433" s="5">
        <v>1372</v>
      </c>
      <c r="B1433" s="138">
        <f>'Expenditures 15-22'!D268</f>
        <v>9787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57809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82101</v>
      </c>
      <c r="C1446" s="2" t="s">
        <v>573</v>
      </c>
      <c r="D1446" s="2" t="str">
        <f t="shared" si="21"/>
        <v>Error?</v>
      </c>
    </row>
    <row r="1447" spans="1:4" x14ac:dyDescent="0.2">
      <c r="A1447" s="5">
        <v>1386</v>
      </c>
      <c r="B1447" s="138">
        <f>'Expenditures 15-22'!D280</f>
        <v>18117</v>
      </c>
      <c r="D1447" s="2" t="str">
        <f t="shared" si="21"/>
        <v>Error?</v>
      </c>
    </row>
    <row r="1448" spans="1:4" x14ac:dyDescent="0.2">
      <c r="A1448" s="5">
        <v>1387</v>
      </c>
      <c r="B1448" s="138">
        <f>'Expenditures 15-22'!D295</f>
        <v>171700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1501</v>
      </c>
      <c r="C1471" s="2" t="s">
        <v>573</v>
      </c>
      <c r="D1471" s="2" t="str">
        <f t="shared" ref="D1471:D1534" si="22">IF(ISBLANK(B1471),"OK",IF(A1471-B1471=0,"OK","Error?"))</f>
        <v>Error?</v>
      </c>
    </row>
    <row r="1472" spans="1:4" x14ac:dyDescent="0.2">
      <c r="A1472" s="5">
        <v>1411</v>
      </c>
      <c r="B1472" s="138">
        <f>'Expenditures 15-22'!K223</f>
        <v>4167</v>
      </c>
      <c r="C1472" s="2" t="s">
        <v>573</v>
      </c>
      <c r="D1472" s="2" t="str">
        <f t="shared" si="22"/>
        <v>Error?</v>
      </c>
    </row>
    <row r="1473" spans="1:4" x14ac:dyDescent="0.2">
      <c r="A1473" s="5">
        <v>1412</v>
      </c>
      <c r="B1473" s="138">
        <f>'Expenditures 15-22'!K224</f>
        <v>29</v>
      </c>
      <c r="C1473" s="2" t="s">
        <v>573</v>
      </c>
      <c r="D1473" s="2" t="str">
        <f t="shared" si="22"/>
        <v>Error?</v>
      </c>
    </row>
    <row r="1474" spans="1:4" x14ac:dyDescent="0.2">
      <c r="A1474" s="5">
        <v>1413</v>
      </c>
      <c r="B1474" s="138">
        <f>'Expenditures 15-22'!K229</f>
        <v>71482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492</v>
      </c>
      <c r="C1476" s="2" t="s">
        <v>573</v>
      </c>
      <c r="D1476" s="2" t="str">
        <f t="shared" si="22"/>
        <v>Error?</v>
      </c>
    </row>
    <row r="1477" spans="1:4" x14ac:dyDescent="0.2">
      <c r="A1477" s="5">
        <v>1416</v>
      </c>
      <c r="B1477" s="138">
        <f>'Expenditures 15-22'!K234</f>
        <v>6294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6786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4670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4670</v>
      </c>
      <c r="C1485" s="2" t="s">
        <v>573</v>
      </c>
      <c r="D1485" s="2" t="str">
        <f t="shared" si="22"/>
        <v>Error?</v>
      </c>
    </row>
    <row r="1486" spans="1:4" x14ac:dyDescent="0.2">
      <c r="A1486" s="5">
        <v>1425</v>
      </c>
      <c r="B1486" s="138">
        <f>'Expenditures 15-22'!K245</f>
        <v>119</v>
      </c>
      <c r="C1486" s="2" t="s">
        <v>573</v>
      </c>
      <c r="D1486" s="2" t="str">
        <f t="shared" si="22"/>
        <v>Error?</v>
      </c>
    </row>
    <row r="1487" spans="1:4" x14ac:dyDescent="0.2">
      <c r="A1487" s="5">
        <v>1426</v>
      </c>
      <c r="B1487" s="138">
        <f>'Expenditures 15-22'!K246</f>
        <v>707</v>
      </c>
      <c r="C1487" s="2" t="s">
        <v>573</v>
      </c>
      <c r="D1487" s="2" t="str">
        <f t="shared" si="22"/>
        <v>Error?</v>
      </c>
    </row>
    <row r="1488" spans="1:4" x14ac:dyDescent="0.2">
      <c r="A1488" s="5">
        <v>1427</v>
      </c>
      <c r="B1488" s="138">
        <f>'Expenditures 15-22'!K257</f>
        <v>826</v>
      </c>
      <c r="C1488" s="2" t="s">
        <v>573</v>
      </c>
      <c r="D1488" s="2" t="str">
        <f t="shared" si="22"/>
        <v>Error?</v>
      </c>
    </row>
    <row r="1489" spans="1:4" x14ac:dyDescent="0.2">
      <c r="A1489" s="5">
        <v>1428</v>
      </c>
      <c r="B1489" s="138">
        <f>'Expenditures 15-22'!K259</f>
        <v>12010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12010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8593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22123</v>
      </c>
      <c r="C1495" s="2" t="s">
        <v>573</v>
      </c>
      <c r="D1495" s="2" t="str">
        <f t="shared" si="22"/>
        <v>Error?</v>
      </c>
    </row>
    <row r="1496" spans="1:4" x14ac:dyDescent="0.2">
      <c r="A1496" s="5">
        <v>1435</v>
      </c>
      <c r="B1496" s="138">
        <f>'Expenditures 15-22'!K267</f>
        <v>17306</v>
      </c>
      <c r="C1496" s="2" t="s">
        <v>573</v>
      </c>
      <c r="D1496" s="2" t="str">
        <f t="shared" si="22"/>
        <v>Error?</v>
      </c>
    </row>
    <row r="1497" spans="1:4" x14ac:dyDescent="0.2">
      <c r="A1497" s="5">
        <v>1436</v>
      </c>
      <c r="B1497" s="138">
        <f>'Expenditures 15-22'!K268</f>
        <v>9787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57809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82101</v>
      </c>
      <c r="C1510" s="2" t="s">
        <v>573</v>
      </c>
      <c r="D1510" s="2" t="str">
        <f t="shared" si="22"/>
        <v>Error?</v>
      </c>
    </row>
    <row r="1511" spans="1:4" x14ac:dyDescent="0.2">
      <c r="A1511" s="5">
        <v>1450</v>
      </c>
      <c r="B1511" s="138">
        <f>'Expenditures 15-22'!K280</f>
        <v>18117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171700</v>
      </c>
      <c r="C1517" s="2" t="s">
        <v>573</v>
      </c>
      <c r="D1517" s="2" t="str">
        <f t="shared" si="22"/>
        <v>Error?</v>
      </c>
    </row>
    <row r="1518" spans="1:4" x14ac:dyDescent="0.2">
      <c r="A1518" s="5">
        <v>1457</v>
      </c>
      <c r="B1518" s="138">
        <f>'Expenditures 15-22'!K296</f>
        <v>29304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122742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32972</v>
      </c>
      <c r="C1630" s="2" t="s">
        <v>573</v>
      </c>
      <c r="D1630" s="2" t="str">
        <f t="shared" si="24"/>
        <v>Error?</v>
      </c>
    </row>
    <row r="1631" spans="1:4" x14ac:dyDescent="0.2">
      <c r="A1631" s="5">
        <v>1570</v>
      </c>
      <c r="B1631" s="138">
        <f>'Acct Summary 7-8'!D79</f>
        <v>576406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455896</v>
      </c>
      <c r="C1644" s="2" t="s">
        <v>573</v>
      </c>
      <c r="D1644" s="2" t="str">
        <f t="shared" si="24"/>
        <v>Error?</v>
      </c>
    </row>
    <row r="1645" spans="1:4" x14ac:dyDescent="0.2">
      <c r="A1645" s="5">
        <v>1584</v>
      </c>
      <c r="B1645" s="138">
        <f>'Acct Summary 7-8'!E79</f>
        <v>63207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66633</v>
      </c>
      <c r="C1658" s="2" t="s">
        <v>573</v>
      </c>
      <c r="D1658" s="2" t="str">
        <f t="shared" si="24"/>
        <v>Error?</v>
      </c>
    </row>
    <row r="1659" spans="1:4" x14ac:dyDescent="0.2">
      <c r="A1659" s="5">
        <v>1598</v>
      </c>
      <c r="B1659" s="138">
        <f>'Acct Summary 7-8'!F79</f>
        <v>284161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277555</v>
      </c>
      <c r="C1672" s="2" t="s">
        <v>573</v>
      </c>
      <c r="D1672" s="2" t="str">
        <f t="shared" si="25"/>
        <v>Error?</v>
      </c>
    </row>
    <row r="1673" spans="1:4" x14ac:dyDescent="0.2">
      <c r="A1673" s="5">
        <v>1612</v>
      </c>
      <c r="B1673" s="138">
        <f>'Acct Summary 7-8'!G79</f>
        <v>41043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70347</v>
      </c>
      <c r="C1686" s="2" t="s">
        <v>573</v>
      </c>
      <c r="D1686" s="2" t="str">
        <f t="shared" si="25"/>
        <v>Error?</v>
      </c>
    </row>
    <row r="1687" spans="1:4" x14ac:dyDescent="0.2">
      <c r="A1687" s="5">
        <v>1626</v>
      </c>
      <c r="B1687" s="138">
        <f>'Acct Summary 7-8'!H79</f>
        <v>3506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3506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1610103</v>
      </c>
      <c r="C1744" s="2" t="s">
        <v>573</v>
      </c>
      <c r="D1744" s="2" t="str">
        <f t="shared" si="26"/>
        <v>Error?</v>
      </c>
    </row>
    <row r="1745" spans="1:5" x14ac:dyDescent="0.2">
      <c r="A1745" s="5">
        <v>1684</v>
      </c>
      <c r="B1745" s="138">
        <f>'Tax Sched 23'!B5</f>
        <v>188521</v>
      </c>
      <c r="C1745" s="2" t="s">
        <v>573</v>
      </c>
      <c r="D1745" s="2" t="str">
        <f t="shared" si="26"/>
        <v>Error?</v>
      </c>
    </row>
    <row r="1746" spans="1:5" x14ac:dyDescent="0.2">
      <c r="A1746" s="5">
        <v>1685</v>
      </c>
      <c r="B1746" s="138">
        <f>'Tax Sched 23'!B6</f>
        <v>623426</v>
      </c>
      <c r="C1746" s="2" t="s">
        <v>573</v>
      </c>
      <c r="D1746" s="2" t="str">
        <f t="shared" si="26"/>
        <v>Error?</v>
      </c>
    </row>
    <row r="1747" spans="1:5" x14ac:dyDescent="0.2">
      <c r="A1747" s="5">
        <v>1686</v>
      </c>
      <c r="B1747" s="138">
        <f>'Tax Sched 23'!B7</f>
        <v>115631</v>
      </c>
      <c r="C1747" s="2" t="s">
        <v>573</v>
      </c>
      <c r="D1747" s="2" t="str">
        <f t="shared" si="26"/>
        <v>Error?</v>
      </c>
    </row>
    <row r="1748" spans="1:5" x14ac:dyDescent="0.2">
      <c r="A1748" s="5">
        <v>1687</v>
      </c>
      <c r="B1748" s="138">
        <f>'Tax Sched 23'!B8</f>
        <v>83684</v>
      </c>
      <c r="C1748" s="2" t="s">
        <v>573</v>
      </c>
      <c r="D1748" s="2" t="str">
        <f t="shared" si="26"/>
        <v>Error?</v>
      </c>
    </row>
    <row r="1749" spans="1:5" x14ac:dyDescent="0.2">
      <c r="A1749" s="5">
        <v>1688</v>
      </c>
      <c r="B1749" s="138">
        <f>'Tax Sched 23'!B10</f>
        <v>18717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119606</v>
      </c>
      <c r="C1752" s="2" t="s">
        <v>573</v>
      </c>
      <c r="D1752" s="2" t="str">
        <f t="shared" si="26"/>
        <v>Error?</v>
      </c>
    </row>
    <row r="1753" spans="1:5" x14ac:dyDescent="0.2">
      <c r="A1753" s="5">
        <v>1692</v>
      </c>
      <c r="B1753" s="138">
        <f>'Tax Sched 23'!B12</f>
        <v>27696</v>
      </c>
      <c r="C1753" s="2" t="s">
        <v>573</v>
      </c>
      <c r="D1753" s="2" t="str">
        <f t="shared" si="26"/>
        <v>Error?</v>
      </c>
    </row>
    <row r="1754" spans="1:5" x14ac:dyDescent="0.2">
      <c r="A1754" s="5">
        <v>1693</v>
      </c>
      <c r="B1754" s="138">
        <f>'Tax Sched 23'!B14</f>
        <v>23160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2949426</v>
      </c>
      <c r="C1759" s="2" t="s">
        <v>573</v>
      </c>
      <c r="D1759" s="2" t="str">
        <f t="shared" si="26"/>
        <v>Error?</v>
      </c>
    </row>
    <row r="1760" spans="1:5" x14ac:dyDescent="0.2">
      <c r="A1760" s="5">
        <v>1699</v>
      </c>
      <c r="B1760" s="138">
        <f>'Tax Sched 23'!D4</f>
        <v>1602065</v>
      </c>
      <c r="C1760" s="2" t="s">
        <v>573</v>
      </c>
      <c r="D1760" s="2" t="str">
        <f t="shared" si="26"/>
        <v>Error?</v>
      </c>
    </row>
    <row r="1761" spans="1:5" x14ac:dyDescent="0.2">
      <c r="A1761" s="5">
        <v>1700</v>
      </c>
      <c r="B1761" s="138">
        <f>'Tax Sched 23'!D5</f>
        <v>187640</v>
      </c>
      <c r="C1761" s="2" t="s">
        <v>573</v>
      </c>
      <c r="D1761" s="2" t="str">
        <f t="shared" si="26"/>
        <v>Error?</v>
      </c>
    </row>
    <row r="1762" spans="1:5" s="8" customFormat="1" x14ac:dyDescent="0.2">
      <c r="A1762" s="5">
        <v>1701</v>
      </c>
      <c r="B1762" s="138">
        <f>'Tax Sched 23'!D6</f>
        <v>620413</v>
      </c>
      <c r="C1762" s="2" t="s">
        <v>573</v>
      </c>
      <c r="D1762" s="2" t="str">
        <f t="shared" si="26"/>
        <v>Error?</v>
      </c>
      <c r="E1762" s="9"/>
    </row>
    <row r="1763" spans="1:5" x14ac:dyDescent="0.2">
      <c r="A1763" s="5">
        <v>1702</v>
      </c>
      <c r="B1763" s="138">
        <f>'Tax Sched 23'!D7</f>
        <v>115100</v>
      </c>
      <c r="C1763" s="2" t="s">
        <v>573</v>
      </c>
      <c r="D1763" s="2" t="str">
        <f t="shared" si="26"/>
        <v>Error?</v>
      </c>
    </row>
    <row r="1764" spans="1:5" x14ac:dyDescent="0.2">
      <c r="A1764" s="5">
        <v>1703</v>
      </c>
      <c r="B1764" s="138">
        <f>'Tax Sched 23'!D8</f>
        <v>83245</v>
      </c>
      <c r="C1764" s="2" t="s">
        <v>573</v>
      </c>
      <c r="D1764" s="2" t="str">
        <f t="shared" si="26"/>
        <v>Error?</v>
      </c>
    </row>
    <row r="1765" spans="1:5" x14ac:dyDescent="0.2">
      <c r="A1765" s="5">
        <v>1704</v>
      </c>
      <c r="B1765" s="138">
        <f>'Tax Sched 23'!D10</f>
        <v>18630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119047</v>
      </c>
      <c r="C1768" s="2" t="s">
        <v>573</v>
      </c>
      <c r="D1768" s="2" t="str">
        <f t="shared" si="26"/>
        <v>Error?</v>
      </c>
    </row>
    <row r="1769" spans="1:5" x14ac:dyDescent="0.2">
      <c r="A1769" s="5">
        <v>1708</v>
      </c>
      <c r="B1769" s="138">
        <f>'Tax Sched 23'!D12</f>
        <v>27567</v>
      </c>
      <c r="C1769" s="2" t="s">
        <v>573</v>
      </c>
      <c r="D1769" s="2" t="str">
        <f t="shared" si="26"/>
        <v>Error?</v>
      </c>
    </row>
    <row r="1770" spans="1:5" x14ac:dyDescent="0.2">
      <c r="A1770" s="5">
        <v>1709</v>
      </c>
      <c r="B1770" s="138">
        <f>'Tax Sched 23'!D14</f>
        <v>23052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2935040</v>
      </c>
      <c r="C1775" s="2" t="s">
        <v>573</v>
      </c>
      <c r="D1775" s="2" t="str">
        <f t="shared" si="26"/>
        <v>Error?</v>
      </c>
    </row>
    <row r="1776" spans="1:5" x14ac:dyDescent="0.2">
      <c r="A1776" s="5">
        <v>1715</v>
      </c>
      <c r="B1776" s="138">
        <f>'Tax Sched 23'!C4</f>
        <v>8038</v>
      </c>
      <c r="D1776" s="2" t="str">
        <f t="shared" si="26"/>
        <v>Error?</v>
      </c>
    </row>
    <row r="1777" spans="1:4" x14ac:dyDescent="0.2">
      <c r="A1777" s="5">
        <v>1716</v>
      </c>
      <c r="B1777" s="138">
        <f>'Tax Sched 23'!C5</f>
        <v>881</v>
      </c>
      <c r="D1777" s="2" t="str">
        <f t="shared" si="26"/>
        <v>Error?</v>
      </c>
    </row>
    <row r="1778" spans="1:4" x14ac:dyDescent="0.2">
      <c r="A1778" s="5">
        <v>1717</v>
      </c>
      <c r="B1778" s="138">
        <f>'Tax Sched 23'!C6</f>
        <v>3013</v>
      </c>
      <c r="D1778" s="2" t="str">
        <f t="shared" si="26"/>
        <v>Error?</v>
      </c>
    </row>
    <row r="1779" spans="1:4" x14ac:dyDescent="0.2">
      <c r="A1779" s="5">
        <v>1718</v>
      </c>
      <c r="B1779" s="138">
        <f>'Tax Sched 23'!C7</f>
        <v>531</v>
      </c>
      <c r="D1779" s="2" t="str">
        <f t="shared" si="26"/>
        <v>Error?</v>
      </c>
    </row>
    <row r="1780" spans="1:4" x14ac:dyDescent="0.2">
      <c r="A1780" s="5">
        <v>1719</v>
      </c>
      <c r="B1780" s="138">
        <f>'Tax Sched 23'!C8</f>
        <v>439</v>
      </c>
      <c r="D1780" s="2" t="str">
        <f t="shared" si="26"/>
        <v>Error?</v>
      </c>
    </row>
    <row r="1781" spans="1:4" x14ac:dyDescent="0.2">
      <c r="A1781" s="5">
        <v>1720</v>
      </c>
      <c r="B1781" s="138">
        <f>'Tax Sched 23'!C10</f>
        <v>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559</v>
      </c>
      <c r="D1784" s="2" t="str">
        <f t="shared" si="26"/>
        <v>Error?</v>
      </c>
    </row>
    <row r="1785" spans="1:4" x14ac:dyDescent="0.2">
      <c r="A1785" s="5">
        <v>1724</v>
      </c>
      <c r="B1785" s="138">
        <f>'Tax Sched 23'!C12</f>
        <v>129</v>
      </c>
      <c r="D1785" s="2" t="str">
        <f t="shared" si="26"/>
        <v>Error?</v>
      </c>
    </row>
    <row r="1786" spans="1:4" x14ac:dyDescent="0.2">
      <c r="A1786" s="5">
        <v>1725</v>
      </c>
      <c r="B1786" s="138">
        <f>'Tax Sched 23'!C14</f>
        <v>108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14386</v>
      </c>
      <c r="C1791" s="2" t="s">
        <v>573</v>
      </c>
      <c r="D1791" s="2" t="str">
        <f t="shared" ref="D1791:D1854" si="27">IF(ISBLANK(B1791),"OK",IF(A1791-B1791=0,"OK","Error?"))</f>
        <v>Error?</v>
      </c>
    </row>
    <row r="1792" spans="1:4" x14ac:dyDescent="0.2">
      <c r="A1792" s="5">
        <v>1731</v>
      </c>
      <c r="B1792" s="138">
        <f>'Tax Sched 23'!F4</f>
        <v>1657563</v>
      </c>
      <c r="C1792" s="2" t="s">
        <v>573</v>
      </c>
      <c r="D1792" s="2" t="str">
        <f t="shared" si="27"/>
        <v>Error?</v>
      </c>
    </row>
    <row r="1793" spans="1:4" x14ac:dyDescent="0.2">
      <c r="A1793" s="5">
        <v>1732</v>
      </c>
      <c r="B1793" s="138">
        <f>'Tax Sched 23'!F5</f>
        <v>192275</v>
      </c>
      <c r="C1793" s="2" t="s">
        <v>573</v>
      </c>
      <c r="D1793" s="2" t="str">
        <f t="shared" si="27"/>
        <v>Error?</v>
      </c>
    </row>
    <row r="1794" spans="1:4" x14ac:dyDescent="0.2">
      <c r="A1794" s="5">
        <v>1733</v>
      </c>
      <c r="B1794" s="138">
        <f>'Tax Sched 23'!F6</f>
        <v>655264</v>
      </c>
      <c r="C1794" s="2" t="s">
        <v>573</v>
      </c>
      <c r="D1794" s="2" t="str">
        <f t="shared" si="27"/>
        <v>Error?</v>
      </c>
    </row>
    <row r="1795" spans="1:4" x14ac:dyDescent="0.2">
      <c r="A1795" s="5">
        <v>1734</v>
      </c>
      <c r="B1795" s="138">
        <f>'Tax Sched 23'!F7</f>
        <v>117998</v>
      </c>
      <c r="C1795" s="2" t="s">
        <v>573</v>
      </c>
      <c r="D1795" s="2" t="str">
        <f t="shared" si="27"/>
        <v>Error?</v>
      </c>
    </row>
    <row r="1796" spans="1:4" x14ac:dyDescent="0.2">
      <c r="A1796" s="5">
        <v>1735</v>
      </c>
      <c r="B1796" s="138">
        <f>'Tax Sched 23'!F8</f>
        <v>95752</v>
      </c>
      <c r="C1796" s="2" t="s">
        <v>573</v>
      </c>
      <c r="D1796" s="2" t="str">
        <f t="shared" si="27"/>
        <v>Error?</v>
      </c>
    </row>
    <row r="1797" spans="1:4" x14ac:dyDescent="0.2">
      <c r="A1797" s="5">
        <v>1736</v>
      </c>
      <c r="B1797" s="138">
        <f>'Tax Sched 23'!F10</f>
        <v>19093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121992</v>
      </c>
      <c r="C1800" s="2" t="s">
        <v>573</v>
      </c>
      <c r="D1800" s="2" t="str">
        <f t="shared" si="27"/>
        <v>Error?</v>
      </c>
    </row>
    <row r="1801" spans="1:4" x14ac:dyDescent="0.2">
      <c r="A1801" s="5">
        <v>1740</v>
      </c>
      <c r="B1801" s="138">
        <f>'Tax Sched 23'!F12</f>
        <v>28254</v>
      </c>
      <c r="C1801" s="2" t="s">
        <v>573</v>
      </c>
      <c r="D1801" s="2" t="str">
        <f t="shared" si="27"/>
        <v>Error?</v>
      </c>
    </row>
    <row r="1802" spans="1:4" x14ac:dyDescent="0.2">
      <c r="A1802" s="5">
        <v>1741</v>
      </c>
      <c r="B1802" s="138">
        <f>'Tax Sched 23'!F14</f>
        <v>23629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3043077</v>
      </c>
      <c r="C1807" s="2" t="s">
        <v>573</v>
      </c>
      <c r="D1807" s="2" t="str">
        <f t="shared" si="27"/>
        <v>Error?</v>
      </c>
    </row>
    <row r="1808" spans="1:4" x14ac:dyDescent="0.2">
      <c r="A1808" s="5">
        <v>1747</v>
      </c>
      <c r="B1808" s="138">
        <f>'Tax Sched 23'!E4</f>
        <v>1665601</v>
      </c>
      <c r="D1808" s="2" t="str">
        <f t="shared" si="27"/>
        <v>Error?</v>
      </c>
    </row>
    <row r="1809" spans="1:4" x14ac:dyDescent="0.2">
      <c r="A1809" s="5">
        <v>1748</v>
      </c>
      <c r="B1809" s="138">
        <f>'Tax Sched 23'!E5</f>
        <v>193156</v>
      </c>
      <c r="D1809" s="2" t="str">
        <f t="shared" si="27"/>
        <v>Error?</v>
      </c>
    </row>
    <row r="1810" spans="1:4" x14ac:dyDescent="0.2">
      <c r="A1810" s="5">
        <v>1749</v>
      </c>
      <c r="B1810" s="138">
        <f>'Tax Sched 23'!E6</f>
        <v>658277</v>
      </c>
      <c r="D1810" s="2" t="str">
        <f t="shared" si="27"/>
        <v>Error?</v>
      </c>
    </row>
    <row r="1811" spans="1:4" x14ac:dyDescent="0.2">
      <c r="A1811" s="5">
        <v>1750</v>
      </c>
      <c r="B1811" s="138">
        <f>'Tax Sched 23'!E7</f>
        <v>118529</v>
      </c>
      <c r="D1811" s="2" t="str">
        <f t="shared" si="27"/>
        <v>Error?</v>
      </c>
    </row>
    <row r="1812" spans="1:4" x14ac:dyDescent="0.2">
      <c r="A1812" s="5">
        <v>1751</v>
      </c>
      <c r="B1812" s="138">
        <f>'Tax Sched 23'!E8</f>
        <v>96191</v>
      </c>
      <c r="D1812" s="2" t="str">
        <f t="shared" si="27"/>
        <v>Error?</v>
      </c>
    </row>
    <row r="1813" spans="1:4" x14ac:dyDescent="0.2">
      <c r="A1813" s="5">
        <v>1752</v>
      </c>
      <c r="B1813" s="138">
        <f>'Tax Sched 23'!E10</f>
        <v>19180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122551</v>
      </c>
      <c r="D1816" s="2" t="str">
        <f t="shared" si="27"/>
        <v>Error?</v>
      </c>
    </row>
    <row r="1817" spans="1:4" x14ac:dyDescent="0.2">
      <c r="A1817" s="5">
        <v>1756</v>
      </c>
      <c r="B1817" s="138">
        <f>'Tax Sched 23'!E12</f>
        <v>28383</v>
      </c>
      <c r="D1817" s="2" t="str">
        <f t="shared" si="27"/>
        <v>Error?</v>
      </c>
    </row>
    <row r="1818" spans="1:4" x14ac:dyDescent="0.2">
      <c r="A1818" s="5">
        <v>1757</v>
      </c>
      <c r="B1818" s="138">
        <f>'Tax Sched 23'!E14</f>
        <v>23737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3057463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466665</v>
      </c>
      <c r="C1939" s="2" t="s">
        <v>573</v>
      </c>
      <c r="D1939" s="2" t="str">
        <f t="shared" si="29"/>
        <v>Error?</v>
      </c>
    </row>
    <row r="1940" spans="1:5" x14ac:dyDescent="0.2">
      <c r="A1940" s="5">
        <v>1879</v>
      </c>
      <c r="B1940" s="138">
        <f>'Short-Term Long-Term Debt 24'!F49</f>
        <v>103119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23160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23160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23160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17968</v>
      </c>
      <c r="D2008" s="2" t="str">
        <f t="shared" si="30"/>
        <v>Error?</v>
      </c>
    </row>
    <row r="2009" spans="1:4" x14ac:dyDescent="0.2">
      <c r="A2009" s="5">
        <v>1948</v>
      </c>
      <c r="B2009" s="138">
        <f>'Cap Outlay Deprec 26'!C8</f>
        <v>11147935</v>
      </c>
      <c r="D2009" s="2" t="str">
        <f t="shared" si="30"/>
        <v>Error?</v>
      </c>
    </row>
    <row r="2010" spans="1:4" x14ac:dyDescent="0.2">
      <c r="A2010" s="5">
        <v>1949</v>
      </c>
      <c r="B2010" s="138">
        <f>'Cap Outlay Deprec 26'!C10</f>
        <v>310414</v>
      </c>
      <c r="D2010" s="2" t="str">
        <f t="shared" si="30"/>
        <v>Error?</v>
      </c>
    </row>
    <row r="2011" spans="1:4" x14ac:dyDescent="0.2">
      <c r="A2011" s="5">
        <v>1950</v>
      </c>
      <c r="B2011" s="138">
        <f>'Cap Outlay Deprec 26'!C12</f>
        <v>901121</v>
      </c>
      <c r="D2011" s="2" t="str">
        <f t="shared" si="30"/>
        <v>Error?</v>
      </c>
    </row>
    <row r="2012" spans="1:4" x14ac:dyDescent="0.2">
      <c r="A2012" s="5">
        <v>1951</v>
      </c>
      <c r="B2012" s="138">
        <f>'Cap Outlay Deprec 26'!C13</f>
        <v>129923</v>
      </c>
      <c r="D2012" s="2" t="str">
        <f t="shared" si="30"/>
        <v>Error?</v>
      </c>
    </row>
    <row r="2013" spans="1:4" x14ac:dyDescent="0.2">
      <c r="A2013" s="5">
        <v>1952</v>
      </c>
      <c r="B2013" s="138">
        <f>'Cap Outlay Deprec 26'!C16</f>
        <v>12507361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131801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131801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133121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133121</v>
      </c>
      <c r="C2025" s="2" t="s">
        <v>573</v>
      </c>
      <c r="D2025" s="2" t="str">
        <f t="shared" si="30"/>
        <v>Error?</v>
      </c>
    </row>
    <row r="2026" spans="1:4" x14ac:dyDescent="0.2">
      <c r="A2026" s="5">
        <v>1965</v>
      </c>
      <c r="B2026" s="138">
        <f>'Cap Outlay Deprec 26'!F5</f>
        <v>17968</v>
      </c>
      <c r="C2026" s="2" t="s">
        <v>573</v>
      </c>
      <c r="D2026" s="2" t="str">
        <f t="shared" si="30"/>
        <v>Error?</v>
      </c>
    </row>
    <row r="2027" spans="1:4" x14ac:dyDescent="0.2">
      <c r="A2027" s="5">
        <v>1966</v>
      </c>
      <c r="B2027" s="138">
        <f>'Cap Outlay Deprec 26'!F8</f>
        <v>11147935</v>
      </c>
      <c r="C2027" s="2" t="s">
        <v>573</v>
      </c>
      <c r="D2027" s="2" t="str">
        <f t="shared" si="30"/>
        <v>Error?</v>
      </c>
    </row>
    <row r="2028" spans="1:4" x14ac:dyDescent="0.2">
      <c r="A2028" s="5">
        <v>1967</v>
      </c>
      <c r="B2028" s="138">
        <f>'Cap Outlay Deprec 26'!F10</f>
        <v>310414</v>
      </c>
      <c r="C2028" s="2" t="s">
        <v>573</v>
      </c>
      <c r="D2028" s="2" t="str">
        <f t="shared" si="30"/>
        <v>Error?</v>
      </c>
    </row>
    <row r="2029" spans="1:4" x14ac:dyDescent="0.2">
      <c r="A2029" s="5">
        <v>1968</v>
      </c>
      <c r="B2029" s="138">
        <f>'Cap Outlay Deprec 26'!F12</f>
        <v>899801</v>
      </c>
      <c r="C2029" s="2" t="s">
        <v>573</v>
      </c>
      <c r="D2029" s="2" t="str">
        <f t="shared" si="30"/>
        <v>Error?</v>
      </c>
    </row>
    <row r="2030" spans="1:4" x14ac:dyDescent="0.2">
      <c r="A2030" s="5">
        <v>1969</v>
      </c>
      <c r="B2030" s="138">
        <f>'Cap Outlay Deprec 26'!F13</f>
        <v>129923</v>
      </c>
      <c r="C2030" s="2" t="s">
        <v>573</v>
      </c>
      <c r="D2030" s="2" t="str">
        <f t="shared" si="30"/>
        <v>Error?</v>
      </c>
    </row>
    <row r="2031" spans="1:4" x14ac:dyDescent="0.2">
      <c r="A2031" s="5">
        <v>1970</v>
      </c>
      <c r="B2031" s="138">
        <f>'Cap Outlay Deprec 26'!F16</f>
        <v>12506041</v>
      </c>
      <c r="C2031" s="2" t="s">
        <v>573</v>
      </c>
      <c r="D2031" s="2" t="str">
        <f t="shared" si="30"/>
        <v>Error?</v>
      </c>
    </row>
    <row r="2032" spans="1:4" x14ac:dyDescent="0.2">
      <c r="A2032" s="10">
        <v>1971</v>
      </c>
      <c r="D2032" s="2" t="str">
        <f t="shared" si="30"/>
        <v>OK</v>
      </c>
    </row>
    <row r="2033" spans="1:4" x14ac:dyDescent="0.2">
      <c r="A2033" s="5">
        <v>1972</v>
      </c>
      <c r="B2033" s="138">
        <f>'Cap Outlay Deprec 26'!H8</f>
        <v>4642775</v>
      </c>
      <c r="D2033" s="2" t="str">
        <f t="shared" si="30"/>
        <v>Error?</v>
      </c>
    </row>
    <row r="2034" spans="1:4" x14ac:dyDescent="0.2">
      <c r="A2034" s="5">
        <v>1973</v>
      </c>
      <c r="B2034" s="138">
        <f>'Cap Outlay Deprec 26'!H10</f>
        <v>217638</v>
      </c>
      <c r="D2034" s="2" t="str">
        <f t="shared" si="30"/>
        <v>Error?</v>
      </c>
    </row>
    <row r="2035" spans="1:4" x14ac:dyDescent="0.2">
      <c r="A2035" s="5">
        <v>1974</v>
      </c>
      <c r="B2035" s="138">
        <f>'Cap Outlay Deprec 26'!H12</f>
        <v>414712</v>
      </c>
      <c r="D2035" s="2" t="str">
        <f t="shared" si="30"/>
        <v>Error?</v>
      </c>
    </row>
    <row r="2036" spans="1:4" x14ac:dyDescent="0.2">
      <c r="A2036" s="5">
        <v>1975</v>
      </c>
      <c r="B2036" s="138">
        <f>'Cap Outlay Deprec 26'!H13</f>
        <v>83741</v>
      </c>
      <c r="D2036" s="2" t="str">
        <f t="shared" si="30"/>
        <v>Error?</v>
      </c>
    </row>
    <row r="2037" spans="1:4" x14ac:dyDescent="0.2">
      <c r="A2037" s="5">
        <v>1976</v>
      </c>
      <c r="B2037" s="138">
        <f>'Cap Outlay Deprec 26'!H16</f>
        <v>5358866</v>
      </c>
      <c r="C2037" s="2" t="s">
        <v>573</v>
      </c>
      <c r="D2037" s="2" t="str">
        <f t="shared" si="30"/>
        <v>Error?</v>
      </c>
    </row>
    <row r="2038" spans="1:4" x14ac:dyDescent="0.2">
      <c r="A2038" s="10">
        <v>1977</v>
      </c>
      <c r="D2038" s="2" t="str">
        <f t="shared" si="30"/>
        <v>OK</v>
      </c>
    </row>
    <row r="2039" spans="1:4" x14ac:dyDescent="0.2">
      <c r="A2039" s="5">
        <v>1978</v>
      </c>
      <c r="B2039" s="138">
        <f>'Cap Outlay Deprec 26'!I8</f>
        <v>205233</v>
      </c>
      <c r="D2039" s="2" t="str">
        <f t="shared" si="30"/>
        <v>Error?</v>
      </c>
    </row>
    <row r="2040" spans="1:4" x14ac:dyDescent="0.2">
      <c r="A2040" s="5">
        <v>1979</v>
      </c>
      <c r="B2040" s="138">
        <f>'Cap Outlay Deprec 26'!I10</f>
        <v>14211</v>
      </c>
      <c r="D2040" s="2" t="str">
        <f t="shared" si="30"/>
        <v>Error?</v>
      </c>
    </row>
    <row r="2041" spans="1:4" x14ac:dyDescent="0.2">
      <c r="A2041" s="5">
        <v>1980</v>
      </c>
      <c r="B2041" s="138">
        <f>'Cap Outlay Deprec 26'!I12</f>
        <v>90727</v>
      </c>
      <c r="D2041" s="2" t="str">
        <f t="shared" si="30"/>
        <v>Error?</v>
      </c>
    </row>
    <row r="2042" spans="1:4" x14ac:dyDescent="0.2">
      <c r="A2042" s="5">
        <v>1981</v>
      </c>
      <c r="B2042" s="138">
        <f>'Cap Outlay Deprec 26'!I13</f>
        <v>15551</v>
      </c>
      <c r="D2042" s="2" t="str">
        <f t="shared" si="30"/>
        <v>Error?</v>
      </c>
    </row>
    <row r="2043" spans="1:4" x14ac:dyDescent="0.2">
      <c r="A2043" s="5">
        <v>1982</v>
      </c>
      <c r="B2043" s="138">
        <f>'Cap Outlay Deprec 26'!I16</f>
        <v>325722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54623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54623</v>
      </c>
      <c r="C2049" s="2" t="s">
        <v>573</v>
      </c>
      <c r="D2049" s="2" t="str">
        <f t="shared" si="31"/>
        <v>Error?</v>
      </c>
    </row>
    <row r="2050" spans="1:4" x14ac:dyDescent="0.2">
      <c r="A2050" s="10">
        <v>1989</v>
      </c>
      <c r="D2050" s="2" t="str">
        <f t="shared" si="31"/>
        <v>OK</v>
      </c>
    </row>
    <row r="2051" spans="1:4" x14ac:dyDescent="0.2">
      <c r="A2051" s="5">
        <v>1990</v>
      </c>
      <c r="B2051" s="138">
        <f>'Cap Outlay Deprec 26'!K8</f>
        <v>4848008</v>
      </c>
      <c r="C2051" s="2" t="s">
        <v>573</v>
      </c>
      <c r="D2051" s="2" t="str">
        <f t="shared" si="31"/>
        <v>Error?</v>
      </c>
    </row>
    <row r="2052" spans="1:4" x14ac:dyDescent="0.2">
      <c r="A2052" s="5">
        <v>1991</v>
      </c>
      <c r="B2052" s="138">
        <f>'Cap Outlay Deprec 26'!K10</f>
        <v>231849</v>
      </c>
      <c r="C2052" s="2" t="s">
        <v>573</v>
      </c>
      <c r="D2052" s="2" t="str">
        <f t="shared" si="31"/>
        <v>Error?</v>
      </c>
    </row>
    <row r="2053" spans="1:4" x14ac:dyDescent="0.2">
      <c r="A2053" s="5">
        <v>1992</v>
      </c>
      <c r="B2053" s="138">
        <f>'Cap Outlay Deprec 26'!K12</f>
        <v>450816</v>
      </c>
      <c r="C2053" s="2" t="s">
        <v>573</v>
      </c>
      <c r="D2053" s="2" t="str">
        <f t="shared" si="31"/>
        <v>Error?</v>
      </c>
    </row>
    <row r="2054" spans="1:4" x14ac:dyDescent="0.2">
      <c r="A2054" s="5">
        <v>1993</v>
      </c>
      <c r="B2054" s="138">
        <f>'Cap Outlay Deprec 26'!K13</f>
        <v>99292</v>
      </c>
      <c r="C2054" s="2" t="s">
        <v>573</v>
      </c>
      <c r="D2054" s="2" t="str">
        <f t="shared" si="31"/>
        <v>Error?</v>
      </c>
    </row>
    <row r="2055" spans="1:4" x14ac:dyDescent="0.2">
      <c r="A2055" s="5">
        <v>1994</v>
      </c>
      <c r="B2055" s="138">
        <f>'Cap Outlay Deprec 26'!K16</f>
        <v>5629965</v>
      </c>
      <c r="C2055" s="2" t="s">
        <v>573</v>
      </c>
      <c r="D2055" s="2" t="str">
        <f t="shared" si="31"/>
        <v>Error?</v>
      </c>
    </row>
    <row r="2056" spans="1:4" x14ac:dyDescent="0.2">
      <c r="A2056" s="5">
        <v>1995</v>
      </c>
      <c r="B2056" s="138">
        <f>'Cap Outlay Deprec 26'!L5</f>
        <v>17968</v>
      </c>
      <c r="C2056" s="2" t="s">
        <v>573</v>
      </c>
      <c r="D2056" s="2" t="str">
        <f t="shared" si="31"/>
        <v>Error?</v>
      </c>
    </row>
    <row r="2057" spans="1:4" x14ac:dyDescent="0.2">
      <c r="A2057" s="5">
        <v>1996</v>
      </c>
      <c r="B2057" s="138">
        <f>'Cap Outlay Deprec 26'!L8</f>
        <v>6299927</v>
      </c>
      <c r="C2057" s="2" t="s">
        <v>573</v>
      </c>
      <c r="D2057" s="2" t="str">
        <f t="shared" si="31"/>
        <v>Error?</v>
      </c>
    </row>
    <row r="2058" spans="1:4" x14ac:dyDescent="0.2">
      <c r="A2058" s="5">
        <v>1997</v>
      </c>
      <c r="B2058" s="138">
        <f>'Cap Outlay Deprec 26'!L10</f>
        <v>78565</v>
      </c>
      <c r="C2058" s="2" t="s">
        <v>573</v>
      </c>
      <c r="D2058" s="2" t="str">
        <f t="shared" si="31"/>
        <v>Error?</v>
      </c>
    </row>
    <row r="2059" spans="1:4" x14ac:dyDescent="0.2">
      <c r="A2059" s="5">
        <v>1998</v>
      </c>
      <c r="B2059" s="138">
        <f>'Cap Outlay Deprec 26'!L12</f>
        <v>448985</v>
      </c>
      <c r="C2059" s="2" t="s">
        <v>573</v>
      </c>
      <c r="D2059" s="2" t="str">
        <f t="shared" si="31"/>
        <v>Error?</v>
      </c>
    </row>
    <row r="2060" spans="1:4" x14ac:dyDescent="0.2">
      <c r="A2060" s="5">
        <v>1999</v>
      </c>
      <c r="B2060" s="138">
        <f>'Cap Outlay Deprec 26'!L13</f>
        <v>30631</v>
      </c>
      <c r="C2060" s="2" t="s">
        <v>573</v>
      </c>
      <c r="D2060" s="2" t="str">
        <f t="shared" si="31"/>
        <v>Error?</v>
      </c>
    </row>
    <row r="2061" spans="1:4" x14ac:dyDescent="0.2">
      <c r="A2061" s="5">
        <v>2000</v>
      </c>
      <c r="B2061" s="138">
        <f>'Cap Outlay Deprec 26'!L16</f>
        <v>6876076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132904</v>
      </c>
      <c r="C2088" s="2" t="s">
        <v>573</v>
      </c>
      <c r="D2088" s="2" t="str">
        <f t="shared" si="31"/>
        <v>Error?</v>
      </c>
    </row>
    <row r="2089" spans="1:4" x14ac:dyDescent="0.2">
      <c r="A2089" s="5">
        <v>2028</v>
      </c>
      <c r="B2089" s="138">
        <f>'Expenditures 15-22'!K92</f>
        <v>63815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v>
      </c>
      <c r="C2105" s="2" t="s">
        <v>573</v>
      </c>
      <c r="D2105" s="2" t="str">
        <f t="shared" si="31"/>
        <v>Error?</v>
      </c>
    </row>
    <row r="2106" spans="1:4" x14ac:dyDescent="0.2">
      <c r="A2106" s="5">
        <v>2045</v>
      </c>
      <c r="B2106" s="138">
        <f>'Acct Summary 7-8'!I48</f>
        <v>5893</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33915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3506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2196222</v>
      </c>
      <c r="C2551" s="2" t="s">
        <v>573</v>
      </c>
      <c r="D2551" s="2" t="str">
        <f t="shared" si="38"/>
        <v>Error?</v>
      </c>
    </row>
    <row r="2552" spans="1:4" x14ac:dyDescent="0.2">
      <c r="A2552" s="10">
        <v>2491</v>
      </c>
      <c r="D2552" s="2" t="str">
        <f t="shared" si="38"/>
        <v>OK</v>
      </c>
    </row>
    <row r="2553" spans="1:4" x14ac:dyDescent="0.2">
      <c r="A2553" s="5">
        <v>2492</v>
      </c>
      <c r="B2553" s="138">
        <f>'Acct Summary 7-8'!C6</f>
        <v>1733513</v>
      </c>
      <c r="C2553" s="2" t="s">
        <v>573</v>
      </c>
      <c r="D2553" s="2" t="str">
        <f t="shared" si="38"/>
        <v>Error?</v>
      </c>
    </row>
    <row r="2554" spans="1:4" x14ac:dyDescent="0.2">
      <c r="A2554" s="5">
        <v>2493</v>
      </c>
      <c r="B2554" s="138">
        <f>'Acct Summary 7-8'!C7</f>
        <v>397780</v>
      </c>
      <c r="C2554" s="2" t="s">
        <v>573</v>
      </c>
      <c r="D2554" s="2" t="str">
        <f t="shared" si="38"/>
        <v>Error?</v>
      </c>
    </row>
    <row r="2555" spans="1:4" x14ac:dyDescent="0.2">
      <c r="A2555" s="5">
        <v>2494</v>
      </c>
      <c r="B2555" s="138">
        <f>'Acct Summary 7-8'!C8</f>
        <v>4327515</v>
      </c>
      <c r="C2555" s="2" t="s">
        <v>573</v>
      </c>
      <c r="D2555" s="2" t="str">
        <f t="shared" si="38"/>
        <v>Error?</v>
      </c>
    </row>
    <row r="2556" spans="1:4" x14ac:dyDescent="0.2">
      <c r="A2556" s="5">
        <v>2495</v>
      </c>
      <c r="B2556" s="138">
        <f>'Acct Summary 7-8'!C12</f>
        <v>2956744</v>
      </c>
      <c r="C2556" s="2" t="s">
        <v>573</v>
      </c>
      <c r="D2556" s="2" t="str">
        <f t="shared" si="38"/>
        <v>Error?</v>
      </c>
    </row>
    <row r="2557" spans="1:4" x14ac:dyDescent="0.2">
      <c r="A2557" s="5">
        <v>2496</v>
      </c>
      <c r="B2557" s="138">
        <f>'Acct Summary 7-8'!C13</f>
        <v>1005510</v>
      </c>
      <c r="C2557" s="2" t="s">
        <v>573</v>
      </c>
      <c r="D2557" s="2" t="str">
        <f t="shared" si="38"/>
        <v>Error?</v>
      </c>
    </row>
    <row r="2558" spans="1:4" x14ac:dyDescent="0.2">
      <c r="A2558" s="5">
        <v>2497</v>
      </c>
      <c r="B2558" s="138">
        <f>'Acct Summary 7-8'!C14</f>
        <v>122775</v>
      </c>
      <c r="C2558" s="2" t="s">
        <v>573</v>
      </c>
      <c r="D2558" s="2" t="str">
        <f t="shared" si="38"/>
        <v>Error?</v>
      </c>
    </row>
    <row r="2559" spans="1:4" x14ac:dyDescent="0.2">
      <c r="A2559" s="5">
        <v>2498</v>
      </c>
      <c r="B2559" s="138">
        <f>'Acct Summary 7-8'!C15</f>
        <v>407798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4492827</v>
      </c>
      <c r="C2561" s="2" t="s">
        <v>573</v>
      </c>
      <c r="D2561" s="2" t="str">
        <f t="shared" si="39"/>
        <v>Error?</v>
      </c>
    </row>
    <row r="2562" spans="1:4" x14ac:dyDescent="0.2">
      <c r="A2562" s="5">
        <v>2501</v>
      </c>
      <c r="B2562" s="138">
        <f>'Acct Summary 7-8'!C20</f>
        <v>-165312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200218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200218</v>
      </c>
      <c r="C2568" s="2" t="s">
        <v>573</v>
      </c>
      <c r="D2568" s="2" t="str">
        <f t="shared" si="39"/>
        <v>Error?</v>
      </c>
    </row>
    <row r="2569" spans="1:4" x14ac:dyDescent="0.2">
      <c r="A2569" s="5">
        <v>2508</v>
      </c>
      <c r="B2569" s="138">
        <f>'Acct Summary 7-8'!D13</f>
        <v>320728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320728</v>
      </c>
      <c r="C2573" s="2" t="s">
        <v>573</v>
      </c>
      <c r="D2573" s="2" t="str">
        <f t="shared" si="39"/>
        <v>Error?</v>
      </c>
    </row>
    <row r="2574" spans="1:4" x14ac:dyDescent="0.2">
      <c r="A2574" s="5">
        <v>2513</v>
      </c>
      <c r="B2574" s="138">
        <f>'Acct Summary 7-8'!D20</f>
        <v>-120510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122946</v>
      </c>
      <c r="C2591" s="2" t="s">
        <v>573</v>
      </c>
      <c r="D2591" s="2" t="str">
        <f t="shared" si="39"/>
        <v>Error?</v>
      </c>
    </row>
    <row r="2592" spans="1:4" x14ac:dyDescent="0.2">
      <c r="A2592" s="10">
        <v>2531</v>
      </c>
      <c r="D2592" s="2" t="str">
        <f t="shared" si="39"/>
        <v>OK</v>
      </c>
    </row>
    <row r="2593" spans="1:4" x14ac:dyDescent="0.2">
      <c r="A2593" s="5">
        <v>2532</v>
      </c>
      <c r="B2593" s="138">
        <f>'Acct Summary 7-8'!F6</f>
        <v>125833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248779</v>
      </c>
      <c r="C2595" s="2" t="s">
        <v>573</v>
      </c>
      <c r="D2595" s="2" t="str">
        <f t="shared" si="39"/>
        <v>Error?</v>
      </c>
    </row>
    <row r="2596" spans="1:4" x14ac:dyDescent="0.2">
      <c r="A2596" s="5">
        <v>2535</v>
      </c>
      <c r="B2596" s="138">
        <f>'Acct Summary 7-8'!F13</f>
        <v>255385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255385</v>
      </c>
      <c r="C2600" s="2" t="s">
        <v>573</v>
      </c>
      <c r="D2600" s="2" t="str">
        <f t="shared" si="39"/>
        <v>Error?</v>
      </c>
    </row>
    <row r="2601" spans="1:4" x14ac:dyDescent="0.2">
      <c r="A2601" s="5">
        <v>2540</v>
      </c>
      <c r="B2601" s="138">
        <f>'Acct Summary 7-8'!F20</f>
        <v>-6606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201004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201004</v>
      </c>
      <c r="C2606" s="2" t="s">
        <v>573</v>
      </c>
      <c r="D2606" s="2" t="str">
        <f t="shared" si="39"/>
        <v>Error?</v>
      </c>
    </row>
    <row r="2607" spans="1:4" x14ac:dyDescent="0.2">
      <c r="A2607" s="5">
        <v>2546</v>
      </c>
      <c r="B2607" s="138">
        <f>'Acct Summary 7-8'!G12</f>
        <v>71482</v>
      </c>
      <c r="C2607" s="2" t="s">
        <v>573</v>
      </c>
      <c r="D2607" s="2" t="str">
        <f t="shared" si="39"/>
        <v>Error?</v>
      </c>
    </row>
    <row r="2608" spans="1:4" x14ac:dyDescent="0.2">
      <c r="A2608" s="5">
        <v>2547</v>
      </c>
      <c r="B2608" s="138">
        <f>'Acct Summary 7-8'!G13</f>
        <v>82101</v>
      </c>
      <c r="C2608" s="2" t="s">
        <v>573</v>
      </c>
      <c r="D2608" s="2" t="str">
        <f t="shared" si="39"/>
        <v>Error?</v>
      </c>
    </row>
    <row r="2609" spans="1:4" x14ac:dyDescent="0.2">
      <c r="A2609" s="5">
        <v>2548</v>
      </c>
      <c r="B2609" s="138">
        <f>'Acct Summary 7-8'!G14</f>
        <v>18117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171700</v>
      </c>
      <c r="C2612" s="2" t="s">
        <v>573</v>
      </c>
      <c r="D2612" s="2" t="str">
        <f t="shared" si="39"/>
        <v>Error?</v>
      </c>
    </row>
    <row r="2613" spans="1:4" x14ac:dyDescent="0.2">
      <c r="A2613" s="5">
        <v>2552</v>
      </c>
      <c r="B2613" s="138">
        <f>'Acct Summary 7-8'!G20</f>
        <v>29304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627955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627955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658109</v>
      </c>
      <c r="C2634" s="2" t="s">
        <v>573</v>
      </c>
      <c r="D2634" s="2" t="str">
        <f t="shared" si="40"/>
        <v>Error?</v>
      </c>
    </row>
    <row r="2635" spans="1:4" x14ac:dyDescent="0.2">
      <c r="A2635" s="5">
        <v>2574</v>
      </c>
      <c r="B2635" s="138">
        <f>'Acct Summary 7-8'!E17</f>
        <v>658109</v>
      </c>
      <c r="C2635" s="2" t="s">
        <v>573</v>
      </c>
      <c r="D2635" s="2" t="str">
        <f t="shared" si="40"/>
        <v>Error?</v>
      </c>
    </row>
    <row r="2636" spans="1:4" x14ac:dyDescent="0.2">
      <c r="A2636" s="5">
        <v>2575</v>
      </c>
      <c r="B2636" s="138">
        <f>'Acct Summary 7-8'!E20</f>
        <v>-30154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4529</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132904</v>
      </c>
      <c r="C2789" s="2" t="s">
        <v>573</v>
      </c>
      <c r="D2789" s="2" t="str">
        <f t="shared" si="42"/>
        <v>Error?</v>
      </c>
    </row>
    <row r="2790" spans="1:4" x14ac:dyDescent="0.2">
      <c r="A2790" s="5">
        <v>2729</v>
      </c>
      <c r="B2790" s="138">
        <f>'Expenditures 15-22'!E102</f>
        <v>280236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4529</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172946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89359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172946</v>
      </c>
      <c r="D2912" s="2" t="str">
        <f t="shared" si="44"/>
        <v>Error?</v>
      </c>
    </row>
    <row r="2913" spans="1:4" x14ac:dyDescent="0.2">
      <c r="A2913" s="5">
        <v>2852</v>
      </c>
      <c r="B2913" s="138">
        <f>'Assets-Liab 5-6'!I41</f>
        <v>172946</v>
      </c>
      <c r="C2913" s="2" t="s">
        <v>573</v>
      </c>
      <c r="D2913" s="2" t="str">
        <f t="shared" si="44"/>
        <v>Error?</v>
      </c>
    </row>
    <row r="2914" spans="1:4" x14ac:dyDescent="0.2">
      <c r="A2914" s="5">
        <v>2853</v>
      </c>
      <c r="B2914" s="138">
        <f>'Assets-Liab 5-6'!L33</f>
        <v>89359</v>
      </c>
      <c r="D2914" s="2" t="str">
        <f t="shared" si="44"/>
        <v>Error?</v>
      </c>
    </row>
    <row r="2915" spans="1:4" x14ac:dyDescent="0.2">
      <c r="A2915" s="10">
        <v>2854</v>
      </c>
      <c r="D2915" s="2" t="str">
        <f t="shared" si="44"/>
        <v>OK</v>
      </c>
    </row>
    <row r="2916" spans="1:4" x14ac:dyDescent="0.2">
      <c r="A2916" s="5">
        <v>2855</v>
      </c>
      <c r="B2916" s="138">
        <f>'Assets-Liab 5-6'!L34</f>
        <v>89359</v>
      </c>
      <c r="C2916" s="2" t="s">
        <v>573</v>
      </c>
      <c r="D2916" s="2" t="str">
        <f t="shared" si="44"/>
        <v>Error?</v>
      </c>
    </row>
    <row r="2917" spans="1:4" x14ac:dyDescent="0.2">
      <c r="A2917" s="5">
        <v>2856</v>
      </c>
      <c r="B2917" s="138">
        <f>'Assets-Liab 5-6'!L41</f>
        <v>89359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147332</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132904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132904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71727</v>
      </c>
      <c r="D3055" s="2" t="str">
        <f t="shared" si="46"/>
        <v>Error?</v>
      </c>
    </row>
    <row r="3056" spans="1:4" x14ac:dyDescent="0.2">
      <c r="A3056" s="5">
        <v>2995</v>
      </c>
      <c r="B3056" s="138">
        <f>'Expenditures 15-22'!D10</f>
        <v>17903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90207</v>
      </c>
      <c r="C3062" s="2" t="s">
        <v>573</v>
      </c>
      <c r="D3062" s="2" t="str">
        <f t="shared" si="46"/>
        <v>Error?</v>
      </c>
    </row>
    <row r="3063" spans="1:4" x14ac:dyDescent="0.2">
      <c r="A3063" s="10">
        <v>3002</v>
      </c>
      <c r="D3063" s="2" t="str">
        <f t="shared" si="46"/>
        <v>OK</v>
      </c>
    </row>
    <row r="3064" spans="1:4" x14ac:dyDescent="0.2">
      <c r="A3064" s="5">
        <v>3003</v>
      </c>
      <c r="B3064" s="138">
        <f>'Expenditures 15-22'!D219</f>
        <v>2985</v>
      </c>
      <c r="D3064" s="2" t="str">
        <f t="shared" si="46"/>
        <v>Error?</v>
      </c>
    </row>
    <row r="3065" spans="1:4" x14ac:dyDescent="0.2">
      <c r="A3065" s="5">
        <v>3004</v>
      </c>
      <c r="B3065" s="138">
        <f>'Expenditures 15-22'!K219</f>
        <v>2985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24610</v>
      </c>
      <c r="C3225" s="2" t="s">
        <v>573</v>
      </c>
      <c r="D3225" s="2" t="str">
        <f t="shared" si="49"/>
        <v>Error?</v>
      </c>
    </row>
    <row r="3226" spans="1:4" x14ac:dyDescent="0.2">
      <c r="A3226" s="5">
        <v>3165</v>
      </c>
      <c r="B3226" s="138">
        <f>'Acct Summary 7-8'!I8</f>
        <v>24610</v>
      </c>
      <c r="C3226" s="2" t="s">
        <v>573</v>
      </c>
      <c r="D3226" s="2" t="str">
        <f t="shared" si="49"/>
        <v>Error?</v>
      </c>
    </row>
    <row r="3227" spans="1:4" x14ac:dyDescent="0.2">
      <c r="A3227" s="5">
        <v>3166</v>
      </c>
      <c r="B3227" s="138">
        <f>'Acct Summary 7-8'!I20</f>
        <v>24610</v>
      </c>
      <c r="C3227" s="2" t="s">
        <v>573</v>
      </c>
      <c r="D3227" s="2" t="str">
        <f t="shared" si="49"/>
        <v>Error?</v>
      </c>
    </row>
    <row r="3228" spans="1:4" x14ac:dyDescent="0.2">
      <c r="A3228" s="5">
        <v>3167</v>
      </c>
      <c r="B3228" s="138">
        <f>'Acct Summary 7-8'!C43</f>
        <v>103119</v>
      </c>
      <c r="D3228" s="2" t="str">
        <f t="shared" si="49"/>
        <v>Error?</v>
      </c>
    </row>
    <row r="3229" spans="1:4" x14ac:dyDescent="0.2">
      <c r="A3229" s="5">
        <v>3168</v>
      </c>
      <c r="B3229" s="138">
        <f>'Acct Summary 7-8'!C44</f>
        <v>113651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38109</v>
      </c>
      <c r="C3231" s="2" t="s">
        <v>573</v>
      </c>
      <c r="D3231" s="2" t="str">
        <f t="shared" si="49"/>
        <v>Error?</v>
      </c>
    </row>
    <row r="3232" spans="1:4" x14ac:dyDescent="0.2">
      <c r="A3232" s="5">
        <v>3171</v>
      </c>
      <c r="B3232" s="138">
        <f>'Acct Summary 7-8'!C77</f>
        <v>75542</v>
      </c>
      <c r="C3232" s="2" t="s">
        <v>573</v>
      </c>
      <c r="D3232" s="2" t="str">
        <f t="shared" si="49"/>
        <v>Error?</v>
      </c>
    </row>
    <row r="3233" spans="1:4" x14ac:dyDescent="0.2">
      <c r="A3233" s="5">
        <v>3172</v>
      </c>
      <c r="B3233" s="138">
        <f>'Acct Summary 7-8'!C78</f>
        <v>-89770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-120510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-6606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29304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38109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4529</v>
      </c>
      <c r="C3276" s="2" t="s">
        <v>573</v>
      </c>
      <c r="D3276" s="2" t="str">
        <f t="shared" si="50"/>
        <v>Error?</v>
      </c>
    </row>
    <row r="3277" spans="1:4" x14ac:dyDescent="0.2">
      <c r="A3277" s="5">
        <v>3216</v>
      </c>
      <c r="B3277" s="138">
        <f>'Acct Summary 7-8'!E77</f>
        <v>33580</v>
      </c>
      <c r="C3277" s="2" t="s">
        <v>573</v>
      </c>
      <c r="D3277" s="2" t="str">
        <f t="shared" si="50"/>
        <v>Error?</v>
      </c>
    </row>
    <row r="3278" spans="1:4" x14ac:dyDescent="0.2">
      <c r="A3278" s="5">
        <v>3217</v>
      </c>
      <c r="B3278" s="138">
        <f>'Acct Summary 7-8'!E78</f>
        <v>3426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85893</v>
      </c>
      <c r="C3318" s="2" t="s">
        <v>573</v>
      </c>
      <c r="D3318" s="2" t="str">
        <f t="shared" si="50"/>
        <v>Error?</v>
      </c>
    </row>
    <row r="3319" spans="1:4" x14ac:dyDescent="0.2">
      <c r="A3319" s="5">
        <v>3258</v>
      </c>
      <c r="B3319" s="138">
        <f>'Acct Summary 7-8'!I77</f>
        <v>-85893</v>
      </c>
      <c r="C3319" s="2" t="s">
        <v>573</v>
      </c>
      <c r="D3319" s="2" t="str">
        <f t="shared" si="50"/>
        <v>Error?</v>
      </c>
    </row>
    <row r="3320" spans="1:4" x14ac:dyDescent="0.2">
      <c r="A3320" s="5">
        <v>3259</v>
      </c>
      <c r="B3320" s="138">
        <f>'Acct Summary 7-8'!I78</f>
        <v>-61283</v>
      </c>
      <c r="C3320" s="2" t="s">
        <v>573</v>
      </c>
      <c r="D3320" s="2" t="str">
        <f t="shared" si="50"/>
        <v>Error?</v>
      </c>
    </row>
    <row r="3321" spans="1:4" x14ac:dyDescent="0.2">
      <c r="A3321" s="5">
        <v>3260</v>
      </c>
      <c r="B3321" s="138">
        <f>'Acct Summary 7-8'!I79</f>
        <v>234229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172946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293090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38886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61913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395587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29953</v>
      </c>
      <c r="D3387" s="2" t="str">
        <f t="shared" si="51"/>
        <v>Error?</v>
      </c>
    </row>
    <row r="3388" spans="1:4" x14ac:dyDescent="0.2">
      <c r="A3388" s="5">
        <v>3327</v>
      </c>
      <c r="B3388" s="138">
        <f>'Expenditures 15-22'!D217</f>
        <v>29900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29953</v>
      </c>
      <c r="C3390" s="2" t="s">
        <v>573</v>
      </c>
      <c r="D3390" s="2" t="str">
        <f t="shared" si="51"/>
        <v>Error?</v>
      </c>
    </row>
    <row r="3391" spans="1:4" x14ac:dyDescent="0.2">
      <c r="A3391" s="5">
        <v>3330</v>
      </c>
      <c r="B3391" s="138">
        <f>'Expenditures 15-22'!K217</f>
        <v>29900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32789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455896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66633</v>
      </c>
      <c r="D3417" s="2" t="str">
        <f t="shared" si="52"/>
        <v>Error?</v>
      </c>
    </row>
    <row r="3418" spans="1:4" x14ac:dyDescent="0.2">
      <c r="A3418" s="10">
        <v>3357</v>
      </c>
      <c r="D3418" s="2" t="str">
        <f t="shared" si="52"/>
        <v>OK</v>
      </c>
    </row>
    <row r="3419" spans="1:4" x14ac:dyDescent="0.2">
      <c r="A3419" s="5">
        <v>3358</v>
      </c>
      <c r="B3419" s="138">
        <f>'Assets-Liab 5-6'!F4</f>
        <v>277555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70347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3506</v>
      </c>
      <c r="D3425" s="2" t="str">
        <f t="shared" si="52"/>
        <v>Error?</v>
      </c>
    </row>
    <row r="3426" spans="1:4" x14ac:dyDescent="0.2">
      <c r="A3426" s="10">
        <v>3365</v>
      </c>
      <c r="D3426" s="2" t="str">
        <f t="shared" si="52"/>
        <v>OK</v>
      </c>
    </row>
    <row r="3427" spans="1:4" x14ac:dyDescent="0.2">
      <c r="A3427" s="5">
        <v>3366</v>
      </c>
      <c r="B3427" s="138">
        <f>'Assets-Liab 5-6'!I4</f>
        <v>172946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89359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109915</v>
      </c>
      <c r="C3446" s="2" t="s">
        <v>573</v>
      </c>
      <c r="D3446" s="2" t="str">
        <f t="shared" si="52"/>
        <v>Error?</v>
      </c>
    </row>
    <row r="3447" spans="1:4" x14ac:dyDescent="0.2">
      <c r="A3447" s="5">
        <v>3386</v>
      </c>
      <c r="B3447" s="138">
        <f>'Tax Sched 23'!D16</f>
        <v>109449</v>
      </c>
      <c r="C3447" s="2" t="s">
        <v>573</v>
      </c>
      <c r="D3447" s="2" t="str">
        <f t="shared" si="52"/>
        <v>Error?</v>
      </c>
    </row>
    <row r="3448" spans="1:4" x14ac:dyDescent="0.2">
      <c r="A3448" s="5">
        <v>3387</v>
      </c>
      <c r="B3448" s="138">
        <f>'Tax Sched 23'!C16</f>
        <v>466</v>
      </c>
      <c r="D3448" s="2" t="str">
        <f t="shared" si="52"/>
        <v>Error?</v>
      </c>
    </row>
    <row r="3449" spans="1:4" x14ac:dyDescent="0.2">
      <c r="A3449" s="5">
        <v>3388</v>
      </c>
      <c r="B3449" s="138">
        <f>'Tax Sched 23'!F16</f>
        <v>101710</v>
      </c>
      <c r="C3449" s="2" t="s">
        <v>573</v>
      </c>
      <c r="D3449" s="2" t="str">
        <f t="shared" si="52"/>
        <v>Error?</v>
      </c>
    </row>
    <row r="3450" spans="1:4" x14ac:dyDescent="0.2">
      <c r="A3450" s="5">
        <v>3389</v>
      </c>
      <c r="B3450" s="138">
        <f>'Tax Sched 23'!E16</f>
        <v>102176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110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283532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283532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283532</v>
      </c>
      <c r="D3567" s="2" t="str">
        <f t="shared" si="54"/>
        <v>Error?</v>
      </c>
    </row>
    <row r="3568" spans="1:4" x14ac:dyDescent="0.2">
      <c r="A3568" s="5">
        <v>3507</v>
      </c>
      <c r="B3568" s="138">
        <f>'Assets-Liab 5-6'!K41</f>
        <v>283532</v>
      </c>
      <c r="C3568" s="2" t="s">
        <v>573</v>
      </c>
      <c r="D3568" s="2" t="str">
        <f t="shared" si="54"/>
        <v>Error?</v>
      </c>
    </row>
    <row r="3569" spans="1:4" x14ac:dyDescent="0.2">
      <c r="A3569" s="5">
        <v>3508</v>
      </c>
      <c r="B3569" s="138">
        <f>'Acct Summary 7-8'!K4</f>
        <v>30609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30609</v>
      </c>
      <c r="C3571" s="2" t="s">
        <v>573</v>
      </c>
      <c r="D3571" s="2" t="str">
        <f t="shared" si="54"/>
        <v>Error?</v>
      </c>
    </row>
    <row r="3572" spans="1:4" x14ac:dyDescent="0.2">
      <c r="A3572" s="5">
        <v>3511</v>
      </c>
      <c r="B3572" s="138">
        <f>'Acct Summary 7-8'!K13</f>
        <v>19376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19376</v>
      </c>
      <c r="C3575" s="2" t="s">
        <v>573</v>
      </c>
      <c r="D3575" s="2" t="str">
        <f t="shared" si="54"/>
        <v>Error?</v>
      </c>
    </row>
    <row r="3576" spans="1:4" x14ac:dyDescent="0.2">
      <c r="A3576" s="5">
        <v>3515</v>
      </c>
      <c r="B3576" s="138">
        <f>'Acct Summary 7-8'!K20</f>
        <v>11233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11233</v>
      </c>
      <c r="C3588" s="2" t="s">
        <v>573</v>
      </c>
      <c r="D3588" s="2" t="str">
        <f t="shared" si="55"/>
        <v>Error?</v>
      </c>
    </row>
    <row r="3589" spans="1:4" x14ac:dyDescent="0.2">
      <c r="A3589" s="5">
        <v>3528</v>
      </c>
      <c r="B3589" s="138">
        <f>'Acct Summary 7-8'!K79</f>
        <v>272299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283532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19376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19376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19376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19376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19376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19376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19376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11233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28967</v>
      </c>
      <c r="C3725" s="2" t="s">
        <v>573</v>
      </c>
      <c r="D3725" s="2" t="str">
        <f t="shared" si="57"/>
        <v>Error?</v>
      </c>
    </row>
    <row r="3726" spans="1:4" x14ac:dyDescent="0.2">
      <c r="A3726" s="5">
        <v>3665</v>
      </c>
      <c r="B3726" s="138">
        <f>'Tax Sched 23'!D13</f>
        <v>28832</v>
      </c>
      <c r="C3726" s="2" t="s">
        <v>573</v>
      </c>
      <c r="D3726" s="2" t="str">
        <f t="shared" si="57"/>
        <v>Error?</v>
      </c>
    </row>
    <row r="3727" spans="1:4" x14ac:dyDescent="0.2">
      <c r="A3727" s="5">
        <v>3666</v>
      </c>
      <c r="B3727" s="138">
        <f>'Tax Sched 23'!C13</f>
        <v>135</v>
      </c>
      <c r="D3727" s="2" t="str">
        <f t="shared" si="57"/>
        <v>Error?</v>
      </c>
    </row>
    <row r="3728" spans="1:4" x14ac:dyDescent="0.2">
      <c r="A3728" s="5">
        <v>3667</v>
      </c>
      <c r="B3728" s="138">
        <f>'Tax Sched 23'!F13</f>
        <v>29547</v>
      </c>
      <c r="C3728" s="2" t="s">
        <v>573</v>
      </c>
      <c r="D3728" s="2" t="str">
        <f t="shared" si="57"/>
        <v>Error?</v>
      </c>
    </row>
    <row r="3729" spans="1:4" x14ac:dyDescent="0.2">
      <c r="A3729" s="5">
        <v>3668</v>
      </c>
      <c r="B3729" s="138">
        <f>'Tax Sched 23'!E13</f>
        <v>29682</v>
      </c>
      <c r="D3729" s="2" t="str">
        <f t="shared" si="57"/>
        <v>Error?</v>
      </c>
    </row>
    <row r="3730" spans="1:4" x14ac:dyDescent="0.2">
      <c r="A3730" s="5">
        <v>3669</v>
      </c>
      <c r="B3730" s="138">
        <f>'ICR Computation 30'!E10</f>
        <v>71899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1939730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6267245</v>
      </c>
      <c r="C4122" s="2" t="s">
        <v>573</v>
      </c>
      <c r="D4122" s="2" t="str">
        <f t="shared" si="63"/>
        <v>Error?</v>
      </c>
    </row>
    <row r="4123" spans="1:4" x14ac:dyDescent="0.2">
      <c r="A4123" s="5">
        <v>4062</v>
      </c>
      <c r="B4123" s="138">
        <f>'Acct Summary 7-8'!D10</f>
        <v>200218</v>
      </c>
      <c r="C4123" s="2" t="s">
        <v>573</v>
      </c>
      <c r="D4123" s="2" t="str">
        <f t="shared" si="63"/>
        <v>Error?</v>
      </c>
    </row>
    <row r="4124" spans="1:4" x14ac:dyDescent="0.2">
      <c r="A4124" s="5">
        <v>4063</v>
      </c>
      <c r="B4124" s="138">
        <f>'Acct Summary 7-8'!E10</f>
        <v>627955</v>
      </c>
      <c r="C4124" s="2" t="s">
        <v>573</v>
      </c>
      <c r="D4124" s="2" t="str">
        <f t="shared" si="63"/>
        <v>Error?</v>
      </c>
    </row>
    <row r="4125" spans="1:4" x14ac:dyDescent="0.2">
      <c r="A4125" s="5">
        <v>4064</v>
      </c>
      <c r="B4125" s="138">
        <f>'Acct Summary 7-8'!F10</f>
        <v>248779</v>
      </c>
      <c r="C4125" s="2" t="s">
        <v>573</v>
      </c>
      <c r="D4125" s="2" t="str">
        <f t="shared" si="63"/>
        <v>Error?</v>
      </c>
    </row>
    <row r="4126" spans="1:4" x14ac:dyDescent="0.2">
      <c r="A4126" s="5">
        <v>4065</v>
      </c>
      <c r="B4126" s="138">
        <f>'Acct Summary 7-8'!G10</f>
        <v>201004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24610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30609</v>
      </c>
      <c r="C4130" s="2" t="s">
        <v>573</v>
      </c>
      <c r="D4130" s="2" t="str">
        <f t="shared" si="63"/>
        <v>Error?</v>
      </c>
    </row>
    <row r="4131" spans="1:4" x14ac:dyDescent="0.2">
      <c r="A4131" s="5">
        <v>4070</v>
      </c>
      <c r="B4131" s="138">
        <f>'Acct Summary 7-8'!C18</f>
        <v>1939730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6432557</v>
      </c>
      <c r="C4136" s="2" t="s">
        <v>573</v>
      </c>
      <c r="D4136" s="2" t="str">
        <f t="shared" si="63"/>
        <v>Error?</v>
      </c>
    </row>
    <row r="4137" spans="1:4" x14ac:dyDescent="0.2">
      <c r="A4137" s="5">
        <v>4076</v>
      </c>
      <c r="B4137" s="138">
        <f>'Acct Summary 7-8'!D19</f>
        <v>320728</v>
      </c>
      <c r="C4137" s="2" t="s">
        <v>573</v>
      </c>
      <c r="D4137" s="2" t="str">
        <f t="shared" si="63"/>
        <v>Error?</v>
      </c>
    </row>
    <row r="4138" spans="1:4" x14ac:dyDescent="0.2">
      <c r="A4138" s="5">
        <v>4077</v>
      </c>
      <c r="B4138" s="138">
        <f>'Acct Summary 7-8'!E19</f>
        <v>658109</v>
      </c>
      <c r="C4138" s="2" t="s">
        <v>573</v>
      </c>
      <c r="D4138" s="2" t="str">
        <f t="shared" si="63"/>
        <v>Error?</v>
      </c>
    </row>
    <row r="4139" spans="1:4" x14ac:dyDescent="0.2">
      <c r="A4139" s="5">
        <v>4078</v>
      </c>
      <c r="B4139" s="138">
        <f>'Acct Summary 7-8'!F19</f>
        <v>255385</v>
      </c>
      <c r="C4139" s="2" t="s">
        <v>573</v>
      </c>
      <c r="D4139" s="2" t="str">
        <f t="shared" si="63"/>
        <v>Error?</v>
      </c>
    </row>
    <row r="4140" spans="1:4" x14ac:dyDescent="0.2">
      <c r="A4140" s="5">
        <v>4079</v>
      </c>
      <c r="B4140" s="138">
        <f>'Acct Summary 7-8'!G19</f>
        <v>171700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19376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295345</v>
      </c>
      <c r="C4171" s="2" t="s">
        <v>573</v>
      </c>
      <c r="D4171" s="2" t="str">
        <f t="shared" si="64"/>
        <v>Error?</v>
      </c>
    </row>
    <row r="4172" spans="1:4" x14ac:dyDescent="0.2">
      <c r="A4172" s="5">
        <v>4111</v>
      </c>
      <c r="B4172" s="138">
        <f>'Short-Term Long-Term Debt 24'!J49</f>
        <v>228712</v>
      </c>
      <c r="C4172" s="2" t="s">
        <v>573</v>
      </c>
      <c r="D4172" s="2" t="str">
        <f t="shared" si="64"/>
        <v>Error?</v>
      </c>
    </row>
    <row r="4173" spans="1:4" x14ac:dyDescent="0.2">
      <c r="A4173" s="5">
        <v>4112</v>
      </c>
      <c r="B4173" s="138">
        <f>'Short-Term Long-Term Debt 24'!H49</f>
        <v>225598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-48841</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3333.77</v>
      </c>
      <c r="C4265" s="2" t="s">
        <v>573</v>
      </c>
      <c r="D4265" s="2" t="str">
        <f t="shared" si="65"/>
        <v>Error?</v>
      </c>
      <c r="E4265" s="128"/>
    </row>
    <row r="4266" spans="1:5" x14ac:dyDescent="0.2">
      <c r="A4266" s="12">
        <v>4205</v>
      </c>
      <c r="B4266" s="138">
        <f>('FP Info 3'!F10)*100000</f>
        <v>386.61</v>
      </c>
      <c r="C4266" s="2" t="s">
        <v>573</v>
      </c>
      <c r="D4266" s="2" t="str">
        <f t="shared" si="65"/>
        <v>Error?</v>
      </c>
      <c r="E4266" s="128"/>
    </row>
    <row r="4267" spans="1:5" x14ac:dyDescent="0.2">
      <c r="A4267" s="12">
        <v>4206</v>
      </c>
      <c r="B4267" s="138">
        <f>('FP Info 3'!H10)*100000</f>
        <v>237.24</v>
      </c>
      <c r="C4267" s="2" t="s">
        <v>573</v>
      </c>
      <c r="D4267" s="2" t="str">
        <f t="shared" si="65"/>
        <v>Error?</v>
      </c>
      <c r="E4267" s="128"/>
    </row>
    <row r="4268" spans="1:5" x14ac:dyDescent="0.2">
      <c r="A4268" s="12">
        <v>4207</v>
      </c>
      <c r="B4268" s="138">
        <f>('FP Info 3'!J10)*100000</f>
        <v>3957.9999999999995</v>
      </c>
      <c r="C4268" s="2" t="s">
        <v>573</v>
      </c>
      <c r="D4268" s="2" t="str">
        <f t="shared" si="65"/>
        <v>Error?</v>
      </c>
    </row>
    <row r="4269" spans="1:5" x14ac:dyDescent="0.2">
      <c r="A4269" s="12">
        <v>4208</v>
      </c>
      <c r="B4269" s="138">
        <f>'FP Info 3'!J16</f>
        <v>939369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4848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11321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38.39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1463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36940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55500584</v>
      </c>
      <c r="D4995" s="2" t="str">
        <f t="shared" si="77"/>
        <v>Error?</v>
      </c>
    </row>
    <row r="4996" spans="1:4" x14ac:dyDescent="0.2">
      <c r="A4996" s="12">
        <v>4935</v>
      </c>
      <c r="B4996" s="138">
        <f>'FP Info 3'!H31</f>
        <v>7659080.5920000002</v>
      </c>
      <c r="D4996" s="2" t="str">
        <f t="shared" si="77"/>
        <v>Error?</v>
      </c>
    </row>
    <row r="4997" spans="1:4" x14ac:dyDescent="0.2">
      <c r="A4997" s="12">
        <v>4936</v>
      </c>
      <c r="B4997" s="138">
        <f>'FP Info 3'!H37</f>
        <v>295345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28967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1610103</v>
      </c>
      <c r="D5061" s="2" t="str">
        <f t="shared" si="78"/>
        <v>Error?</v>
      </c>
    </row>
    <row r="5062" spans="1:4" x14ac:dyDescent="0.2">
      <c r="A5062" s="10">
        <v>5001</v>
      </c>
      <c r="D5062" s="2" t="str">
        <f t="shared" si="78"/>
        <v>OK</v>
      </c>
    </row>
    <row r="5063" spans="1:4" x14ac:dyDescent="0.2">
      <c r="A5063" s="5">
        <v>5002</v>
      </c>
      <c r="B5063" s="138">
        <f>'Revenues 9-14'!C7</f>
        <v>23160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1662230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49520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49520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3404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3404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3965</v>
      </c>
      <c r="D5093" s="2" t="str">
        <f t="shared" si="78"/>
        <v>Error?</v>
      </c>
    </row>
    <row r="5094" spans="1:4" x14ac:dyDescent="0.2">
      <c r="A5094" s="5">
        <v>5033</v>
      </c>
      <c r="B5094" s="138">
        <f>'Revenues 9-14'!C73</f>
        <v>3303</v>
      </c>
      <c r="D5094" s="2" t="str">
        <f t="shared" si="78"/>
        <v>Error?</v>
      </c>
    </row>
    <row r="5095" spans="1:4" x14ac:dyDescent="0.2">
      <c r="A5095" s="5">
        <v>5034</v>
      </c>
      <c r="B5095" s="138">
        <f>'Revenues 9-14'!C74</f>
        <v>1143</v>
      </c>
      <c r="D5095" s="2" t="str">
        <f t="shared" si="78"/>
        <v>Error?</v>
      </c>
    </row>
    <row r="5096" spans="1:4" x14ac:dyDescent="0.2">
      <c r="A5096" s="5">
        <v>5035</v>
      </c>
      <c r="B5096" s="138">
        <f>'Revenues 9-14'!C75</f>
        <v>121747</v>
      </c>
      <c r="C5096" s="2" t="s">
        <v>573</v>
      </c>
      <c r="D5096" s="2" t="str">
        <f t="shared" si="78"/>
        <v>Error?</v>
      </c>
    </row>
    <row r="5097" spans="1:4" x14ac:dyDescent="0.2">
      <c r="A5097" s="5">
        <v>5036</v>
      </c>
      <c r="B5097" s="138">
        <f>'Revenues 9-14'!C77</f>
        <v>20265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27439</v>
      </c>
      <c r="D5099" s="2" t="str">
        <f t="shared" si="78"/>
        <v>Error?</v>
      </c>
    </row>
    <row r="5100" spans="1:4" x14ac:dyDescent="0.2">
      <c r="A5100" s="5">
        <v>5039</v>
      </c>
      <c r="B5100" s="138">
        <f>'Revenues 9-14'!C80</f>
        <v>1848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49552</v>
      </c>
      <c r="C5102" s="2" t="s">
        <v>573</v>
      </c>
      <c r="D5102" s="2" t="str">
        <f t="shared" si="78"/>
        <v>Error?</v>
      </c>
    </row>
    <row r="5103" spans="1:4" x14ac:dyDescent="0.2">
      <c r="A5103" s="5">
        <v>5042</v>
      </c>
      <c r="B5103" s="138">
        <f>'Revenues 9-14'!C84</f>
        <v>17289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195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17484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9643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10471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134065</v>
      </c>
      <c r="D5118" s="2" t="str">
        <f t="shared" si="78"/>
        <v>Error?</v>
      </c>
    </row>
    <row r="5119" spans="1:4" x14ac:dyDescent="0.2">
      <c r="A5119" s="5">
        <v>5058</v>
      </c>
      <c r="B5119" s="138">
        <f>'Revenues 9-14'!C107</f>
        <v>24598</v>
      </c>
      <c r="D5119" s="2" t="str">
        <f t="shared" ref="D5119:D5182" si="79">IF(ISBLANK(B5119),"OK",IF(A5119-B5119=0,"OK","Error?"))</f>
        <v>Error?</v>
      </c>
    </row>
    <row r="5120" spans="1:4" x14ac:dyDescent="0.2">
      <c r="A5120" s="5">
        <v>5059</v>
      </c>
      <c r="B5120" s="138">
        <f>'Revenues 9-14'!C108</f>
        <v>292285</v>
      </c>
      <c r="C5120" s="2" t="s">
        <v>573</v>
      </c>
      <c r="D5120" s="2" t="str">
        <f t="shared" si="79"/>
        <v>Error?</v>
      </c>
    </row>
    <row r="5121" spans="1:4" x14ac:dyDescent="0.2">
      <c r="A5121" s="5">
        <v>5060</v>
      </c>
      <c r="B5121" s="138">
        <f>'Revenues 9-14'!C109</f>
        <v>2196222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1674653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1674653</v>
      </c>
      <c r="C5132" s="2" t="s">
        <v>573</v>
      </c>
      <c r="D5132" s="2" t="str">
        <f t="shared" si="79"/>
        <v>Error?</v>
      </c>
    </row>
    <row r="5133" spans="1:4" x14ac:dyDescent="0.2">
      <c r="A5133" s="5">
        <v>5072</v>
      </c>
      <c r="B5133" s="138">
        <f>'Revenues 9-14'!C125</f>
        <v>15472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15472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902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10435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1082</v>
      </c>
      <c r="D5167" s="2" t="str">
        <f t="shared" si="79"/>
        <v>Error?</v>
      </c>
    </row>
    <row r="5168" spans="1:4" x14ac:dyDescent="0.2">
      <c r="A5168" s="5">
        <v>5107</v>
      </c>
      <c r="B5168" s="138">
        <f>'Revenues 9-14'!C148</f>
        <v>6588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23820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58860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1733513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36940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63791</v>
      </c>
      <c r="D5239" s="2" t="str">
        <f t="shared" si="80"/>
        <v>Error?</v>
      </c>
    </row>
    <row r="5240" spans="1:4" x14ac:dyDescent="0.2">
      <c r="A5240" s="5">
        <v>5179</v>
      </c>
      <c r="B5240" s="138">
        <f>'Revenues 9-14'!C192</f>
        <v>407</v>
      </c>
      <c r="D5240" s="2" t="str">
        <f t="shared" si="80"/>
        <v>Error?</v>
      </c>
    </row>
    <row r="5241" spans="1:4" x14ac:dyDescent="0.2">
      <c r="A5241" s="5">
        <v>5180</v>
      </c>
      <c r="B5241" s="138">
        <f>'Revenues 9-14'!C193</f>
        <v>7702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71900</v>
      </c>
      <c r="C5246" s="2" t="s">
        <v>573</v>
      </c>
      <c r="D5246" s="2" t="str">
        <f t="shared" si="80"/>
        <v>Error?</v>
      </c>
    </row>
    <row r="5247" spans="1:4" x14ac:dyDescent="0.2">
      <c r="A5247" s="5">
        <v>5186</v>
      </c>
      <c r="B5247" s="138">
        <f>'Revenues 9-14'!C200</f>
        <v>77058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77058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9039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88965</v>
      </c>
      <c r="D5278" s="2" t="str">
        <f t="shared" si="81"/>
        <v>Error?</v>
      </c>
    </row>
    <row r="5279" spans="1:4" x14ac:dyDescent="0.2">
      <c r="A5279" s="5">
        <v>5218</v>
      </c>
      <c r="B5279" s="138">
        <f>'Revenues 9-14'!C214</f>
        <v>97709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195713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360840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397780</v>
      </c>
      <c r="C5326" s="2" t="s">
        <v>573</v>
      </c>
      <c r="D5326" s="2" t="str">
        <f t="shared" si="82"/>
        <v>Error?</v>
      </c>
    </row>
    <row r="5327" spans="1:5" x14ac:dyDescent="0.2">
      <c r="A5327" s="5">
        <v>5266</v>
      </c>
      <c r="B5327" s="138">
        <f>'Revenues 9-14'!C268</f>
        <v>4327515</v>
      </c>
      <c r="C5327" s="2" t="s">
        <v>573</v>
      </c>
      <c r="D5327" s="2" t="str">
        <f t="shared" si="82"/>
        <v>Error?</v>
      </c>
    </row>
    <row r="5328" spans="1:5" x14ac:dyDescent="0.2">
      <c r="A5328" s="5">
        <v>5267</v>
      </c>
      <c r="B5328" s="138">
        <f>'Revenues 9-14'!D5</f>
        <v>188521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188521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7517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7517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4180</v>
      </c>
      <c r="C5355" s="2" t="s">
        <v>573</v>
      </c>
      <c r="D5355" s="2" t="str">
        <f t="shared" si="82"/>
        <v>Error?</v>
      </c>
    </row>
    <row r="5356" spans="1:4" x14ac:dyDescent="0.2">
      <c r="A5356" s="5">
        <v>5295</v>
      </c>
      <c r="B5356" s="138">
        <f>'Revenues 9-14'!D109</f>
        <v>200218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200218</v>
      </c>
      <c r="C5508" s="2" t="s">
        <v>573</v>
      </c>
      <c r="D5508" s="2" t="str">
        <f t="shared" si="85"/>
        <v>Error?</v>
      </c>
    </row>
    <row r="5509" spans="1:4" x14ac:dyDescent="0.2">
      <c r="A5509" s="5">
        <v>5448</v>
      </c>
      <c r="B5509" s="138">
        <f>'Revenues 9-14'!E5</f>
        <v>623426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623426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4529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4529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627955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627955</v>
      </c>
      <c r="C5552" s="2" t="s">
        <v>573</v>
      </c>
      <c r="D5552" s="2" t="str">
        <f t="shared" si="85"/>
        <v>Error?</v>
      </c>
    </row>
    <row r="5553" spans="1:4" x14ac:dyDescent="0.2">
      <c r="A5553" s="5">
        <v>5492</v>
      </c>
      <c r="B5553" s="138">
        <f>'Revenues 9-14'!F5</f>
        <v>115631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115631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2143</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2143</v>
      </c>
      <c r="C5579" s="2" t="s">
        <v>573</v>
      </c>
      <c r="D5579" s="2" t="str">
        <f t="shared" si="86"/>
        <v>Error?</v>
      </c>
    </row>
    <row r="5580" spans="1:4" x14ac:dyDescent="0.2">
      <c r="A5580" s="5">
        <v>5519</v>
      </c>
      <c r="B5580" s="138">
        <f>'Revenues 9-14'!F65</f>
        <v>3794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3794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1378</v>
      </c>
      <c r="D5586" s="2" t="str">
        <f t="shared" si="86"/>
        <v>Error?</v>
      </c>
    </row>
    <row r="5587" spans="1:4" x14ac:dyDescent="0.2">
      <c r="A5587" s="5">
        <v>5526</v>
      </c>
      <c r="B5587" s="138">
        <f>'Revenues 9-14'!F108</f>
        <v>1378</v>
      </c>
      <c r="C5587" s="2" t="s">
        <v>573</v>
      </c>
      <c r="D5587" s="2" t="str">
        <f t="shared" si="86"/>
        <v>Error?</v>
      </c>
    </row>
    <row r="5588" spans="1:4" x14ac:dyDescent="0.2">
      <c r="A5588" s="5">
        <v>5527</v>
      </c>
      <c r="B5588" s="138">
        <f>'Revenues 9-14'!F109</f>
        <v>122946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79182</v>
      </c>
      <c r="D5615" s="2" t="str">
        <f t="shared" si="86"/>
        <v>Error?</v>
      </c>
    </row>
    <row r="5616" spans="1:4" x14ac:dyDescent="0.2">
      <c r="A5616" s="10">
        <v>5555</v>
      </c>
      <c r="D5616" s="2" t="str">
        <f t="shared" si="86"/>
        <v>OK</v>
      </c>
    </row>
    <row r="5617" spans="1:5" x14ac:dyDescent="0.2">
      <c r="A5617" s="5">
        <v>5556</v>
      </c>
      <c r="B5617" s="138">
        <f>'Revenues 9-14'!F153</f>
        <v>46651</v>
      </c>
      <c r="D5617" s="2" t="str">
        <f t="shared" si="86"/>
        <v>Error?</v>
      </c>
    </row>
    <row r="5618" spans="1:5" x14ac:dyDescent="0.2">
      <c r="A5618" s="5">
        <v>5557</v>
      </c>
      <c r="B5618" s="138">
        <f>'Revenues 9-14'!F155</f>
        <v>125833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125833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125833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248779</v>
      </c>
      <c r="C5720" s="2" t="s">
        <v>573</v>
      </c>
      <c r="D5720" s="2" t="str">
        <f t="shared" si="88"/>
        <v>Error?</v>
      </c>
    </row>
    <row r="5721" spans="1:4" x14ac:dyDescent="0.2">
      <c r="A5721" s="5">
        <v>5660</v>
      </c>
      <c r="B5721" s="138">
        <f>'Revenues 9-14'!G5</f>
        <v>83684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109915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193599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5898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5898</v>
      </c>
      <c r="C5730" s="2" t="s">
        <v>573</v>
      </c>
      <c r="D5730" s="2" t="str">
        <f t="shared" si="88"/>
        <v>Error?</v>
      </c>
    </row>
    <row r="5731" spans="1:4" x14ac:dyDescent="0.2">
      <c r="A5731" s="5">
        <v>5670</v>
      </c>
      <c r="B5731" s="138">
        <f>'Revenues 9-14'!G65</f>
        <v>1507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1507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201004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18717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18717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5893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5893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24610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27696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27696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2913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2913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30609</v>
      </c>
      <c r="C6023" s="2" t="s">
        <v>573</v>
      </c>
      <c r="D6023" s="2" t="str">
        <f t="shared" si="93"/>
        <v>Error?</v>
      </c>
    </row>
    <row r="6024" spans="1:5" x14ac:dyDescent="0.2">
      <c r="A6024" s="5">
        <v>5963</v>
      </c>
      <c r="B6024" s="138">
        <f>'Revenues 9-14'!G109</f>
        <v>201004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24610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30609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113336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16447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413.6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11791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11791</v>
      </c>
      <c r="D6215" s="2" t="str">
        <f t="shared" si="96"/>
        <v>Error?</v>
      </c>
      <c r="E6215" s="2" t="s">
        <v>190</v>
      </c>
    </row>
    <row r="6216" spans="1:5" x14ac:dyDescent="0.2">
      <c r="A6216">
        <v>6155</v>
      </c>
      <c r="B6216" s="138">
        <f>'Assets-Liab 5-6'!J41</f>
        <v>11791</v>
      </c>
      <c r="D6216" s="2" t="str">
        <f t="shared" si="96"/>
        <v>Error?</v>
      </c>
      <c r="E6216" s="2" t="s">
        <v>190</v>
      </c>
    </row>
    <row r="6217" spans="1:5" x14ac:dyDescent="0.2">
      <c r="A6217">
        <v>6156</v>
      </c>
      <c r="B6217" s="138">
        <f>'Assets-Liab 5-6'!J4</f>
        <v>11791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121139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121139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121139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199762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199762</v>
      </c>
      <c r="D6229" s="2" t="str">
        <f t="shared" si="96"/>
        <v>Error?</v>
      </c>
      <c r="E6229" s="2" t="s">
        <v>190</v>
      </c>
    </row>
    <row r="6230" spans="1:5" x14ac:dyDescent="0.2">
      <c r="A6230">
        <v>6169</v>
      </c>
      <c r="B6230" s="138">
        <f>'Acct Summary 7-8'!J20</f>
        <v>-78623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80000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36300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1809</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80000</v>
      </c>
      <c r="D6262" s="2" t="str">
        <f t="shared" si="96"/>
        <v>Error?</v>
      </c>
      <c r="E6262" s="2" t="s">
        <v>190</v>
      </c>
    </row>
    <row r="6263" spans="1:5" x14ac:dyDescent="0.2">
      <c r="A6263">
        <v>6202</v>
      </c>
      <c r="B6263" s="138">
        <f>'Acct Summary 7-8'!J78</f>
        <v>1377</v>
      </c>
      <c r="D6263" s="2" t="str">
        <f t="shared" si="96"/>
        <v>Error?</v>
      </c>
      <c r="E6263" s="2" t="s">
        <v>190</v>
      </c>
    </row>
    <row r="6264" spans="1:5" x14ac:dyDescent="0.2">
      <c r="A6264">
        <v>6203</v>
      </c>
      <c r="B6264" s="138">
        <f>'Acct Summary 7-8'!J79</f>
        <v>10414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11791</v>
      </c>
      <c r="D6266" s="2" t="str">
        <f t="shared" si="96"/>
        <v>Error?</v>
      </c>
      <c r="E6266" s="2" t="s">
        <v>190</v>
      </c>
    </row>
    <row r="6267" spans="1:5" x14ac:dyDescent="0.2">
      <c r="A6267">
        <v>6206</v>
      </c>
      <c r="B6267" s="138">
        <f>'Acct Summary 7-8'!C82</f>
        <v>-89770</v>
      </c>
      <c r="D6267" s="2" t="str">
        <f t="shared" si="96"/>
        <v>Error?</v>
      </c>
      <c r="E6267" s="2" t="s">
        <v>190</v>
      </c>
    </row>
    <row r="6268" spans="1:5" x14ac:dyDescent="0.2">
      <c r="A6268">
        <v>6207</v>
      </c>
      <c r="B6268" s="138">
        <f>'Acct Summary 7-8'!D82</f>
        <v>-120510</v>
      </c>
      <c r="D6268" s="2" t="str">
        <f t="shared" si="96"/>
        <v>Error?</v>
      </c>
      <c r="E6268" s="2" t="s">
        <v>190</v>
      </c>
    </row>
    <row r="6269" spans="1:5" x14ac:dyDescent="0.2">
      <c r="A6269">
        <v>6208</v>
      </c>
      <c r="B6269" s="138">
        <f>'Acct Summary 7-8'!E82</f>
        <v>3426</v>
      </c>
      <c r="D6269" s="2" t="str">
        <f t="shared" si="96"/>
        <v>Error?</v>
      </c>
      <c r="E6269" s="2" t="s">
        <v>190</v>
      </c>
    </row>
    <row r="6270" spans="1:5" x14ac:dyDescent="0.2">
      <c r="A6270">
        <v>6209</v>
      </c>
      <c r="B6270" s="138">
        <f>'Acct Summary 7-8'!F82</f>
        <v>-6606</v>
      </c>
      <c r="D6270" s="2" t="str">
        <f t="shared" si="96"/>
        <v>Error?</v>
      </c>
      <c r="E6270" s="2" t="s">
        <v>190</v>
      </c>
    </row>
    <row r="6271" spans="1:5" x14ac:dyDescent="0.2">
      <c r="A6271">
        <v>6210</v>
      </c>
      <c r="B6271" s="138">
        <f>'Acct Summary 7-8'!G82</f>
        <v>29304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-61283</v>
      </c>
      <c r="D6273" s="2" t="str">
        <f t="shared" si="97"/>
        <v>Error?</v>
      </c>
      <c r="E6273" s="2" t="s">
        <v>190</v>
      </c>
    </row>
    <row r="6274" spans="1:5" x14ac:dyDescent="0.2">
      <c r="A6274">
        <v>6213</v>
      </c>
      <c r="B6274" s="138">
        <f>'Acct Summary 7-8'!J82</f>
        <v>1377</v>
      </c>
      <c r="D6274" s="2" t="str">
        <f t="shared" si="97"/>
        <v>Error?</v>
      </c>
      <c r="E6274" s="2" t="s">
        <v>190</v>
      </c>
    </row>
    <row r="6275" spans="1:5" x14ac:dyDescent="0.2">
      <c r="A6275">
        <v>6214</v>
      </c>
      <c r="B6275" s="138">
        <f>'Acct Summary 7-8'!K82</f>
        <v>11233</v>
      </c>
      <c r="D6275" s="2" t="str">
        <f t="shared" si="97"/>
        <v>Error?</v>
      </c>
      <c r="E6275" s="2" t="s">
        <v>190</v>
      </c>
    </row>
    <row r="6276" spans="1:5" x14ac:dyDescent="0.2">
      <c r="A6276">
        <v>6215</v>
      </c>
      <c r="B6276" s="138">
        <f>'Acct Summary 7-8'!C83</f>
        <v>-2.7226131262889726</v>
      </c>
      <c r="D6276" s="2" t="str">
        <f t="shared" si="97"/>
        <v>Error?</v>
      </c>
      <c r="E6276" s="2" t="s">
        <v>190</v>
      </c>
    </row>
    <row r="6277" spans="1:5" x14ac:dyDescent="0.2">
      <c r="A6277">
        <v>6216</v>
      </c>
      <c r="B6277" s="138">
        <f>'Acct Summary 7-8'!D83</f>
        <v>-0.26433660308491408</v>
      </c>
      <c r="D6277" s="2" t="str">
        <f t="shared" si="97"/>
        <v>Error?</v>
      </c>
      <c r="E6277" s="2" t="s">
        <v>190</v>
      </c>
    </row>
    <row r="6278" spans="1:5" x14ac:dyDescent="0.2">
      <c r="A6278">
        <v>6217</v>
      </c>
      <c r="B6278" s="138">
        <f>'Acct Summary 7-8'!E83</f>
        <v>5.1415965062356489E-2</v>
      </c>
      <c r="D6278" s="2" t="str">
        <f t="shared" si="97"/>
        <v>Error?</v>
      </c>
      <c r="E6278" s="2" t="s">
        <v>190</v>
      </c>
    </row>
    <row r="6279" spans="1:5" x14ac:dyDescent="0.2">
      <c r="A6279">
        <v>6218</v>
      </c>
      <c r="B6279" s="138">
        <f>'Acct Summary 7-8'!F83</f>
        <v>-2.3800688151897821E-2</v>
      </c>
      <c r="D6279" s="2" t="str">
        <f t="shared" si="97"/>
        <v>Error?</v>
      </c>
      <c r="E6279" s="2" t="s">
        <v>190</v>
      </c>
    </row>
    <row r="6280" spans="1:5" x14ac:dyDescent="0.2">
      <c r="A6280">
        <v>6219</v>
      </c>
      <c r="B6280" s="138">
        <f>'Acct Summary 7-8'!G83</f>
        <v>0.41656360612392851</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-0.35434759982884834</v>
      </c>
      <c r="D6282" s="2" t="str">
        <f t="shared" si="97"/>
        <v>Error?</v>
      </c>
      <c r="E6282" s="2" t="s">
        <v>190</v>
      </c>
    </row>
    <row r="6283" spans="1:5" x14ac:dyDescent="0.2">
      <c r="A6283">
        <v>6222</v>
      </c>
      <c r="B6283" s="138">
        <f>'Acct Summary 7-8'!J83</f>
        <v>0.1167839877872954</v>
      </c>
      <c r="D6283" s="2" t="str">
        <f t="shared" si="97"/>
        <v>Error?</v>
      </c>
      <c r="E6283" s="2" t="s">
        <v>190</v>
      </c>
    </row>
    <row r="6284" spans="1:5" x14ac:dyDescent="0.2">
      <c r="A6284">
        <v>6223</v>
      </c>
      <c r="B6284" s="138">
        <f>'Acct Summary 7-8'!K83</f>
        <v>3.9618103071258272E-2</v>
      </c>
      <c r="D6284" s="2" t="str">
        <f t="shared" si="97"/>
        <v>Error?</v>
      </c>
      <c r="E6284" s="2" t="s">
        <v>190</v>
      </c>
    </row>
    <row r="6285" spans="1:5" x14ac:dyDescent="0.2">
      <c r="A6285">
        <v>6224</v>
      </c>
      <c r="B6285" s="138">
        <f>'Acct Summary 7-8'!E37</f>
        <v>36300</v>
      </c>
      <c r="D6285" s="2" t="str">
        <f t="shared" si="97"/>
        <v>Error?</v>
      </c>
      <c r="E6285" s="2" t="s">
        <v>190</v>
      </c>
    </row>
    <row r="6286" spans="1:5" x14ac:dyDescent="0.2">
      <c r="A6286">
        <v>6225</v>
      </c>
      <c r="B6286" s="138">
        <f>'Acct Summary 7-8'!E38</f>
        <v>1809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119606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119606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108218</v>
      </c>
      <c r="D6330" s="2" t="str">
        <f t="shared" si="97"/>
        <v>Error?</v>
      </c>
      <c r="E6330" s="2" t="s">
        <v>190</v>
      </c>
    </row>
    <row r="6331" spans="1:5" x14ac:dyDescent="0.2">
      <c r="A6331">
        <v>6270</v>
      </c>
      <c r="B6331" s="138">
        <f>'Revenues 9-14'!D100</f>
        <v>4180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5290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121139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9533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30462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37504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25562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44147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2000</v>
      </c>
      <c r="D6900" s="2" t="str">
        <f t="shared" si="106"/>
        <v>Error?</v>
      </c>
    </row>
    <row r="6901" spans="1:4" x14ac:dyDescent="0.2">
      <c r="A6901">
        <v>6840</v>
      </c>
      <c r="B6901" s="138">
        <f>'Expenditures 15-22'!K32</f>
        <v>2000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63815</v>
      </c>
      <c r="D6983" s="2" t="str">
        <f t="shared" si="108"/>
        <v>Error?</v>
      </c>
    </row>
    <row r="6984" spans="1:4" x14ac:dyDescent="0.2">
      <c r="A6984">
        <v>6923</v>
      </c>
      <c r="B6984" s="138">
        <f>'Expenditures 15-22'!K86</f>
        <v>63815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63815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63747</v>
      </c>
      <c r="D7014" s="2" t="str">
        <f t="shared" si="108"/>
        <v>Error?</v>
      </c>
    </row>
    <row r="7015" spans="1:4" x14ac:dyDescent="0.2">
      <c r="A7015">
        <v>6954</v>
      </c>
      <c r="B7015" s="138">
        <f>'Expenditures 15-22'!K101</f>
        <v>211079</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199762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121139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2221</v>
      </c>
      <c r="D7073" s="2" t="str">
        <f t="shared" si="109"/>
        <v>Error?</v>
      </c>
    </row>
    <row r="7074" spans="1:4" x14ac:dyDescent="0.2">
      <c r="A7074">
        <v>7013</v>
      </c>
      <c r="B7074" s="138">
        <f>'Expenditures 15-22'!K216</f>
        <v>2221</v>
      </c>
      <c r="D7074" s="2" t="str">
        <f t="shared" si="109"/>
        <v>Error?</v>
      </c>
    </row>
    <row r="7075" spans="1:4" x14ac:dyDescent="0.2">
      <c r="A7075">
        <v>7014</v>
      </c>
      <c r="B7075" s="138">
        <f>'Expenditures 15-22'!D218</f>
        <v>268</v>
      </c>
      <c r="D7075" s="2" t="str">
        <f t="shared" si="109"/>
        <v>Error?</v>
      </c>
    </row>
    <row r="7076" spans="1:4" x14ac:dyDescent="0.2">
      <c r="A7076">
        <v>7015</v>
      </c>
      <c r="B7076" s="138">
        <f>'Expenditures 15-22'!K218</f>
        <v>268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458</v>
      </c>
      <c r="D7079" s="2" t="str">
        <f t="shared" si="109"/>
        <v>Error?</v>
      </c>
    </row>
    <row r="7080" spans="1:4" x14ac:dyDescent="0.2">
      <c r="A7080">
        <v>7019</v>
      </c>
      <c r="B7080" s="138">
        <f>'Expenditures 15-22'!K226</f>
        <v>458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21206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21206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30913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30913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84000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84000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63643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63643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199762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199762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199762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199762</v>
      </c>
      <c r="D7224" s="2" t="str">
        <f t="shared" si="111"/>
        <v>Error?</v>
      </c>
    </row>
    <row r="7225" spans="1:4" x14ac:dyDescent="0.2">
      <c r="A7225">
        <v>7164</v>
      </c>
      <c r="B7225" s="138">
        <f>'Expenditures 15-22'!K343</f>
        <v>-78623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6666</v>
      </c>
      <c r="D7246" s="2" t="str">
        <f t="shared" si="112"/>
        <v>Error?</v>
      </c>
    </row>
    <row r="7247" spans="1:4" x14ac:dyDescent="0.2">
      <c r="A7247">
        <f t="shared" si="113"/>
        <v>7186</v>
      </c>
      <c r="B7247" s="138">
        <f>'Expenditures 15-22'!E7</f>
        <v>66</v>
      </c>
      <c r="D7247" s="2" t="str">
        <f t="shared" si="112"/>
        <v>Error?</v>
      </c>
    </row>
    <row r="7248" spans="1:4" x14ac:dyDescent="0.2">
      <c r="A7248">
        <f t="shared" si="113"/>
        <v>7187</v>
      </c>
      <c r="B7248" s="138">
        <f>'Expenditures 15-22'!F7</f>
        <v>310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18903</v>
      </c>
      <c r="D7251" s="2" t="str">
        <f t="shared" si="112"/>
        <v>Error?</v>
      </c>
    </row>
    <row r="7252" spans="1:4" x14ac:dyDescent="0.2">
      <c r="A7252">
        <f t="shared" si="113"/>
        <v>7191</v>
      </c>
      <c r="B7252" s="138">
        <f>'Expenditures 15-22'!D9</f>
        <v>6659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31587</v>
      </c>
      <c r="D7263" s="2" t="str">
        <f t="shared" si="112"/>
        <v>Error?</v>
      </c>
    </row>
    <row r="7264" spans="1:4" x14ac:dyDescent="0.2">
      <c r="A7264">
        <f t="shared" si="113"/>
        <v>7203</v>
      </c>
      <c r="B7264" s="138">
        <f>'Expenditures 15-22'!D17</f>
        <v>8768</v>
      </c>
      <c r="D7264" s="2" t="str">
        <f t="shared" si="112"/>
        <v>Error?</v>
      </c>
    </row>
    <row r="7265" spans="1:5" x14ac:dyDescent="0.2">
      <c r="A7265">
        <f t="shared" si="113"/>
        <v>7204</v>
      </c>
      <c r="B7265" s="138">
        <f>'Expenditures 15-22'!E17</f>
        <v>3792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325722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3506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5290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6588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11878</v>
      </c>
      <c r="D7719" s="2" t="str">
        <f t="shared" si="126"/>
        <v>Error?</v>
      </c>
      <c r="E7719" s="2" t="s">
        <v>827</v>
      </c>
    </row>
    <row r="7720" spans="1:6" x14ac:dyDescent="0.2">
      <c r="A7720">
        <v>7659</v>
      </c>
      <c r="B7720" s="138">
        <f>'Rest Tax Levies-Tort Im 25'!H14</f>
        <v>23160</v>
      </c>
      <c r="D7720" s="2" t="str">
        <f t="shared" si="126"/>
        <v>Error?</v>
      </c>
      <c r="E7720" s="2" t="s">
        <v>827</v>
      </c>
    </row>
    <row r="7721" spans="1:6" x14ac:dyDescent="0.2">
      <c r="A7721">
        <v>7660</v>
      </c>
      <c r="B7721" s="138">
        <f>'Rest Tax Levies-Tort Im 25'!K14</f>
        <v>11878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3506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3506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80000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148452</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98452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1989</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9" t="str">
        <f>COVER!A17</f>
        <v>Pearl City CUSD 200</v>
      </c>
      <c r="B7" s="2390"/>
      <c r="C7" s="2390"/>
      <c r="D7" s="2427"/>
      <c r="E7" s="2428">
        <f>COVER!A13</f>
        <v>8089200026</v>
      </c>
      <c r="F7" s="2429"/>
      <c r="G7" s="2396" t="str">
        <f>COVER!T23</f>
        <v>066-004238</v>
      </c>
      <c r="H7" s="2397"/>
      <c r="I7" s="2397"/>
      <c r="J7" s="2397"/>
      <c r="K7" s="2397"/>
      <c r="L7" s="239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9"/>
      <c r="B9" s="2400"/>
      <c r="C9" s="2400"/>
      <c r="D9" s="2400"/>
      <c r="E9" s="2400"/>
      <c r="F9" s="2401"/>
      <c r="G9" s="2402" t="str">
        <f>COVER!T13</f>
        <v>BENNING GROUP, LLC</v>
      </c>
      <c r="H9" s="2403"/>
      <c r="I9" s="2403"/>
      <c r="J9" s="2403"/>
      <c r="K9" s="2403"/>
      <c r="L9" s="2404"/>
    </row>
    <row r="10" spans="1:29" ht="13.5" customHeight="1" x14ac:dyDescent="0.2">
      <c r="A10" s="2386" t="str">
        <f>COVER!A38</f>
        <v>MICHAEL SCHIFFMAN</v>
      </c>
      <c r="B10" s="2387"/>
      <c r="C10" s="2387"/>
      <c r="D10" s="2387"/>
      <c r="E10" s="2387"/>
      <c r="F10" s="2388"/>
      <c r="G10" s="2402" t="str">
        <f>COVER!T17</f>
        <v>50 W. DOUGLAS STREET, SUITE 801</v>
      </c>
      <c r="H10" s="2415"/>
      <c r="I10" s="2415"/>
      <c r="J10" s="2415"/>
      <c r="K10" s="2415"/>
      <c r="L10" s="2416"/>
    </row>
    <row r="11" spans="1:29" ht="13.5" customHeight="1" x14ac:dyDescent="0.2">
      <c r="A11" s="1184" t="s">
        <v>1519</v>
      </c>
      <c r="B11" s="1185"/>
      <c r="C11" s="1186"/>
      <c r="D11" s="1191"/>
      <c r="E11" s="1186"/>
      <c r="F11" s="1190"/>
      <c r="G11" s="2402" t="str">
        <f>COVER!T19</f>
        <v>FREEPORT</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jblocker@benninggroup.com</v>
      </c>
      <c r="J13" s="2424"/>
      <c r="K13" s="2424"/>
      <c r="L13" s="2425"/>
    </row>
    <row r="14" spans="1:29" ht="13.5" customHeight="1" x14ac:dyDescent="0.2">
      <c r="A14" s="2402" t="str">
        <f>COVER!A19</f>
        <v>100 S. SUMMIT</v>
      </c>
      <c r="B14" s="2415"/>
      <c r="C14" s="2415"/>
      <c r="D14" s="2415"/>
      <c r="E14" s="2415"/>
      <c r="F14" s="2416"/>
      <c r="G14" s="1195" t="s">
        <v>1185</v>
      </c>
      <c r="H14" s="1193"/>
      <c r="I14" s="1193"/>
      <c r="J14" s="1193"/>
      <c r="K14" s="1193"/>
      <c r="L14" s="1194"/>
    </row>
    <row r="15" spans="1:29" ht="13.5" customHeight="1" x14ac:dyDescent="0.2">
      <c r="A15" s="2402" t="str">
        <f>COVER!A21</f>
        <v xml:space="preserve">PEARL CITY  </v>
      </c>
      <c r="B15" s="2415"/>
      <c r="C15" s="2415"/>
      <c r="D15" s="2415"/>
      <c r="E15" s="2415"/>
      <c r="F15" s="2416"/>
      <c r="G15" s="2412" t="str">
        <f>COVER!T15</f>
        <v>JENNY L. BLOCKER</v>
      </c>
      <c r="H15" s="2413"/>
      <c r="I15" s="2413"/>
      <c r="J15" s="2413"/>
      <c r="K15" s="2413"/>
      <c r="L15" s="2414"/>
    </row>
    <row r="16" spans="1:29" ht="12.2" customHeight="1" x14ac:dyDescent="0.2">
      <c r="A16" s="2392">
        <f>COVER!A25</f>
        <v>61062</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1184</v>
      </c>
      <c r="H17" s="1193"/>
      <c r="I17" s="1193"/>
      <c r="J17" s="1193"/>
      <c r="K17" s="1197" t="s">
        <v>1183</v>
      </c>
      <c r="L17" s="1190"/>
      <c r="M17" s="1183"/>
    </row>
    <row r="18" spans="1:13" ht="12.2" customHeight="1" x14ac:dyDescent="0.2">
      <c r="A18" s="2386"/>
      <c r="B18" s="2387"/>
      <c r="C18" s="2387"/>
      <c r="D18" s="2387"/>
      <c r="E18" s="2387"/>
      <c r="F18" s="2388"/>
      <c r="G18" s="2389" t="str">
        <f>COVER!T21</f>
        <v>815/235-3157</v>
      </c>
      <c r="H18" s="2390"/>
      <c r="I18" s="2390"/>
      <c r="J18" s="2390"/>
      <c r="K18" s="2389" t="str">
        <f>COVER!X21</f>
        <v>815/235-3158</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Pearl City CUSD 200</v>
      </c>
      <c r="B1" s="2426"/>
      <c r="C1" s="2426"/>
      <c r="D1" s="2426"/>
    </row>
    <row r="2" spans="1:11" s="1212" customFormat="1" ht="12.75" x14ac:dyDescent="0.2">
      <c r="A2" s="2431">
        <f>'Single Audit Cover'!E7</f>
        <v>8089200026</v>
      </c>
      <c r="B2" s="2432"/>
      <c r="C2" s="2432"/>
      <c r="D2" s="2432"/>
    </row>
    <row r="3" spans="1:11" s="1212" customFormat="1" ht="12.75" x14ac:dyDescent="0.2">
      <c r="A3" s="2430" t="s">
        <v>1513</v>
      </c>
      <c r="B3" s="2426"/>
      <c r="C3" s="2426"/>
      <c r="D3" s="242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Pearl City CUSD 200</v>
      </c>
      <c r="B1" s="2434"/>
      <c r="C1" s="2434"/>
      <c r="D1" s="2434"/>
      <c r="E1" s="2434"/>
    </row>
    <row r="2" spans="1:5" x14ac:dyDescent="0.2">
      <c r="A2" s="2435">
        <f>'Single Audit Cover'!E7</f>
        <v>8089200026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397780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16447</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-11321</v>
      </c>
    </row>
    <row r="19" spans="1:4" ht="13.5" thickBot="1" x14ac:dyDescent="0.25">
      <c r="A19" s="1262" t="s">
        <v>1235</v>
      </c>
      <c r="D19" s="1263">
        <f>SUM(D10:D17)</f>
        <v>402906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402906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402906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Pearl City CUSD 200</v>
      </c>
      <c r="C1" s="2438"/>
      <c r="D1" s="2438"/>
      <c r="E1" s="2438"/>
      <c r="F1" s="2438"/>
      <c r="G1" s="2438"/>
      <c r="H1" s="2438"/>
      <c r="I1" s="2438"/>
      <c r="J1" s="2438"/>
      <c r="K1" s="2438"/>
      <c r="L1" s="2438"/>
      <c r="M1" s="2438"/>
    </row>
    <row r="2" spans="2:14" ht="15" x14ac:dyDescent="0.2">
      <c r="B2" s="2439">
        <f>'Single Audit Cover'!E7</f>
        <v>8089200026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Pearl City CUSD 200</v>
      </c>
      <c r="B1" s="2443"/>
      <c r="C1" s="2443"/>
      <c r="D1" s="2443"/>
      <c r="E1" s="2443"/>
      <c r="F1" s="2443"/>
    </row>
    <row r="2" spans="1:7" ht="13.5" customHeight="1" x14ac:dyDescent="0.2">
      <c r="A2" s="2439">
        <f>'Single Audit Cover'!E7</f>
        <v>8089200026</v>
      </c>
      <c r="B2" s="2439"/>
      <c r="C2" s="2439"/>
      <c r="D2" s="2439"/>
      <c r="E2" s="2439"/>
      <c r="F2" s="2439"/>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0" t="s">
        <v>1732</v>
      </c>
      <c r="B32" s="2450"/>
      <c r="C32" s="2450"/>
      <c r="D32" s="2450"/>
      <c r="E32" s="2450"/>
      <c r="F32" s="245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1">
        <f>+C33+C34</f>
        <v>0</v>
      </c>
      <c r="F34" s="245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1590</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1551</v>
      </c>
      <c r="C51" s="2449"/>
      <c r="D51" s="2449"/>
    </row>
    <row r="52" spans="1:5" ht="14.25" customHeight="1" x14ac:dyDescent="0.2">
      <c r="A52" s="1298"/>
      <c r="B52" s="2449"/>
      <c r="C52" s="2449"/>
      <c r="D52" s="244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Pearl City CUSD 200</v>
      </c>
      <c r="C1" s="2459"/>
      <c r="D1" s="2459"/>
      <c r="E1" s="2459"/>
      <c r="F1" s="2459"/>
      <c r="G1" s="2459"/>
      <c r="H1" s="2459"/>
      <c r="I1" s="2459"/>
      <c r="J1" s="1406"/>
    </row>
    <row r="2" spans="2:10" s="317" customFormat="1" ht="12.75" customHeight="1" x14ac:dyDescent="0.2">
      <c r="B2" s="2460">
        <f>'Single Audit Cover'!E7</f>
        <v>8089200026</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72" t="s">
        <v>1593</v>
      </c>
      <c r="D43" s="2473"/>
      <c r="E43" s="2473"/>
      <c r="F43" s="2474"/>
      <c r="G43" s="2475">
        <f>SUM(G38:I42)</f>
        <v>0</v>
      </c>
      <c r="H43" s="2475"/>
      <c r="I43" s="2475"/>
    </row>
    <row r="44" spans="2:9" ht="12.75" customHeight="1" x14ac:dyDescent="0.2"/>
    <row r="45" spans="2:9" ht="12.75" customHeight="1" x14ac:dyDescent="0.2">
      <c r="B45" s="1419" t="s">
        <v>1841</v>
      </c>
      <c r="D45" s="2476">
        <v>0</v>
      </c>
      <c r="E45" s="247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8"/>
      <c r="F49" s="2478"/>
      <c r="G49" s="247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Pearl City CUSD 200</v>
      </c>
      <c r="C1" s="2458"/>
      <c r="D1" s="2458"/>
      <c r="E1" s="2458"/>
      <c r="F1" s="2458"/>
      <c r="G1" s="2458"/>
      <c r="H1" s="2458"/>
      <c r="I1" s="2458"/>
      <c r="J1" s="2458"/>
      <c r="K1" s="2458"/>
      <c r="L1" s="1371"/>
      <c r="M1" s="1371"/>
    </row>
    <row r="2" spans="1:13" ht="12" customHeight="1" x14ac:dyDescent="0.2">
      <c r="B2" s="2460">
        <f>'Single Audit Cover'!E7</f>
        <v>8089200026</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Pearl City CUSD 200</v>
      </c>
      <c r="C1" s="2485"/>
      <c r="D1" s="2485"/>
      <c r="E1" s="2485"/>
      <c r="F1" s="2485"/>
      <c r="G1" s="2485"/>
      <c r="H1" s="2485"/>
      <c r="I1" s="2485"/>
      <c r="J1" s="2485"/>
      <c r="K1" s="2485"/>
      <c r="L1" s="1449"/>
    </row>
    <row r="2" spans="1:12" ht="12.75" customHeight="1" x14ac:dyDescent="0.2">
      <c r="B2" s="2486">
        <f>'Single Audit Cover'!E7</f>
        <v>8089200026</v>
      </c>
      <c r="C2" s="2486"/>
      <c r="D2" s="2486"/>
      <c r="E2" s="2486"/>
      <c r="F2" s="2486"/>
      <c r="G2" s="2486"/>
      <c r="H2" s="2486"/>
      <c r="I2" s="2486"/>
      <c r="J2" s="2486"/>
      <c r="K2" s="2486"/>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Pearl City CUSD 200</v>
      </c>
      <c r="C1" s="2458"/>
      <c r="D1" s="2458"/>
      <c r="E1" s="1469"/>
    </row>
    <row r="2" spans="2:5" s="1279" customFormat="1" ht="12.75" customHeight="1" x14ac:dyDescent="0.2">
      <c r="B2" s="2460">
        <f>'Single Audit Cover'!E7</f>
        <v>8089200026</v>
      </c>
      <c r="C2" s="2460"/>
      <c r="D2" s="2460"/>
      <c r="E2" s="1470"/>
    </row>
    <row r="3" spans="2:5" ht="12.75" customHeight="1" x14ac:dyDescent="0.2">
      <c r="B3" s="2481" t="s">
        <v>1766</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http://purl.org/dc/elements/1.1/"/>
    <ds:schemaRef ds:uri="http://schemas.microsoft.com/sharepoint/v3"/>
    <ds:schemaRef ds:uri="http://schemas.microsoft.com/office/2006/documentManagement/typ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2019-10-29T16:01:55Z</cp:lastPrinted>
  <dcterms:created xsi:type="dcterms:W3CDTF">2003-10-29T19:06:34Z</dcterms:created>
  <dcterms:modified xsi:type="dcterms:W3CDTF">2019-12-26T21:00:58Z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