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FF95736-0C12-45A1-8A08-BA43979E88EF}"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2)" sheetId="186" r:id="rId34"/>
    <sheet name="SF&amp;QC Sec-2" sheetId="175" r:id="rId35"/>
    <sheet name="SF&amp;QC Sec-2 (3)" sheetId="187" r:id="rId36"/>
    <sheet name="SF&amp;QC Sec-3" sheetId="176" r:id="rId37"/>
    <sheet name="SSPAF" sheetId="177" r:id="rId38"/>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6">'SF&amp;QC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4">#REF!</definedName>
    <definedName name="SCHADDRS" localSheetId="33">#REF!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4">#REF!</definedName>
    <definedName name="SCHCTY" localSheetId="33">#REF!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4">#REF!</definedName>
    <definedName name="SCHNMBR" localSheetId="33">#REF!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4">#REF!</definedName>
    <definedName name="SCHNME" localSheetId="33">#REF!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4">#REF!</definedName>
    <definedName name="SUPT" localSheetId="33">#REF!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7" l="1"/>
  <c r="B4" i="186" l="1"/>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B2" i="184"/>
  <c r="B2" i="185"/>
  <c r="B2" i="183"/>
  <c r="B1" i="187"/>
  <c r="B1" i="185"/>
  <c r="B1" i="184"/>
  <c r="B1" i="183"/>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D27" i="108"/>
  <c r="E27" i="108"/>
  <c r="F27" i="108"/>
  <c r="G27" i="108"/>
  <c r="F31" i="108"/>
  <c r="F36" i="108"/>
  <c r="G28"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D24" i="37"/>
  <c r="B4270" i="106" s="1"/>
  <c r="D4270" i="106" s="1"/>
  <c r="D9" i="7"/>
  <c r="B1767" i="106" s="1"/>
  <c r="D1767" i="106" s="1"/>
  <c r="B5752" i="106"/>
  <c r="D5752" i="106" s="1"/>
  <c r="D17" i="7"/>
  <c r="B4104" i="106" s="1"/>
  <c r="D4104" i="106" s="1"/>
  <c r="B6995" i="106" l="1"/>
  <c r="D6995" i="106" s="1"/>
  <c r="G38" i="108"/>
  <c r="E38" i="108"/>
  <c r="G30" i="108"/>
  <c r="E30" i="108"/>
  <c r="G26" i="108"/>
  <c r="E26" i="108"/>
  <c r="B1274" i="106"/>
  <c r="D1274" i="106" s="1"/>
  <c r="J210" i="29"/>
  <c r="B7072" i="106" s="1"/>
  <c r="D7072" i="106" s="1"/>
  <c r="F46" i="34"/>
  <c r="B3647" i="106"/>
  <c r="D3647" i="106" s="1"/>
  <c r="F42" i="34"/>
  <c r="L5" i="11"/>
  <c r="B2056" i="106" s="1"/>
  <c r="D2056" i="106" s="1"/>
  <c r="B2836" i="106"/>
  <c r="D2836" i="106" s="1"/>
  <c r="H112" i="29"/>
  <c r="B7018" i="106" s="1"/>
  <c r="D7018" i="106" s="1"/>
  <c r="J22" i="37"/>
  <c r="F50" i="34"/>
  <c r="F37" i="34"/>
  <c r="C342" i="29"/>
  <c r="B7216" i="106" s="1"/>
  <c r="D7216" i="106" s="1"/>
  <c r="J77" i="4"/>
  <c r="B6262" i="106" s="1"/>
  <c r="D6262" i="106" s="1"/>
  <c r="L342" i="29"/>
  <c r="L13" i="11"/>
  <c r="B2060" i="106" s="1"/>
  <c r="D2060"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J41" i="3"/>
  <c r="B6216" i="106" s="1"/>
  <c r="D6216" i="106" s="1"/>
  <c r="K184" i="29"/>
  <c r="F13" i="4" s="1"/>
  <c r="B2596" i="106" s="1"/>
  <c r="D2596" i="106" s="1"/>
  <c r="G210" i="29"/>
  <c r="G15" i="145"/>
  <c r="H28" i="118"/>
  <c r="E28" i="108"/>
  <c r="H342" i="29"/>
  <c r="J129" i="29"/>
  <c r="B7038" i="106" s="1"/>
  <c r="D7038" i="106" s="1"/>
  <c r="K41" i="3"/>
  <c r="H29" i="118"/>
  <c r="F14" i="4"/>
  <c r="B2597" i="106" s="1"/>
  <c r="D2597" i="106" s="1"/>
  <c r="L22" i="37"/>
  <c r="G29" i="108"/>
  <c r="D6103" i="106"/>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C114" i="29"/>
  <c r="B757" i="106" s="1"/>
  <c r="D757" i="106" s="1"/>
  <c r="D44" i="36"/>
  <c r="F174" i="34"/>
  <c r="N23" i="3"/>
  <c r="B284" i="106" s="1"/>
  <c r="D284" i="106" s="1"/>
  <c r="D51" i="36"/>
  <c r="D7254" i="106"/>
  <c r="C367" i="29"/>
  <c r="B3622" i="106" s="1"/>
  <c r="D3622" i="106" s="1"/>
  <c r="D7255" i="106"/>
  <c r="D7250" i="106"/>
  <c r="D7256" i="106"/>
  <c r="D7251" i="106"/>
  <c r="D7252" i="106"/>
  <c r="B5527" i="106"/>
  <c r="D5527" i="106" s="1"/>
  <c r="K28" i="118"/>
  <c r="O27" i="118" s="1"/>
  <c r="O29" i="118" s="1"/>
  <c r="K342" i="29"/>
  <c r="F13" i="34" s="1"/>
  <c r="B4435" i="106"/>
  <c r="D4435" i="106" s="1"/>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20" i="4"/>
  <c r="D8" i="146"/>
  <c r="K17" i="4"/>
  <c r="K20"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<sst xmlns="http://schemas.openxmlformats.org/spreadsheetml/2006/main" count="5527" uniqueCount="2226">
  <si>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</si>
  <si>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</si>
  <si>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</si>
  <si>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</si>
  <si>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</si>
  <si>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</si>
  <si>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</si>
  <si>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</si>
  <si>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</si>
  <si>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</si>
  <si>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</si>
  <si>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</si>
  <si>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</si>
  <si>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</si>
  <si>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</si>
  <si>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</si>
  <si>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</si>
  <si>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</si>
  <si>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</si>
  <si>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</si>
  <si>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</si>
  <si>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</si>
  <si>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</si>
  <si>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</si>
  <si>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</si>
  <si>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</si>
  <si>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</si>
  <si>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</si>
  <si>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</si>
  <si>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</si>
  <si>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</si>
  <si>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</si>
  <si>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</si>
  <si>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</si>
  <si>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</si>
  <si>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</si>
  <si>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</si>
  <si>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</si>
  <si>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</si>
  <si>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</si>
  <si>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</si>
  <si>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</si>
  <si>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</si>
  <si>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</si>
  <si>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</si>
  <si>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</si>
  <si>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</si>
  <si>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</si>
  <si>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</si>
  <si>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</si>
  <si>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</si>
  <si>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</si>
  <si>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</si>
  <si>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</si>
  <si>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</si>
  <si>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</si>
  <si>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</si>
  <si>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</si>
  <si>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</si>
  <si>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</si>
  <si>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</si>
  <si>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</si>
  <si>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</si>
  <si>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</si>
  <si>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</si>
  <si>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</si>
  <si>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</si>
  <si>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</si>
  <si>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</si>
  <si>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</si>
  <si>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</si>
  <si>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</si>
  <si>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</si>
  <si>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</si>
  <si>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</si>
  <si>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</si>
  <si>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</si>
  <si>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</si>
  <si>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</si>
  <si>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</si>
  <si>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</si>
  <si>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</si>
  <si>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</si>
  <si>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</si>
  <si>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</si>
  <si>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</si>
  <si>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</si>
  <si>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</si>
  <si>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</si>
  <si>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</si>
  <si>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</si>
  <si>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</si>
  <si>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</si>
  <si>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</si>
  <si>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</si>
  <si>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</si>
  <si>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</si>
  <si>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</si>
  <si>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</si>
  <si>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</si>
  <si>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</si>
  <si>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</si>
  <si>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</si>
  <si>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</si>
  <si>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</si>
  <si>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</si>
  <si>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</si>
  <si>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</si>
  <si>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</si>
  <si>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</si>
  <si>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</si>
  <si>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</si>
  <si>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</si>
  <si>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</si>
  <si>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</si>
  <si>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</si>
  <si>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</si>
  <si>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</si>
  <si>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</si>
  <si>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</si>
  <si>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</si>
  <si>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</si>
  <si>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</si>
  <si>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</si>
  <si>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</si>
  <si>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</si>
  <si>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</si>
  <si>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</si>
  <si>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</si>
  <si>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</si>
  <si>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</si>
  <si>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</si>
  <si>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</si>
  <si>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</si>
  <si>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</si>
  <si>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</si>
  <si>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</si>
  <si>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</si>
  <si>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</si>
  <si>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</si>
  <si>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</si>
  <si>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</si>
  <si>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</si>
  <si>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</si>
  <si>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</si>
  <si>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</si>
  <si>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</si>
  <si>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</si>
  <si>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</si>
  <si>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</si>
  <si>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</si>
  <si>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</si>
  <si>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</si>
  <si>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</si>
  <si>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</si>
  <si>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</si>
  <si>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</si>
  <si>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</si>
  <si>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</si>
  <si>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</si>
  <si>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</si>
  <si>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</si>
  <si>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</si>
  <si>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</si>
  <si>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</si>
  <si>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</si>
  <si>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</si>
  <si>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</si>
  <si>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</si>
  <si>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</si>
  <si>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</si>
  <si>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</si>
  <si>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</si>
  <si>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</si>
  <si>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</si>
  <si>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</si>
  <si>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</si>
  <si>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</si>
  <si>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</si>
  <si>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</si>
  <si>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</si>
  <si>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</si>
  <si>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</si>
  <si>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</si>
  <si>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</si>
  <si>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</si>
  <si>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</si>
  <si>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</si>
  <si>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</si>
  <si>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</si>
  <si>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</si>
  <si>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</si>
  <si>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</si>
  <si>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</si>
  <si>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</si>
  <si>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</si>
  <si>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</si>
  <si>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</si>
  <si>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</si>
  <si>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</si>
  <si>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</si>
  <si>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</si>
  <si>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</si>
  <si>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</si>
  <si>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</si>
  <si>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</si>
  <si>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</si>
  <si>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</si>
  <si>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</si>
  <si>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</si>
  <si>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</si>
  <si>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</si>
  <si>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</si>
  <si>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</si>
  <si>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</si>
  <si>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</si>
  <si>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</si>
  <si>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</si>
  <si>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</si>
  <si>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</si>
  <si>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</si>
  <si>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</si>
  <si>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</si>
  <si>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</si>
  <si>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</si>
  <si>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</si>
  <si>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</si>
  <si>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</si>
  <si>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</si>
  <si>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</si>
  <si>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</si>
  <si>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</si>
  <si>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</si>
  <si>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</si>
  <si>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</si>
  <si>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</si>
  <si>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</si>
  <si>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</si>
  <si>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</si>
  <si>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</si>
  <si>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</si>
  <si>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</si>
  <si>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</si>
  <si>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</si>
  <si>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</si>
  <si>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</si>
  <si>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</si>
  <si>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</si>
  <si>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</si>
  <si>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</si>
  <si>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</si>
  <si>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</si>
  <si>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</si>
  <si>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</si>
  <si>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</si>
  <si>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</si>
  <si>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</si>
  <si>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</si>
  <si>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</si>
  <si>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</si>
  <si>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</si>
  <si>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</si>
  <si>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</si>
  <si>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</si>
  <si>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</si>
  <si>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</si>
  <si>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</si>
  <si>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</si>
  <si>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</si>
  <si>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</si>
  <si>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</si>
  <si>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</si>
  <si>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</si>
  <si>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</si>
  <si>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</si>
  <si>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</si>
  <si>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</si>
  <si>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</si>
  <si>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</si>
  <si>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</si>
  <si>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</si>
  <si>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</si>
  <si>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</si>
  <si>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</si>
  <si>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</si>
  <si>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</si>
  <si>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</si>
  <si>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</si>
  <si>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</si>
  <si>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</si>
  <si>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</si>
  <si>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</si>
  <si>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</si>
  <si>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</si>
  <si>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</si>
  <si>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</si>
  <si>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</si>
  <si>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</si>
  <si>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</si>
  <si>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</si>
  <si>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</si>
  <si>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</si>
  <si>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</si>
  <si>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</si>
  <si>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</si>
  <si>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</si>
  <si>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</si>
  <si>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</si>
  <si>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</si>
  <si>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</si>
  <si>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</si>
  <si>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</si>
  <si>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</si>
  <si>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</si>
  <si>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</si>
  <si>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</si>
  <si>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</si>
  <si>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</si>
  <si>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</si>
  <si>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</si>
  <si>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</si>
  <si>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</si>
  <si>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</si>
  <si>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</si>
  <si>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</si>
  <si>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</si>
  <si>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</si>
  <si>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</si>
  <si>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</si>
  <si>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</si>
  <si>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</si>
  <si>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</si>
  <si>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</si>
  <si>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</si>
  <si>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</si>
  <si>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</si>
  <si>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</si>
  <si>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</si>
  <si>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</si>
  <si>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</si>
  <si>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</si>
  <si>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</si>
  <si>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</si>
  <si>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</si>
  <si>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</si>
  <si>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</si>
  <si>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</si>
  <si>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</si>
  <si>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</si>
  <si>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</si>
  <si>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</si>
  <si>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</si>
  <si>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</si>
  <si>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</si>
  <si>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</si>
  <si>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</si>
  <si>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</si>
  <si>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</si>
  <si>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</si>
  <si>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</si>
  <si>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</si>
  <si>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</si>
  <si>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</si>
  <si>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</si>
  <si>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</si>
  <si>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</si>
  <si>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</si>
  <si>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</si>
  <si>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</si>
  <si>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</si>
  <si>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</si>
  <si>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</si>
  <si>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</si>
  <si>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</si>
  <si>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</si>
  <si>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</si>
  <si>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</si>
  <si>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</si>
  <si>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</si>
  <si>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</si>
  <si>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</si>
  <si>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</si>
  <si>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</si>
  <si>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</si>
  <si>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</si>
  <si>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</si>
  <si>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</si>
  <si>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</si>
  <si>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</si>
  <si>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</si>
  <si>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</si>
  <si>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</si>
  <si>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</si>
  <si>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</si>
  <si>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</si>
  <si>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</si>
  <si>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</si>
  <si>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</si>
  <si>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</si>
  <si>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</si>
  <si>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</si>
  <si>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</si>
  <si>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</si>
  <si>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</si>
  <si>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</si>
  <si>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</si>
  <si>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</si>
  <si>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</si>
  <si>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</si>
  <si>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</si>
  <si>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</si>
  <si>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</si>
  <si>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</si>
  <si>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</si>
  <si>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</si>
  <si>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</si>
  <si>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</si>
  <si>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</si>
  <si>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</si>
  <si>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</si>
  <si>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</si>
  <si>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</si>
  <si>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</si>
  <si>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</si>
  <si>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</si>
  <si>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</si>
  <si>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</si>
  <si>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</si>
  <si>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</si>
  <si>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</si>
  <si>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</si>
  <si>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</si>
  <si>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</si>
  <si>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</si>
  <si>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</si>
  <si>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</si>
  <si>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</si>
  <si>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</si>
  <si>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</si>
  <si>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</si>
  <si>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</si>
  <si>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</si>
  <si>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</si>
  <si>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</si>
  <si>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</si>
  <si>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</si>
  <si>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</si>
  <si>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</si>
  <si>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</si>
  <si>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</si>
  <si>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</si>
  <si>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</si>
  <si>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</si>
  <si>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</si>
  <si>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</si>
  <si>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</si>
  <si>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</si>
  <si>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</si>
  <si>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</si>
  <si>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</si>
  <si>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</si>
  <si>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</si>
  <si>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</si>
  <si>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</si>
  <si>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</si>
  <si>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</si>
  <si>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</si>
  <si>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</si>
  <si>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</si>
  <si>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</si>
  <si>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</si>
  <si>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</si>
  <si>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</si>
  <si>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</si>
  <si>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</si>
  <si>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</si>
  <si>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</si>
  <si>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</si>
  <si>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</si>
  <si>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</si>
  <si>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</si>
  <si>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</si>
  <si>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</si>
  <si>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</si>
  <si>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</si>
  <si>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</si>
  <si>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</si>
  <si>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</si>
  <si>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</si>
  <si>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</si>
  <si>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</si>
  <si>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</si>
  <si>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</si>
  <si>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</si>
  <si>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</si>
  <si>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</si>
  <si>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</si>
  <si>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</si>
  <si>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</si>
  <si>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</si>
  <si>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</si>
  <si>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</si>
  <si>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</si>
  <si>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</si>
  <si>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</si>
  <si>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</si>
  <si>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</si>
  <si>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</si>
  <si>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</si>
  <si>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</si>
  <si>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</si>
  <si>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</si>
  <si>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</si>
  <si>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</si>
  <si>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</si>
  <si>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</si>
  <si>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</si>
  <si>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</si>
  <si>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</si>
  <si>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</si>
  <si>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</si>
  <si>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</si>
  <si>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</si>
  <si>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</si>
  <si>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</si>
  <si>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</si>
  <si>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</si>
  <si>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</si>
  <si>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</si>
  <si>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</si>
  <si>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</si>
  <si>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</si>
  <si>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</si>
  <si>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</si>
  <si>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</si>
  <si>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</si>
  <si>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</si>
  <si>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</si>
  <si>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</si>
  <si>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</si>
  <si>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</si>
  <si>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</si>
  <si>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</si>
  <si>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</si>
  <si>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</si>
  <si>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</si>
  <si>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</si>
  <si>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</si>
  <si>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</si>
  <si>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</si>
  <si>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</si>
  <si>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</si>
  <si>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</si>
  <si>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</si>
  <si>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</si>
  <si>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</si>
  <si>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</si>
  <si>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</si>
  <si>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</si>
  <si>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</si>
  <si>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</si>
  <si>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</si>
  <si>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</si>
  <si>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</si>
  <si>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</si>
  <si>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</si>
  <si>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</si>
  <si>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</si>
  <si>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</si>
  <si>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</si>
  <si>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</si>
  <si>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</si>
  <si>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</si>
  <si>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</si>
  <si>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</si>
  <si>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</si>
  <si>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</si>
  <si>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</si>
  <si>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</si>
  <si>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</si>
  <si>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</si>
  <si>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</si>
  <si>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</si>
  <si>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</si>
  <si>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</si>
  <si>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</si>
  <si>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</si>
  <si>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</si>
  <si>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</si>
  <si>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</si>
  <si>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</si>
  <si>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</si>
  <si>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</si>
  <si>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</si>
  <si>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</si>
  <si>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</si>
  <si>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</si>
  <si>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</si>
  <si>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</si>
  <si>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</si>
  <si>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</si>
  <si>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</si>
  <si>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</si>
  <si>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</si>
  <si>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</si>
  <si>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</si>
  <si>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</si>
  <si>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</si>
  <si>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</si>
  <si>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</si>
  <si>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</si>
  <si>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</si>
  <si>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</si>
  <si>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</si>
  <si>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</si>
  <si>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</si>
  <si>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</si>
  <si>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</si>
  <si>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</si>
  <si>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</si>
  <si>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</si>
  <si>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</si>
  <si>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</si>
  <si>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</si>
  <si>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</si>
  <si>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</si>
  <si>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</si>
  <si>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</si>
  <si>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</si>
  <si>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</si>
  <si>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</si>
  <si>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</si>
  <si>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</si>
  <si>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</si>
  <si>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</si>
  <si>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</si>
  <si>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</si>
  <si>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</si>
  <si>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</si>
  <si>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</si>
  <si>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</si>
  <si>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</si>
  <si>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</si>
  <si>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</si>
  <si>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</si>
  <si>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</si>
  <si>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</si>
  <si>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</si>
  <si>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</si>
  <si>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</si>
  <si>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</si>
  <si>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</si>
  <si>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</si>
  <si>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</si>
  <si>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</si>
  <si>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</si>
  <si>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</si>
  <si>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</si>
  <si>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</si>
  <si>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</si>
  <si>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</si>
  <si>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</si>
  <si>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</si>
  <si>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</si>
  <si>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</si>
  <si>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</si>
  <si>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</si>
  <si>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</si>
  <si>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</si>
  <si>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</si>
  <si>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</si>
  <si>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</si>
  <si>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</si>
  <si>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</si>
  <si>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</si>
  <si>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</si>
  <si>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</si>
  <si>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</si>
  <si>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</si>
  <si>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</si>
  <si>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</si>
  <si>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</si>
  <si>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</si>
  <si>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</si>
  <si>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</si>
  <si>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</si>
  <si>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</si>
  <si>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</si>
  <si>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</si>
  <si>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</si>
  <si>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</si>
  <si>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</si>
  <si>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</si>
  <si>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</si>
  <si>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</si>
  <si>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</si>
  <si>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</si>
  <si>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</si>
  <si>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</si>
  <si>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</si>
  <si>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</si>
  <si>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</si>
  <si>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</si>
  <si>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</si>
  <si>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</si>
  <si>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</si>
  <si>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</si>
  <si>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</si>
  <si>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</si>
  <si>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</si>
  <si>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</si>
  <si>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</si>
  <si>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</si>
  <si>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</si>
  <si>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</si>
  <si>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</si>
  <si>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</si>
  <si>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</si>
  <si>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</si>
  <si>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</si>
  <si>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</si>
  <si>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</si>
  <si>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</si>
  <si>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</si>
  <si>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</si>
  <si>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</si>
  <si>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</si>
  <si>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</si>
  <si>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</si>
  <si>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</si>
  <si>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</si>
  <si>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</si>
  <si>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</si>
  <si>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</si>
  <si>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</si>
  <si>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</si>
  <si>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</si>
  <si>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</si>
  <si>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</si>
  <si>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</si>
  <si>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</si>
  <si>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</si>
  <si>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</si>
  <si>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</si>
  <si>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</si>
  <si>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</si>
  <si>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</si>
  <si>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</si>
  <si>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</si>
  <si>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</si>
  <si>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</si>
  <si>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</si>
  <si>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</si>
  <si>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</si>
  <si>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</si>
  <si>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</si>
  <si>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</si>
  <si>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</si>
  <si>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</si>
  <si>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</si>
  <si>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</si>
  <si>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</si>
  <si>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</si>
  <si>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</si>
  <si>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</si>
  <si>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</si>
  <si>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</si>
  <si>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</si>
  <si>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</si>
  <si>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</si>
  <si>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</si>
  <si>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</si>
  <si>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</si>
  <si>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</si>
  <si>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</si>
  <si>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</si>
  <si>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</si>
  <si>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</si>
  <si>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</si>
  <si>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</si>
  <si>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</si>
  <si>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</si>
  <si>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</si>
  <si>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</si>
  <si>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</si>
  <si>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</si>
  <si>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</si>
  <si>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</si>
  <si>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</si>
  <si>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</si>
  <si>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</si>
  <si>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</si>
  <si>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</si>
  <si>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</si>
  <si>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</si>
  <si>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</si>
  <si>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</si>
  <si>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</si>
  <si>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</si>
  <si>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</si>
  <si>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</si>
  <si>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</si>
  <si>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</si>
  <si>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</si>
  <si>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</si>
  <si>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</si>
  <si>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</si>
  <si>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</si>
  <si>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</si>
  <si>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</si>
  <si>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</si>
  <si>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</si>
  <si>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</si>
  <si>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</si>
  <si>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</si>
  <si>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</si>
  <si>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</si>
  <si>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</si>
  <si>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</si>
  <si>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</si>
  <si>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</si>
  <si>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</si>
  <si>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</si>
  <si>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</si>
  <si>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</si>
  <si>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</si>
  <si>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</si>
  <si>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</si>
  <si>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</si>
  <si>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</si>
  <si>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</si>
  <si>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</si>
  <si>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</si>
  <si>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</si>
  <si>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</si>
  <si>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</si>
  <si>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</si>
  <si>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</si>
  <si>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</si>
  <si>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</si>
  <si>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</si>
  <si>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</si>
  <si>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</si>
  <si>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</si>
  <si>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</si>
  <si>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</si>
  <si>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</si>
  <si>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</si>
  <si>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</si>
  <si>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</si>
  <si>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</si>
  <si>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</si>
  <si>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</si>
  <si>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</si>
  <si>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</si>
  <si>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</si>
  <si>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</si>
  <si>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</si>
  <si>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</si>
  <si>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</si>
  <si>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</si>
  <si>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</si>
  <si>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</si>
  <si>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</si>
  <si>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</si>
  <si>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</si>
  <si>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</si>
  <si>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</si>
  <si>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</si>
  <si>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</si>
  <si>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</si>
  <si>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</si>
  <si>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</si>
  <si>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</si>
  <si>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</si>
  <si>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</si>
  <si>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</si>
  <si>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</si>
  <si>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</si>
  <si>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</si>
  <si>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</si>
  <si>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</si>
  <si>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</si>
  <si>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</si>
  <si>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</si>
  <si>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</si>
  <si>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</si>
  <si>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</si>
  <si>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</si>
  <si>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</si>
  <si>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</si>
  <si>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</si>
  <si>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</si>
  <si>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</si>
  <si>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</si>
  <si>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</si>
  <si>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</si>
  <si>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</si>
  <si>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</si>
  <si>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</si>
  <si>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</si>
  <si>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</si>
  <si>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</si>
  <si>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</si>
  <si>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</si>
  <si>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</si>
  <si>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</si>
  <si>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</si>
  <si>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</si>
  <si>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</si>
  <si>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</si>
  <si>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</si>
  <si>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</si>
  <si>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</si>
  <si>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</si>
  <si>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</si>
  <si>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</si>
  <si>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</si>
  <si>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</si>
  <si>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</si>
  <si>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</si>
  <si>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</si>
  <si>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</si>
  <si>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</si>
  <si>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</si>
  <si>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</si>
  <si>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</si>
  <si>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</si>
  <si>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</si>
  <si>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</si>
  <si>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</si>
  <si>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</si>
  <si>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</si>
  <si>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</si>
  <si>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</si>
  <si>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</si>
  <si>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</si>
  <si>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</si>
  <si>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</si>
  <si>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</si>
  <si>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</si>
  <si>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</si>
  <si>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</si>
  <si>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</si>
  <si>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</si>
  <si>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</si>
  <si>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</si>
  <si>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</si>
  <si>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</si>
  <si>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</si>
  <si>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</si>
  <si>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</si>
  <si>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</si>
  <si>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</si>
  <si>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</si>
  <si>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</si>
  <si>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</si>
  <si>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</si>
  <si>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</si>
  <si>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</si>
  <si>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</si>
  <si>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</si>
  <si>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</si>
  <si>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</si>
  <si>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</si>
  <si>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</si>
  <si>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</si>
  <si>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</si>
  <si>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</si>
  <si>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</si>
  <si>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</si>
  <si>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</si>
  <si>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</si>
  <si>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</si>
  <si>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</si>
  <si>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</si>
  <si>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</si>
  <si>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</si>
  <si>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</si>
  <si>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</si>
  <si>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</si>
  <si>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</si>
  <si>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</si>
  <si>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</si>
  <si>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</si>
  <si>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</si>
  <si>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</si>
  <si>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</si>
  <si>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</si>
  <si>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</si>
  <si>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</si>
  <si>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</si>
  <si>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</si>
  <si>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</si>
  <si>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</si>
  <si>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</si>
  <si>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</si>
  <si>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</si>
  <si>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</si>
  <si>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</si>
  <si>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</si>
  <si>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</si>
  <si>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</si>
  <si>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</si>
  <si>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</si>
  <si>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</si>
  <si>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</si>
  <si>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</si>
  <si>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</si>
  <si>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</si>
  <si>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</si>
  <si>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</si>
  <si>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</si>
  <si>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</si>
  <si>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</si>
  <si>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</si>
  <si>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</si>
  <si>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</si>
  <si>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</si>
  <si>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</si>
  <si>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</si>
  <si>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</si>
  <si>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</si>
  <si>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</si>
  <si>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</si>
  <si>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</si>
  <si>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</si>
  <si>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</si>
  <si>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</si>
  <si>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</si>
  <si>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</si>
  <si>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</si>
  <si>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</si>
  <si>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</si>
  <si>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</si>
  <si>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</si>
  <si>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</si>
  <si>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</si>
  <si>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</si>
  <si>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</si>
  <si>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</si>
  <si>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</si>
  <si>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</si>
  <si>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</si>
  <si>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</si>
  <si>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</si>
  <si>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</si>
  <si>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</si>
  <si>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</si>
  <si>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</si>
  <si>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</si>
  <si>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</si>
  <si>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</si>
  <si>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</si>
  <si>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</si>
  <si>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</si>
  <si>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</si>
  <si>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</si>
  <si>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</si>
  <si>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</si>
  <si>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</si>
  <si>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</si>
  <si>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</si>
  <si>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</si>
  <si>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</si>
  <si>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</si>
  <si>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</si>
  <si>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</si>
  <si>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</si>
  <si>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</si>
  <si>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</si>
  <si>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</si>
  <si>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</si>
  <si>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</si>
  <si>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</si>
  <si>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</si>
  <si>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</si>
  <si>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</si>
  <si>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</si>
  <si>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</si>
  <si>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</si>
  <si>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</si>
  <si>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</si>
  <si>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</si>
  <si>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</si>
  <si>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</si>
  <si>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</si>
  <si>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</si>
  <si>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</si>
  <si>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</si>
  <si>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</si>
  <si>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</si>
  <si>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</si>
  <si>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</si>
  <si>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</si>
  <si>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</si>
  <si>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</si>
  <si>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</si>
  <si>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</si>
  <si>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</si>
  <si>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</si>
  <si>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</si>
  <si>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</si>
  <si>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</si>
  <si>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</si>
  <si>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</si>
  <si>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</si>
  <si>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</si>
  <si>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</si>
  <si>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</si>
  <si>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</si>
  <si>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</si>
  <si>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</si>
  <si>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</si>
  <si>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</si>
  <si>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</si>
  <si>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</si>
  <si>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</si>
  <si>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</si>
  <si>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</si>
  <si>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</si>
  <si>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</si>
  <si>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</si>
  <si>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</si>
  <si>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</si>
  <si>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</si>
  <si>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</si>
  <si>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</si>
  <si>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</si>
  <si>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</si>
  <si>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</si>
  <si>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</si>
  <si>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</si>
  <si>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</si>
  <si>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</si>
  <si>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</si>
  <si>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</si>
  <si>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</si>
  <si>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</si>
  <si>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</si>
  <si>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</si>
  <si>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</si>
  <si>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</si>
  <si>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</si>
  <si>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</si>
  <si>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</si>
  <si>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</si>
  <si>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</si>
  <si>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</si>
  <si>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</si>
  <si>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</si>
  <si>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</si>
  <si>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</si>
  <si>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</si>
  <si>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</si>
  <si>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</si>
  <si>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</si>
  <si>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</si>
  <si>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</si>
  <si>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</si>
  <si>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</si>
  <si>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</si>
  <si>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</si>
  <si>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</si>
  <si>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</si>
  <si>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</si>
  <si>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</si>
  <si>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</si>
  <si>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</si>
  <si>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</si>
  <si>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</si>
  <si>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</si>
  <si>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</si>
  <si>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</si>
  <si>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</si>
  <si>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</si>
  <si>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</si>
  <si>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</si>
  <si>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</si>
  <si>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</si>
  <si>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</si>
  <si>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</si>
  <si>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</si>
  <si>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</si>
  <si>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</si>
  <si>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</si>
  <si>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</si>
  <si>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</si>
  <si>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</si>
  <si>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</si>
  <si>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</si>
  <si>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</si>
  <si>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</si>
  <si>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</si>
  <si>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</si>
  <si>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</si>
  <si>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</si>
  <si>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</si>
  <si>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</si>
  <si>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</si>
  <si>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</si>
  <si>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</si>
  <si>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</si>
  <si>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</si>
  <si>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</si>
  <si>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</si>
  <si>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</si>
  <si>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</si>
  <si>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</si>
  <si>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</si>
  <si>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</si>
  <si>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</si>
  <si>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</si>
  <si>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</si>
  <si>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</si>
  <si>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</si>
  <si>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</si>
  <si>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</si>
  <si>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</si>
  <si>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</si>
  <si>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</si>
  <si>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</si>
  <si>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</si>
  <si>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</si>
  <si>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</si>
  <si>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</si>
  <si>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</si>
  <si>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</si>
  <si>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</si>
  <si>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</si>
  <si>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</si>
  <si>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</si>
  <si>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</si>
  <si>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</si>
  <si>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</si>
  <si>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</si>
  <si>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</si>
  <si>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</si>
  <si>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</si>
  <si>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</si>
  <si>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</si>
  <si>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</si>
  <si>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</si>
  <si>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</si>
  <si>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</si>
  <si>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</si>
  <si>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</si>
  <si>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</si>
  <si>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</si>
  <si>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</si>
  <si>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</si>
  <si>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</si>
  <si>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</si>
  <si>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</si>
  <si>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</si>
  <si>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</si>
  <si>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</si>
  <si>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</si>
  <si>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</si>
  <si>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</si>
  <si>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</si>
  <si>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</si>
  <si>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</si>
  <si>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</si>
  <si>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</si>
  <si>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</si>
  <si>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</si>
  <si>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</si>
  <si>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</si>
  <si>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</si>
  <si>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</si>
  <si>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</si>
  <si>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</si>
  <si>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</si>
  <si>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</si>
  <si>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</si>
  <si>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</si>
  <si>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</si>
  <si>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</si>
  <si>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</si>
  <si>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</si>
  <si>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</si>
  <si>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</si>
  <si>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</si>
  <si>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</si>
  <si>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</si>
  <si>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</si>
  <si>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</si>
  <si>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</si>
  <si>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</si>
  <si>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</si>
  <si>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</si>
  <si>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</si>
  <si>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</si>
  <si>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</si>
  <si>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</si>
  <si>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</si>
  <si>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</si>
  <si>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</si>
  <si>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</si>
  <si>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</si>
  <si>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</si>
  <si>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</si>
  <si>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</si>
  <si>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</si>
  <si>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</si>
  <si>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</si>
  <si>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</si>
  <si>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</si>
  <si>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</si>
  <si>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</si>
  <si>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</si>
  <si>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</si>
  <si>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</si>
  <si>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</si>
  <si>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</si>
  <si>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</si>
  <si>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</si>
  <si>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</si>
  <si>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</si>
  <si>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</si>
  <si>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</si>
  <si>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</si>
  <si>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</si>
  <si>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</si>
  <si>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</si>
  <si>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</si>
  <si>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</si>
  <si>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</si>
  <si>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</si>
  <si>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</si>
  <si>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</si>
  <si>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</si>
  <si>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</si>
  <si>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</si>
  <si>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</si>
  <si>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</si>
  <si>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</si>
  <si>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</si>
  <si>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</si>
  <si>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</si>
  <si>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</si>
  <si>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</si>
  <si>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</si>
  <si>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</si>
  <si>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</si>
  <si>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</si>
  <si>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</si>
  <si>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</si>
  <si>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</si>
  <si>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</si>
  <si>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</si>
  <si>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</si>
  <si>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</si>
  <si>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</si>
  <si>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</si>
  <si>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</si>
  <si>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</si>
  <si>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</si>
  <si>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</si>
  <si>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</si>
  <si>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</si>
  <si>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</si>
  <si>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</si>
  <si>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</si>
  <si>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</si>
  <si>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</si>
  <si>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</si>
  <si>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</si>
  <si>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</si>
  <si>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</si>
  <si>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</si>
  <si>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</si>
  <si>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</si>
  <si>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</si>
  <si>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</si>
  <si>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</si>
  <si>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</si>
  <si>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</si>
  <si>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</si>
  <si>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</si>
  <si>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</si>
  <si>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</si>
  <si>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</si>
  <si>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</si>
  <si>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</si>
  <si>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</si>
  <si>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</si>
  <si>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</si>
  <si>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</si>
  <si>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</si>
  <si>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</si>
  <si>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</si>
  <si>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</si>
  <si>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</si>
  <si>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</si>
  <si>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</si>
  <si>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</si>
  <si>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</si>
  <si>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</si>
  <si>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</si>
  <si>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</si>
  <si>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</si>
  <si>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</si>
  <si>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</si>
  <si>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</si>
  <si>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</si>
  <si>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</si>
  <si>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</si>
  <si>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</si>
  <si>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</si>
  <si>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</si>
  <si>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</si>
  <si>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</si>
  <si>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</si>
  <si>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</si>
  <si>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</si>
  <si>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</si>
  <si>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</si>
  <si>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</si>
  <si>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</si>
  <si>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</si>
  <si>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</si>
  <si>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</si>
  <si>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</si>
  <si>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</si>
  <si>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</si>
  <si>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</si>
  <si>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</si>
  <si>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</si>
  <si>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</si>
  <si>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</si>
  <si>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</si>
  <si>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</si>
  <si>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</si>
  <si>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</si>
  <si>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</si>
  <si>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</si>
  <si>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</si>
  <si>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</si>
  <si>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</si>
  <si>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</si>
  <si>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</si>
  <si>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</si>
  <si>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</si>
  <si>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</si>
  <si>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</si>
  <si>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</si>
  <si>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</si>
  <si>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</si>
  <si>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</si>
  <si>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</si>
  <si>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</si>
  <si>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</si>
  <si>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</si>
  <si>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</si>
  <si>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</si>
  <si>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</si>
  <si>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</si>
  <si>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</si>
  <si>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</si>
  <si>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</si>
  <si>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</si>
  <si>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</si>
  <si>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</si>
  <si>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</si>
  <si>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</si>
  <si>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</si>
  <si>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</si>
  <si>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</si>
  <si>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</si>
  <si>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</si>
  <si>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</si>
  <si>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</si>
  <si>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</si>
  <si>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</si>
  <si>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</si>
  <si>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</si>
  <si>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</si>
  <si>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</si>
  <si>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</si>
  <si>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</si>
  <si>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</si>
  <si>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</si>
  <si>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</si>
  <si>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</si>
  <si>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</si>
  <si>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</si>
  <si>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</si>
  <si>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</si>
  <si>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</si>
  <si>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</si>
  <si>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</si>
  <si>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</si>
  <si>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</si>
  <si>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</si>
  <si>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</si>
  <si>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</si>
  <si>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</si>
  <si>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</si>
  <si>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</si>
  <si>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</si>
  <si>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</si>
  <si>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</si>
  <si>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</si>
  <si>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</si>
  <si>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</si>
  <si>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</si>
  <si>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</si>
  <si>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</si>
  <si>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</si>
  <si>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</si>
  <si>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</si>
  <si>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</si>
  <si>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</si>
  <si>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</si>
  <si>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</si>
  <si>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</si>
  <si>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</si>
  <si>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</si>
  <si>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</si>
  <si>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</si>
  <si>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</si>
  <si>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</si>
  <si>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</si>
  <si>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</si>
  <si>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</si>
  <si>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</si>
  <si>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</si>
  <si>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</si>
  <si>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</si>
  <si>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</si>
  <si>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</si>
  <si>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</si>
  <si>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</si>
  <si>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</si>
  <si>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</si>
  <si>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</si>
  <si>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</si>
  <si>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</si>
  <si>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</si>
  <si>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</si>
  <si>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</si>
  <si>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</si>
  <si>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</si>
  <si>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</si>
  <si>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</si>
  <si>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</si>
  <si>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</si>
  <si>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</si>
  <si>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</si>
  <si>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</si>
  <si>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</si>
  <si>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</si>
  <si>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</si>
  <si>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</si>
  <si>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</si>
  <si>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</si>
  <si>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</si>
  <si>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</si>
  <si>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</si>
  <si>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</si>
  <si>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</si>
  <si>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</si>
  <si>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</si>
  <si>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</si>
  <si>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</si>
  <si>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</si>
  <si>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</si>
  <si>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</si>
  <si>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</si>
  <si>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</si>
  <si>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</si>
  <si>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</si>
  <si>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</si>
  <si>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</si>
  <si>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</si>
  <si>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</si>
  <si>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</si>
  <si>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</si>
  <si>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</si>
  <si>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</si>
  <si>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</si>
  <si>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</si>
  <si>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</si>
  <si>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</si>
  <si>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</si>
  <si>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</si>
  <si>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</si>
  <si>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</si>
  <si>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</si>
  <si>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</si>
  <si>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</si>
  <si>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</si>
  <si>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</si>
  <si>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</si>
  <si>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</si>
  <si>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</si>
  <si>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</si>
  <si>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</si>
  <si>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</si>
  <si>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</si>
  <si>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</si>
  <si>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</si>
  <si>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</si>
  <si>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</si>
  <si>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</si>
  <si>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</si>
  <si>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</si>
  <si>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</si>
  <si>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</si>
  <si>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</si>
  <si>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</si>
  <si>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</si>
  <si>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</si>
  <si>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</si>
  <si>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</si>
  <si>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</si>
  <si>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</si>
  <si>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</si>
  <si>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</si>
  <si>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</si>
  <si>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</si>
  <si>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</si>
  <si>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</si>
  <si>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</si>
  <si>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</si>
  <si>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</si>
  <si>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</si>
  <si>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</si>
  <si>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</si>
  <si>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</si>
  <si>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</si>
  <si>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</si>
  <si>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</si>
  <si>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</si>
  <si>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</si>
  <si>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</si>
  <si>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</si>
  <si>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</si>
  <si>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</si>
  <si>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</si>
  <si>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</si>
  <si>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</si>
  <si>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</si>
  <si>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</si>
  <si>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</si>
  <si>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</si>
  <si>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</si>
  <si>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</si>
  <si>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</si>
  <si>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</si>
  <si>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</si>
  <si>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</si>
  <si>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</si>
  <si>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</si>
  <si>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</si>
  <si>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</si>
  <si>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</si>
  <si>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</si>
  <si>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</si>
  <si>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</si>
  <si>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</si>
  <si>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</si>
  <si>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</si>
  <si>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</si>
  <si>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</si>
  <si>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</si>
  <si>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</si>
  <si>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</si>
  <si>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</si>
  <si>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</si>
  <si>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</si>
  <si>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</si>
  <si>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</si>
  <si>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</si>
  <si>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</si>
  <si>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</si>
  <si>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</si>
  <si>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</si>
  <si>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</si>
  <si>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</si>
  <si>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</si>
  <si>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</si>
  <si>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</si>
  <si>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</si>
  <si>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</si>
  <si>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</si>
  <si>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</si>
  <si>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</si>
  <si>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</si>
  <si>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</si>
  <si>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</si>
  <si>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</si>
  <si>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</si>
  <si>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</si>
  <si>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</si>
  <si>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</si>
  <si>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</si>
  <si>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</si>
  <si>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</si>
  <si>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</si>
  <si>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</si>
  <si>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</si>
  <si>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</si>
  <si>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</si>
  <si>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</si>
  <si>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</si>
  <si>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</si>
  <si>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</si>
  <si>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</si>
  <si>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</si>
  <si>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</si>
  <si>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</si>
  <si>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</si>
  <si>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</si>
  <si>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</si>
  <si>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</si>
  <si>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</si>
  <si>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</si>
  <si>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</si>
  <si>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</si>
  <si>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</si>
  <si>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</si>
  <si>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</si>
  <si>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</si>
  <si>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</si>
  <si>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</si>
  <si>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</si>
  <si>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</si>
  <si>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</si>
  <si>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</si>
  <si>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</si>
  <si>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</si>
  <si>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</si>
  <si>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</si>
  <si>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</si>
  <si>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</si>
  <si>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</si>
  <si>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</si>
  <si>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</si>
  <si>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</si>
  <si>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</si>
  <si>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</si>
  <si>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</si>
  <si>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</si>
  <si>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</si>
  <si>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</si>
  <si>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</si>
  <si>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</si>
  <si>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</si>
  <si>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</si>
  <si>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</si>
  <si>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</si>
  <si>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</si>
  <si>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</si>
  <si>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</si>
  <si>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</si>
  <si>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</si>
  <si>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</si>
  <si>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</si>
  <si>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</si>
  <si>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</si>
  <si>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</si>
  <si>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</si>
  <si>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</si>
  <si>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</si>
  <si>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</si>
  <si>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</si>
  <si>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</si>
  <si>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</si>
  <si>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</si>
  <si>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</si>
  <si>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</si>
  <si>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</si>
  <si>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</si>
  <si>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</si>
  <si>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</si>
  <si>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</si>
  <si>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</si>
  <si>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</si>
  <si>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</si>
  <si>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</si>
  <si>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</si>
  <si>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</si>
  <si>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</si>
  <si>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</si>
  <si>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</si>
  <si>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</si>
  <si>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</si>
  <si>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</si>
  <si>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</si>
  <si>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</si>
  <si>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</si>
  <si>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</si>
  <si>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</si>
  <si>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</si>
  <si>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</si>
  <si>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</si>
  <si>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</si>
  <si>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</si>
  <si>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</si>
  <si>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</si>
  <si>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</si>
  <si>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</si>
  <si>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</si>
  <si>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</si>
  <si>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</si>
  <si>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</si>
  <si>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</si>
  <si>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</si>
  <si>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</si>
  <si>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</si>
  <si>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</si>
  <si>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</si>
  <si>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</si>
  <si>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</si>
  <si>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</si>
  <si>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</si>
  <si>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</si>
  <si>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</si>
  <si>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</si>
  <si>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</si>
  <si>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</si>
  <si>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</si>
  <si>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</si>
  <si>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</si>
  <si>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</si>
  <si>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</si>
  <si>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</si>
  <si>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</si>
  <si>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</si>
  <si>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</si>
  <si>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</si>
  <si>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</si>
  <si>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</si>
  <si>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</si>
  <si>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</si>
  <si>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</si>
  <si>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</si>
  <si>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</si>
  <si>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</si>
  <si>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</si>
  <si>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</si>
  <si>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</si>
  <si>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</si>
  <si>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</si>
  <si>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</si>
  <si>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</si>
  <si>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</si>
  <si>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</si>
  <si>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</si>
  <si>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</si>
  <si>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</si>
  <si>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</si>
  <si>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</si>
  <si>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</si>
  <si>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</si>
  <si>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</si>
  <si>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</si>
  <si>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</si>
  <si>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</si>
  <si>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</si>
  <si>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</si>
  <si>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</si>
  <si>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</si>
  <si>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</si>
  <si>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</si>
  <si>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</si>
  <si>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</si>
  <si>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</si>
  <si>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</si>
  <si>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</si>
  <si>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</si>
  <si>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</si>
  <si>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</si>
  <si>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</si>
  <si>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</si>
  <si>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</si>
  <si>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</si>
  <si>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</si>
  <si>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</si>
  <si>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</si>
  <si>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</si>
  <si>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</si>
  <si>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</si>
  <si>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</si>
  <si>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</si>
  <si>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</si>
  <si>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</si>
  <si>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</si>
  <si>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</si>
  <si>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</si>
  <si>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</si>
  <si>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</si>
  <si>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</si>
  <si>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</si>
  <si>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</si>
  <si>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</si>
  <si>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</si>
  <si>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</si>
  <si>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</si>
  <si>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</si>
  <si>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</si>
  <si>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</si>
  <si>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</si>
  <si>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</si>
  <si>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</si>
  <si>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</si>
  <si>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</si>
  <si>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</si>
  <si>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</si>
  <si>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</si>
  <si>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</si>
  <si>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</si>
  <si>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</si>
  <si>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</si>
  <si>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</si>
  <si>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</si>
  <si>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</si>
  <si>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</si>
  <si>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</si>
  <si>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</si>
  <si>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</si>
  <si>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</si>
  <si>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</si>
  <si>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</si>
  <si>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</si>
  <si>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</si>
  <si>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</si>
  <si>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</si>
  <si>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</si>
  <si>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</si>
  <si>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</si>
  <si>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</si>
  <si>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</si>
  <si>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</si>
  <si>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</si>
  <si>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</si>
  <si>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</si>
  <si>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</si>
  <si>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</si>
  <si>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</si>
  <si>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</si>
  <si>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</si>
  <si>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</si>
  <si>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</si>
  <si>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</si>
  <si>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</si>
  <si>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</si>
  <si>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</si>
  <si>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</si>
  <si>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</si>
  <si>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</si>
  <si>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</si>
  <si>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</si>
  <si>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</si>
  <si>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</si>
  <si>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</si>
  <si>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</si>
  <si>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</si>
  <si>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</si>
  <si>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</si>
  <si>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</si>
  <si>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</si>
  <si>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</si>
  <si>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</si>
  <si>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</si>
  <si>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</si>
  <si>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</si>
  <si>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</si>
  <si>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</si>
  <si>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</si>
  <si>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</si>
  <si>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</si>
  <si>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</si>
  <si>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</si>
  <si>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</si>
  <si>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</si>
  <si>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</si>
  <si>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</si>
  <si>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</si>
  <si>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</si>
  <si>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</si>
  <si>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</si>
  <si>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</si>
  <si>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</si>
  <si>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</si>
  <si>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</si>
  <si>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</si>
  <si>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</si>
  <si>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</si>
  <si>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</si>
  <si>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</si>
  <si>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</si>
  <si>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</si>
  <si>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</si>
  <si>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</si>
  <si>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</si>
  <si>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</si>
  <si>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</si>
  <si>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</si>
  <si>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</si>
  <si>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</si>
  <si>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</si>
  <si>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</si>
  <si>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</si>
  <si>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</si>
  <si>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</si>
  <si>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</si>
  <si>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</si>
  <si>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</si>
  <si>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</si>
  <si>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</si>
  <si>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</si>
  <si>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</si>
  <si>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</si>
  <si>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</si>
  <si>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</si>
  <si>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</si>
  <si>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</si>
  <si>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</si>
  <si>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</si>
  <si>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</si>
  <si>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</si>
  <si>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</si>
  <si>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</si>
  <si>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</si>
  <si>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</si>
  <si>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</si>
  <si>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</si>
  <si>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</si>
  <si>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</si>
  <si>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</si>
  <si>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</si>
  <si>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</si>
  <si>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</si>
  <si>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</si>
  <si>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</si>
  <si>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</si>
  <si>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</si>
  <si>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</si>
  <si>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</si>
  <si>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</si>
  <si>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</si>
  <si>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</si>
  <si>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</si>
  <si>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</si>
  <si>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</si>
  <si>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</si>
  <si>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</si>
  <si>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</si>
  <si>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</si>
  <si>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</si>
  <si>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</si>
  <si>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</si>
  <si>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</si>
  <si>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</si>
  <si>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</si>
  <si>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</si>
  <si>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</si>
  <si>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</si>
  <si>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</si>
  <si>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</si>
  <si>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</si>
  <si>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</si>
  <si>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</si>
  <si>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</si>
  <si>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</si>
  <si>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</si>
  <si>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</si>
  <si>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STEPHENSON</t>
  </si>
  <si>
    <t>501 E. SOUTH STREET</t>
  </si>
  <si>
    <t xml:space="preserve">FREEPORT  </t>
  </si>
  <si>
    <t>X</t>
  </si>
  <si>
    <t>815-232-0300</t>
  </si>
  <si>
    <t>815-235-4177</t>
  </si>
  <si>
    <t>MATTHEW J. SCHUELER</t>
  </si>
  <si>
    <t>WIPFLI LLP</t>
  </si>
  <si>
    <t>Limited Tax Capital Appreciation School Bond, Series 2003</t>
  </si>
  <si>
    <t>Limited Refunding School Bonds, Series 2010B</t>
  </si>
  <si>
    <t>G.O. Refunding Limited School Bonds, Series 2014</t>
  </si>
  <si>
    <t>G.O. Refunding Limited School Bonds, Series 2018A</t>
  </si>
  <si>
    <t>G.O. Refunding Limited School Bonds, Series 2018B</t>
  </si>
  <si>
    <t>career tech</t>
  </si>
  <si>
    <t>Patrick McDermott</t>
  </si>
  <si>
    <t>patrick.mcdermott@fsd145.org</t>
  </si>
  <si>
    <t>US DEPARTMENT OF AGRICULTURE</t>
  </si>
  <si>
    <t>Through Illinois State Board of Education</t>
  </si>
  <si>
    <t xml:space="preserve"> Dept. of Defense Fruits &amp; Vegetables Program</t>
  </si>
  <si>
    <t xml:space="preserve"> Non-cash Food Commodities Program</t>
  </si>
  <si>
    <t xml:space="preserve"> National School Lunch Program</t>
  </si>
  <si>
    <t xml:space="preserve"> School Breakfast Program</t>
  </si>
  <si>
    <t xml:space="preserve"> Summer Food Service</t>
  </si>
  <si>
    <t xml:space="preserve">   Total Child Nutrition Cluster</t>
  </si>
  <si>
    <t xml:space="preserve">   Total Department of Agriculture</t>
  </si>
  <si>
    <t>17-4210-00</t>
  </si>
  <si>
    <t>18-4210-00</t>
  </si>
  <si>
    <t>19-4210-00</t>
  </si>
  <si>
    <t>17-4220-00</t>
  </si>
  <si>
    <t>18-4220-00</t>
  </si>
  <si>
    <t>17-4225-00</t>
  </si>
  <si>
    <t>18-4225-00</t>
  </si>
  <si>
    <t>19-4425-00</t>
  </si>
  <si>
    <t>US DEPARTMENT OF DEFENSE</t>
  </si>
  <si>
    <t xml:space="preserve"> Naval Junior Reserve Officer Training Corp</t>
  </si>
  <si>
    <t xml:space="preserve">    TOTAL US DEPARTMENT OF DEFENSE</t>
  </si>
  <si>
    <t>US DEPARTMENT OF EDUCATION</t>
  </si>
  <si>
    <t xml:space="preserve"> Through Illinois State Board of Education</t>
  </si>
  <si>
    <t xml:space="preserve">  Title II- Teacher Quality</t>
  </si>
  <si>
    <t>84.010A</t>
  </si>
  <si>
    <t>19-4220-00</t>
  </si>
  <si>
    <t>N/A</t>
  </si>
  <si>
    <t xml:space="preserve">  Title I - Low Income  (M)</t>
  </si>
  <si>
    <t xml:space="preserve">  Title I - School Improvement and Accountability  (M)</t>
  </si>
  <si>
    <t xml:space="preserve">       Total Low Income Cluster</t>
  </si>
  <si>
    <t xml:space="preserve">     Total Title II Teacher Quality</t>
  </si>
  <si>
    <t>84.367A</t>
  </si>
  <si>
    <t>4418A18DDJROTC</t>
  </si>
  <si>
    <t>4418A19DDJROTC</t>
  </si>
  <si>
    <t>17-4300-00</t>
  </si>
  <si>
    <t>18-4300-00</t>
  </si>
  <si>
    <t>19-4300-00</t>
  </si>
  <si>
    <t>19-4331-00</t>
  </si>
  <si>
    <t>17-4932-00</t>
  </si>
  <si>
    <t>18-4932-00</t>
  </si>
  <si>
    <t>19-4932-00</t>
  </si>
  <si>
    <t>US DEPARTMENT OF EDUCATION (CONTINUED)</t>
  </si>
  <si>
    <t xml:space="preserve">  Through Illlinois State Board of Education (Continued)</t>
  </si>
  <si>
    <t xml:space="preserve">  Title V- Rural Edcuation Initiative</t>
  </si>
  <si>
    <t>84.358B</t>
  </si>
  <si>
    <t>19-4107-00</t>
  </si>
  <si>
    <t xml:space="preserve">  Title III- Lang.Inst.Prog-Limited Eng. Prog</t>
  </si>
  <si>
    <t>84.365A</t>
  </si>
  <si>
    <t>18-4909-00</t>
  </si>
  <si>
    <t xml:space="preserve">  Title III- Immigrant Education Program</t>
  </si>
  <si>
    <t>18-4905-00</t>
  </si>
  <si>
    <t>19-4905-00</t>
  </si>
  <si>
    <t>19-4909-00</t>
  </si>
  <si>
    <t xml:space="preserve">  Fed Sp Ed - Room &amp; Board Flow Through</t>
  </si>
  <si>
    <t xml:space="preserve">  Fed Sp Ed - Preschool Flow Through</t>
  </si>
  <si>
    <t>84.027A</t>
  </si>
  <si>
    <t>17-4625-00</t>
  </si>
  <si>
    <t>18-4625-00</t>
  </si>
  <si>
    <t>19-4625-00</t>
  </si>
  <si>
    <t>84.173A</t>
  </si>
  <si>
    <t>18-4600-00</t>
  </si>
  <si>
    <t>19-4600-00</t>
  </si>
  <si>
    <t xml:space="preserve">  Fed Sp Ed - IDEA Flow Through</t>
  </si>
  <si>
    <t>18-4620-00</t>
  </si>
  <si>
    <t>19-4620-00</t>
  </si>
  <si>
    <t xml:space="preserve">     Total Special Education Cluster</t>
  </si>
  <si>
    <t xml:space="preserve">  Through Career &amp; Technical Educ Consortium  08-089-7230-45</t>
  </si>
  <si>
    <t>84.048A</t>
  </si>
  <si>
    <t>18-4745-00</t>
  </si>
  <si>
    <t xml:space="preserve">   CTE Perkins Title IIC- Secondary</t>
  </si>
  <si>
    <t>19-4745-00</t>
  </si>
  <si>
    <t xml:space="preserve">  Though Illinois Department of Human Services</t>
  </si>
  <si>
    <t xml:space="preserve">    Department of Rehab</t>
  </si>
  <si>
    <t>18-4950</t>
  </si>
  <si>
    <t>19-4950</t>
  </si>
  <si>
    <t>TOTAL US DEPARTMENT OF EDUCATION</t>
  </si>
  <si>
    <t>US DEPARTMENT OF HEALTH &amp; HUMAN SERVICES</t>
  </si>
  <si>
    <t xml:space="preserve"> Through IL Dept of Healthcare &amp; Family Services</t>
  </si>
  <si>
    <t xml:space="preserve"> Through Hawthorne &amp; Associates</t>
  </si>
  <si>
    <t xml:space="preserve"> Through Northwestern IL Association</t>
  </si>
  <si>
    <t xml:space="preserve">    Medical Assistance Program</t>
  </si>
  <si>
    <t>TOTAL US DEPT OF HEALTH &amp; HUMAN SERVICES</t>
  </si>
  <si>
    <t>TOTAL FEDERAL AWARDS</t>
  </si>
  <si>
    <t>18-4991-00</t>
  </si>
  <si>
    <t>19-4991-00</t>
  </si>
  <si>
    <t>The accompanying Schedule of Expenditures of Federal Awards includes the federal grant activity of Freeport School District and is presented on the modified accural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</si>
  <si>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</si>
  <si>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no</t>
  </si>
  <si>
    <t>Unmodified</t>
  </si>
  <si>
    <t>Title I- Low Income</t>
  </si>
  <si>
    <t>Management is responsible for establishing and maintaining internal controls and for the fair presentation of the financial statements including related note disclosures, in conformity with generally accepted accounting principles.</t>
  </si>
  <si>
    <t>The District does not have an internal control policy in place over annual financial reporting that would enable management to prepare its annual financial statements and ensure related footnote disclosures are complete and presented in accordance with generally accepted accounting principles</t>
  </si>
  <si>
    <t>Management has informed us that they do not have an internal control policy in place over the annual financial statement including footnote disclosures</t>
  </si>
  <si>
    <t>The completeness of the financial statement disclosures and the accuracy of the overall financial presentation is negatively impacted as external auidtors do not have the same comprehensive understanding of the District as its internal staff</t>
  </si>
  <si>
    <t>The District relies on the audit firm to prepare the annual financial statements and disclosures.  However, they have reviewed and approved the annual financial statements and related footnote disclosures</t>
  </si>
  <si>
    <t>Management should continue to review and approve the annual financial statements and the related disclosures</t>
  </si>
  <si>
    <t>The District will continue to review the financial statements and required footnotes prepared by the auditors.  The District believes this process to be the most economical and appropriate to help ensure complete and proper financial reporting</t>
  </si>
  <si>
    <t>The District lacks proper segregation of duties in the payroll area</t>
  </si>
  <si>
    <t>District has limited number of personnel to permit adequate segregation of duties</t>
  </si>
  <si>
    <t>Inadequate segregation of duties</t>
  </si>
  <si>
    <t>Limited number of staff</t>
  </si>
  <si>
    <t>The District should consider whether it would be possible to have another individual submit the payroll for processing</t>
  </si>
  <si>
    <t>Agree with the auditor recommendation.  The District will consider the possibility of segregating the payroll function</t>
  </si>
  <si>
    <t>none</t>
  </si>
  <si>
    <t>2018-001</t>
  </si>
  <si>
    <t>Lack of understanding of US GAAP for footnote preparation</t>
  </si>
  <si>
    <t>Still exists- See finding 2019-001</t>
  </si>
  <si>
    <t>2018-002</t>
  </si>
  <si>
    <t>Still exists- See finding 2019-002</t>
  </si>
  <si>
    <t>2018-003</t>
  </si>
  <si>
    <t>District overexpended its budget</t>
  </si>
  <si>
    <t>2017-001</t>
  </si>
  <si>
    <t>2017-002</t>
  </si>
  <si>
    <t>Still exists- see finding 2019-001</t>
  </si>
  <si>
    <t>Still exists- see finding 2019-002</t>
  </si>
  <si>
    <t>District has a limited number of personnel to permit adequate segregation of duties</t>
  </si>
  <si>
    <t>medicaid outreach revenue reported on sefa to reconcile to HFS confirmation</t>
  </si>
  <si>
    <t>Education fund other current assets line 12; $6224 deposit claim reserve</t>
  </si>
  <si>
    <t>The District has excess of expenditures over budget in the Education, Bond &amp; interest and Transportation Funds</t>
  </si>
  <si>
    <t>The funds overspent the District's legally adopted budget</t>
  </si>
  <si>
    <t>The District is not in compliance with 105 ILCS 5 School Code</t>
  </si>
  <si>
    <t>The District had an excess of expenditures over budget.  The largest cause was the combining of the insurance fund with the Education fund for AFR purposes</t>
  </si>
  <si>
    <t>The District should consider amending its budget in the future when excesses are expected</t>
  </si>
  <si>
    <t>Agree with the auditor recommendation.  The District will consider amending the budget in the future</t>
  </si>
  <si>
    <t>Education fund function 3999- special education orphanage, library grant and misc state grants</t>
  </si>
  <si>
    <t>Education fund function 4090- ROTC naval</t>
  </si>
  <si>
    <t>Education fund function 4799- Perkins III</t>
  </si>
  <si>
    <t>Education fund function 4999- Department of Rehabilitation</t>
  </si>
  <si>
    <t>Education and IMRF funds function 2190- Classroom and playground monitors</t>
  </si>
  <si>
    <t>Education and IMRF funds function 2490- deans and instructional leadership</t>
  </si>
  <si>
    <t>Education and IMRF funds function 2900- parent mentors</t>
  </si>
  <si>
    <t>Transportation fund function 2900- custodians</t>
  </si>
  <si>
    <t>14.  AFR submitted late due to turnover in audit firm and fixed asset reporting needing to be updated by outside firm</t>
  </si>
  <si>
    <t>Other changes in fund balance- the education fund balance was decreased by $230,088 to account for an error in the prior year when combining the liability for claims payable in the Insurance fund with the other funds for AFR reporting</t>
  </si>
  <si>
    <t>Capital projects fund function 7990- other sources- transfer of bond money to fund fund future capital projects</t>
  </si>
  <si>
    <t>O&amp;M fund function 8990- other sources- transfer of bond money to fund fund future capital projects</t>
  </si>
  <si>
    <r>
      <t xml:space="preserve">The following amounts were expended in the form of non-cash assistance by Freeport School District #145 and </t>
    </r>
    <r>
      <rPr>
        <b/>
        <sz val="9"/>
        <rFont val="Calibri"/>
        <family val="2"/>
        <scheme val="minor"/>
      </rPr>
      <t>should be</t>
    </r>
    <r>
      <rPr>
        <sz val="9"/>
        <rFont val="Calibri"/>
        <family val="2"/>
        <scheme val="minor"/>
      </rPr>
      <t xml:space="preserve"> included in the Schedule of Expenditures of Federal Awards:</t>
    </r>
  </si>
  <si>
    <t>Education fund function 1993- other local fees</t>
  </si>
  <si>
    <t>see attachment page for signature</t>
  </si>
  <si>
    <t>Freeport SD 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</si>
</sst>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4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38" fontId="55" fillId="0" borderId="2" xfId="9" applyNumberFormat="1" applyFont="1" applyFill="1" applyBorder="1" applyAlignment="1" applyProtection="1">
      <alignment horizontal="right" vertical="center"/>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7000000}"/>
    <cellStyle name="Normal 3 2 3" xfId="25" xr:uid="{00000000-0005-0000-0000-000006000000}"/>
    <cellStyle name="Normal 3 2 4" xfId="20" xr:uid="{00000000-0005-0000-0000-000006000000}"/>
    <cellStyle name="Normal 3 3" xfId="24" xr:uid="{00000000-0005-0000-0000-000005000000}"/>
    <cellStyle name="Normal 3 4" xfId="19" xr:uid="{00000000-0005-0000-0000-000005000000}"/>
    <cellStyle name="Normal 4" xfId="16" xr:uid="{00000000-0005-0000-0000-000008000000}"/>
    <cellStyle name="Normal 4 2" xfId="26" xr:uid="{00000000-0005-0000-0000-000007000000}"/>
    <cellStyle name="Normal 4 3" xfId="21" xr:uid="{00000000-0005-0000-0000-000008000000}"/>
    <cellStyle name="Normal 5" xfId="17" xr:uid="{00000000-0005-0000-0000-000009000000}"/>
    <cellStyle name="Normal 5 2" xfId="22"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277091</xdr:colOff>
          <xdr:row>1</xdr:row>
          <xdr:rowOff>86590</xdr:rowOff>
        </xdr:from>
        <xdr:to>
          <xdr:col>1</xdr:col>
          <xdr:colOff>1191491</xdr:colOff>
          <xdr:row>5</xdr:row>
          <xdr:rowOff>124690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1402773</xdr:colOff>
          <xdr:row>1</xdr:row>
          <xdr:rowOff>95250</xdr:rowOff>
        </xdr:from>
        <xdr:to>
          <xdr:col>1</xdr:col>
          <xdr:colOff>2317173</xdr:colOff>
          <xdr:row>5</xdr:row>
          <xdr:rowOff>133349</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3" t="s">
        <v>405</v>
      </c>
      <c r="J1" s="2024"/>
      <c r="K1" s="2024"/>
      <c r="L1" s="2024"/>
      <c r="M1" s="2024"/>
      <c r="N1" s="2024"/>
      <c r="O1" s="2024"/>
      <c r="P1" s="2024"/>
      <c r="Q1" s="2024"/>
      <c r="R1" s="2024"/>
      <c r="S1" s="2024"/>
    </row>
    <row r="2" spans="1:28" ht="12" customHeight="1" x14ac:dyDescent="0.2">
      <c r="A2" s="47" t="s">
        <v>1991</v>
      </c>
      <c r="D2" s="48"/>
      <c r="I2" s="2025" t="s">
        <v>979</v>
      </c>
      <c r="J2" s="2024"/>
      <c r="K2" s="2024"/>
      <c r="L2" s="2024"/>
      <c r="M2" s="2024"/>
      <c r="N2" s="2024"/>
      <c r="O2" s="2024"/>
      <c r="P2" s="2024"/>
      <c r="Q2" s="2024"/>
      <c r="R2" s="2024"/>
      <c r="S2" s="2024"/>
    </row>
    <row r="3" spans="1:28" ht="12" customHeight="1" x14ac:dyDescent="0.2">
      <c r="A3" s="155" t="s">
        <v>1943</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t="s">
        <v>2070</v>
      </c>
      <c r="C5" s="26" t="s">
        <v>910</v>
      </c>
      <c r="D5" s="84"/>
      <c r="E5" s="84"/>
      <c r="H5" s="38"/>
      <c r="I5" s="2032" t="s">
        <v>680</v>
      </c>
      <c r="J5" s="1977"/>
      <c r="K5" s="1977"/>
      <c r="L5" s="1977"/>
      <c r="M5" s="1977"/>
      <c r="N5" s="1977"/>
      <c r="O5" s="1977"/>
      <c r="P5" s="1977"/>
      <c r="Q5" s="1977"/>
      <c r="R5" s="1977"/>
      <c r="S5" s="1977"/>
    </row>
    <row r="6" spans="1:28" ht="14.1" customHeight="1" x14ac:dyDescent="0.2">
      <c r="B6" s="104"/>
      <c r="C6" s="26" t="s">
        <v>911</v>
      </c>
      <c r="D6" s="84"/>
      <c r="E6" s="84"/>
      <c r="I6" s="2031" t="s">
        <v>883</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3" t="s">
        <v>533</v>
      </c>
      <c r="U9" s="1974"/>
      <c r="V9" s="1974"/>
      <c r="W9" s="1974"/>
      <c r="X9" s="1974"/>
      <c r="Y9" s="1974"/>
      <c r="Z9" s="1974"/>
      <c r="AA9" s="1975"/>
    </row>
    <row r="10" spans="1:28" ht="13.5" customHeight="1" x14ac:dyDescent="0.2">
      <c r="A10" s="1982" t="s">
        <v>675</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955</v>
      </c>
      <c r="B11" s="1986"/>
      <c r="C11" s="1986"/>
      <c r="D11" s="1986"/>
      <c r="E11" s="1986"/>
      <c r="F11" s="1986"/>
      <c r="G11" s="1986"/>
      <c r="H11" s="1987"/>
      <c r="I11" s="27"/>
      <c r="J11" s="74"/>
      <c r="K11" s="27"/>
      <c r="O11" s="148"/>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t="s">
        <v>2074</v>
      </c>
      <c r="P12" s="100" t="s">
        <v>202</v>
      </c>
      <c r="Q12" s="74"/>
      <c r="R12" s="30"/>
      <c r="S12" s="30"/>
      <c r="T12" s="85" t="s">
        <v>265</v>
      </c>
      <c r="U12" s="51"/>
      <c r="V12" s="51"/>
      <c r="W12" s="51"/>
      <c r="X12" s="51"/>
      <c r="Y12" s="45"/>
      <c r="Z12" s="45"/>
      <c r="AA12" s="46"/>
    </row>
    <row r="13" spans="1:28" ht="13.5" customHeight="1" x14ac:dyDescent="0.2">
      <c r="A13" s="1993">
        <v>8089145022</v>
      </c>
      <c r="B13" s="1994"/>
      <c r="C13" s="1994"/>
      <c r="D13" s="1994"/>
      <c r="E13" s="1994"/>
      <c r="F13" s="1994"/>
      <c r="G13" s="1994"/>
      <c r="H13" s="1995"/>
      <c r="I13" s="31"/>
      <c r="J13" s="30"/>
      <c r="K13" s="28"/>
      <c r="L13" s="30"/>
      <c r="M13" s="30"/>
      <c r="N13" s="30"/>
      <c r="O13" s="30"/>
      <c r="P13" s="30"/>
      <c r="Q13" s="30"/>
      <c r="R13" s="30"/>
      <c r="S13" s="30"/>
      <c r="T13" s="1998" t="s">
        <v>2078</v>
      </c>
      <c r="U13" s="1999"/>
      <c r="V13" s="1999"/>
      <c r="W13" s="1999"/>
      <c r="X13" s="1999"/>
      <c r="Y13" s="2000"/>
      <c r="Z13" s="2000"/>
      <c r="AA13" s="20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1" t="s">
        <v>2071</v>
      </c>
      <c r="B15" s="1996"/>
      <c r="C15" s="1996"/>
      <c r="D15" s="1996"/>
      <c r="E15" s="1996"/>
      <c r="F15" s="1996"/>
      <c r="G15" s="1996"/>
      <c r="H15" s="1997"/>
      <c r="T15" s="1959" t="s">
        <v>2077</v>
      </c>
      <c r="U15" s="1960"/>
      <c r="V15" s="1960"/>
      <c r="W15" s="1960"/>
      <c r="X15" s="1960"/>
      <c r="Y15" s="2002"/>
      <c r="Z15" s="2002"/>
      <c r="AA15" s="20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1" t="s">
        <v>2225</v>
      </c>
      <c r="B17" s="2021"/>
      <c r="C17" s="2021"/>
      <c r="D17" s="2021"/>
      <c r="E17" s="2021"/>
      <c r="F17" s="2021"/>
      <c r="G17" s="2021"/>
      <c r="H17" s="2022"/>
      <c r="T17" s="2008" t="s">
        <v>2063</v>
      </c>
      <c r="U17" s="2009"/>
      <c r="V17" s="2009"/>
      <c r="W17" s="2009"/>
      <c r="X17" s="2009"/>
      <c r="Y17" s="2009"/>
      <c r="Z17" s="2009"/>
      <c r="AA17" s="2010"/>
    </row>
    <row r="18" spans="1:27" ht="13.5" customHeight="1" x14ac:dyDescent="0.2">
      <c r="A18" s="85" t="s">
        <v>530</v>
      </c>
      <c r="B18" s="76"/>
      <c r="C18" s="72"/>
      <c r="D18" s="76"/>
      <c r="E18" s="76"/>
      <c r="F18" s="76"/>
      <c r="G18" s="76"/>
      <c r="H18" s="56"/>
      <c r="I18" s="2018" t="s">
        <v>676</v>
      </c>
      <c r="J18" s="2019"/>
      <c r="K18" s="2019"/>
      <c r="L18" s="2019"/>
      <c r="M18" s="2019"/>
      <c r="N18" s="2019"/>
      <c r="O18" s="2019"/>
      <c r="P18" s="2019"/>
      <c r="Q18" s="2019"/>
      <c r="R18" s="2019"/>
      <c r="S18" s="2020"/>
      <c r="T18" s="85" t="s">
        <v>711</v>
      </c>
      <c r="U18" s="51"/>
      <c r="V18" s="72"/>
      <c r="W18" s="50"/>
      <c r="X18" s="85" t="s">
        <v>266</v>
      </c>
      <c r="Y18" s="81"/>
      <c r="Z18" s="159" t="s">
        <v>677</v>
      </c>
      <c r="AA18" s="46"/>
    </row>
    <row r="19" spans="1:27" ht="13.5" customHeight="1" x14ac:dyDescent="0.2">
      <c r="A19" s="1991" t="s">
        <v>2072</v>
      </c>
      <c r="B19" s="1992"/>
      <c r="C19" s="1992"/>
      <c r="D19" s="1992"/>
      <c r="E19" s="1992"/>
      <c r="F19" s="1992"/>
      <c r="G19" s="1992"/>
      <c r="H19" s="1990"/>
      <c r="I19" s="30"/>
      <c r="J19" s="99"/>
      <c r="K19" s="40"/>
      <c r="L19" s="38"/>
      <c r="M19" s="112" t="s">
        <v>315</v>
      </c>
      <c r="P19" s="27"/>
      <c r="Q19" s="27"/>
      <c r="R19" s="27"/>
      <c r="S19" s="31"/>
      <c r="T19" s="1991" t="s">
        <v>2064</v>
      </c>
      <c r="U19" s="1989"/>
      <c r="V19" s="1989"/>
      <c r="W19" s="1990"/>
      <c r="X19" s="2006" t="s">
        <v>2065</v>
      </c>
      <c r="Y19" s="2007"/>
      <c r="Z19" s="2004">
        <v>61081</v>
      </c>
      <c r="AA19" s="20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8" t="s">
        <v>2073</v>
      </c>
      <c r="B21" s="1989"/>
      <c r="C21" s="1989"/>
      <c r="D21" s="1989"/>
      <c r="E21" s="1989"/>
      <c r="F21" s="1989"/>
      <c r="G21" s="1989"/>
      <c r="H21" s="1990"/>
      <c r="I21" s="2014" t="s">
        <v>678</v>
      </c>
      <c r="J21" s="1977"/>
      <c r="K21" s="1977"/>
      <c r="L21" s="1977"/>
      <c r="M21" s="1977"/>
      <c r="N21" s="1977"/>
      <c r="O21" s="1977"/>
      <c r="P21" s="1977"/>
      <c r="Q21" s="1977"/>
      <c r="R21" s="1977"/>
      <c r="S21" s="1978"/>
      <c r="T21" s="1956" t="s">
        <v>2066</v>
      </c>
      <c r="U21" s="1957"/>
      <c r="V21" s="1957"/>
      <c r="W21" s="1957"/>
      <c r="X21" s="1970" t="s">
        <v>2067</v>
      </c>
      <c r="Y21" s="1971"/>
      <c r="Z21" s="1971"/>
      <c r="AA21" s="1972"/>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1"/>
      <c r="B23" s="2012"/>
      <c r="C23" s="2012"/>
      <c r="D23" s="2012"/>
      <c r="E23" s="2012"/>
      <c r="F23" s="2012"/>
      <c r="G23" s="2012"/>
      <c r="H23" s="2013"/>
      <c r="T23" s="1951" t="s">
        <v>2068</v>
      </c>
      <c r="U23" s="1952"/>
      <c r="V23" s="1952"/>
      <c r="W23" s="1952"/>
      <c r="X23" s="1967">
        <v>44530</v>
      </c>
      <c r="Y23" s="1968"/>
      <c r="Z23" s="1968"/>
      <c r="AA23" s="1969"/>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8">
        <v>61032</v>
      </c>
      <c r="B25" s="1989"/>
      <c r="C25" s="1989"/>
      <c r="D25" s="1989"/>
      <c r="E25" s="1989"/>
      <c r="F25" s="1989"/>
      <c r="G25" s="1989"/>
      <c r="H25" s="1990"/>
      <c r="I25" s="113"/>
      <c r="J25" s="2055"/>
      <c r="K25" s="2055"/>
      <c r="L25" s="2055"/>
      <c r="M25" s="2055"/>
      <c r="N25" s="2055"/>
      <c r="O25" s="2055"/>
      <c r="P25" s="2055"/>
      <c r="Q25" s="2055"/>
      <c r="R25" s="2055"/>
      <c r="S25" s="2056"/>
      <c r="T25" s="1948" t="s">
        <v>2069</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2074</v>
      </c>
      <c r="F29" s="141" t="s">
        <v>1316</v>
      </c>
      <c r="G29" s="114"/>
      <c r="I29" s="54"/>
      <c r="J29" s="148" t="s">
        <v>2074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2074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1" t="s">
        <v>2085</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2086</v>
      </c>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2075</v>
      </c>
      <c r="B42" s="2038"/>
      <c r="C42" s="2039"/>
      <c r="D42" s="2052" t="s">
        <v>2076</v>
      </c>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1800</v>
      </c>
      <c r="B2" s="1528" t="s">
        <v>1949</v>
      </c>
      <c r="C2" s="714" t="s">
        <v>1950</v>
      </c>
      <c r="D2" s="714" t="s">
        <v>1951</v>
      </c>
      <c r="E2" s="714" t="s">
        <v>1952</v>
      </c>
      <c r="F2" s="714" t="s">
        <v>1953</v>
      </c>
    </row>
    <row r="3" spans="1:6" ht="12" customHeight="1" x14ac:dyDescent="0.2">
      <c r="A3" s="2191"/>
      <c r="B3" s="1525"/>
      <c r="C3" s="1526"/>
      <c r="D3" s="1527" t="s">
        <v>256</v>
      </c>
      <c r="E3" s="1526"/>
      <c r="F3" s="1527" t="s">
        <v>257</v>
      </c>
    </row>
    <row r="4" spans="1:6" ht="13.7" customHeight="1" x14ac:dyDescent="0.2">
      <c r="A4" s="715" t="s">
        <v>1155</v>
      </c>
      <c r="B4" s="1749">
        <f>'Revenues 9-14'!C5</f>
        <v>11894256</v>
      </c>
      <c r="C4" s="1524"/>
      <c r="D4" s="1752">
        <f>B4-C4</f>
        <v>11894256</v>
      </c>
      <c r="E4" s="1524">
        <v>11992206</v>
      </c>
      <c r="F4" s="1752">
        <f>E4-C4</f>
        <v>11992206</v>
      </c>
    </row>
    <row r="5" spans="1:6" ht="13.7" customHeight="1" x14ac:dyDescent="0.2">
      <c r="A5" s="715" t="s">
        <v>870</v>
      </c>
      <c r="B5" s="1750">
        <f>'Revenues 9-14'!D5</f>
        <v>2204117</v>
      </c>
      <c r="C5" s="585"/>
      <c r="D5" s="1753">
        <f t="shared" ref="D5:D18" si="0">B5-C5</f>
        <v>2204117</v>
      </c>
      <c r="E5" s="585">
        <v>2221920</v>
      </c>
      <c r="F5" s="1753">
        <f>E5-C5</f>
        <v>2221920</v>
      </c>
    </row>
    <row r="6" spans="1:6" ht="13.7" customHeight="1" x14ac:dyDescent="0.2">
      <c r="A6" s="715" t="s">
        <v>411</v>
      </c>
      <c r="B6" s="1750">
        <f>'Revenues 9-14'!E5</f>
        <v>2684233</v>
      </c>
      <c r="C6" s="585"/>
      <c r="D6" s="1753">
        <f t="shared" si="0"/>
        <v>2684233</v>
      </c>
      <c r="E6" s="585">
        <v>2760573</v>
      </c>
      <c r="F6" s="1753">
        <f t="shared" ref="F6:F18" si="1">E6-C6</f>
        <v>2760573</v>
      </c>
    </row>
    <row r="7" spans="1:6" ht="13.7" customHeight="1" x14ac:dyDescent="0.2">
      <c r="A7" s="715" t="s">
        <v>155</v>
      </c>
      <c r="B7" s="1750">
        <f>'Revenues 9-14'!F5</f>
        <v>1699293</v>
      </c>
      <c r="C7" s="585"/>
      <c r="D7" s="1753">
        <f t="shared" si="0"/>
        <v>1699293</v>
      </c>
      <c r="E7" s="585">
        <v>1700035</v>
      </c>
      <c r="F7" s="1753">
        <f t="shared" si="1"/>
        <v>1700035</v>
      </c>
    </row>
    <row r="8" spans="1:6" ht="13.7" customHeight="1" x14ac:dyDescent="0.2">
      <c r="A8" s="715" t="s">
        <v>1179</v>
      </c>
      <c r="B8" s="1750">
        <f>'Revenues 9-14'!G5</f>
        <v>739680</v>
      </c>
      <c r="C8" s="585"/>
      <c r="D8" s="1753">
        <f t="shared" si="0"/>
        <v>739680</v>
      </c>
      <c r="E8" s="585">
        <v>740018</v>
      </c>
      <c r="F8" s="1753">
        <f t="shared" si="1"/>
        <v>740018</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99966</v>
      </c>
      <c r="C10" s="585"/>
      <c r="D10" s="1753">
        <f t="shared" si="0"/>
        <v>99966</v>
      </c>
      <c r="E10" s="585">
        <v>100016</v>
      </c>
      <c r="F10" s="1753">
        <f t="shared" si="1"/>
        <v>100016</v>
      </c>
    </row>
    <row r="11" spans="1:6" x14ac:dyDescent="0.2">
      <c r="A11" s="715" t="s">
        <v>409</v>
      </c>
      <c r="B11" s="1750">
        <f>'Revenues 9-14'!J5</f>
        <v>709711</v>
      </c>
      <c r="C11" s="585"/>
      <c r="D11" s="1753">
        <f t="shared" si="0"/>
        <v>709711</v>
      </c>
      <c r="E11" s="585">
        <v>710007</v>
      </c>
      <c r="F11" s="1753">
        <f t="shared" si="1"/>
        <v>710007</v>
      </c>
    </row>
    <row r="12" spans="1:6" ht="13.7" customHeight="1" x14ac:dyDescent="0.2">
      <c r="A12" s="715" t="s">
        <v>157</v>
      </c>
      <c r="B12" s="1750">
        <f>'Revenues 9-14'!K5</f>
        <v>149960</v>
      </c>
      <c r="C12" s="585"/>
      <c r="D12" s="1753">
        <f t="shared" si="0"/>
        <v>149960</v>
      </c>
      <c r="E12" s="585">
        <v>150024</v>
      </c>
      <c r="F12" s="1753">
        <f t="shared" si="1"/>
        <v>150024</v>
      </c>
    </row>
    <row r="13" spans="1:6" ht="13.7" customHeight="1" x14ac:dyDescent="0.2">
      <c r="A13" s="715" t="s">
        <v>936</v>
      </c>
      <c r="B13" s="1750">
        <f>SUM('Revenues 9-14'!C6:D6)</f>
        <v>149960</v>
      </c>
      <c r="C13" s="585"/>
      <c r="D13" s="1753">
        <f t="shared" si="0"/>
        <v>149960</v>
      </c>
      <c r="E13" s="585">
        <v>150024</v>
      </c>
      <c r="F13" s="1753">
        <f t="shared" si="1"/>
        <v>150024</v>
      </c>
    </row>
    <row r="14" spans="1:6" ht="13.7" customHeight="1" x14ac:dyDescent="0.2">
      <c r="A14" s="715" t="s">
        <v>410</v>
      </c>
      <c r="B14" s="1750">
        <f>SUM('Revenues 9-14'!C7:D7,'Revenues 9-14'!F7:H7)</f>
        <v>1999144</v>
      </c>
      <c r="C14" s="585"/>
      <c r="D14" s="1753">
        <f t="shared" si="0"/>
        <v>1999144</v>
      </c>
      <c r="E14" s="585">
        <v>2000024</v>
      </c>
      <c r="F14" s="1753">
        <f t="shared" si="1"/>
        <v>2000024</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989582</v>
      </c>
      <c r="C16" s="585"/>
      <c r="D16" s="1753">
        <f t="shared" si="0"/>
        <v>989582</v>
      </c>
      <c r="E16" s="585">
        <v>990028</v>
      </c>
      <c r="F16" s="1753">
        <f t="shared" si="1"/>
        <v>990028</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23319902</v>
      </c>
      <c r="C19" s="1751">
        <f>SUM(C4:C18)</f>
        <v>0</v>
      </c>
      <c r="D19" s="1751">
        <f>SUM(D4:D18)</f>
        <v>23319902</v>
      </c>
      <c r="E19" s="1751">
        <f>SUM(E4:E18)</f>
        <v>23514875</v>
      </c>
      <c r="F19" s="1751">
        <f>SUM(F4:F18)</f>
        <v>23514875</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C39" sqref="C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1800</v>
      </c>
      <c r="B2" s="2206"/>
      <c r="C2" s="1884" t="s">
        <v>1954</v>
      </c>
      <c r="D2" s="723" t="s">
        <v>1955</v>
      </c>
      <c r="E2" s="723" t="s">
        <v>1956</v>
      </c>
      <c r="F2" s="1884" t="s">
        <v>1957</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1909</v>
      </c>
      <c r="H30" s="1885" t="s">
        <v>1960</v>
      </c>
      <c r="I30" s="1885" t="s">
        <v>1961</v>
      </c>
      <c r="J30" s="1886" t="s">
        <v>2</v>
      </c>
      <c r="K30" s="731"/>
    </row>
    <row r="31" spans="1:11" ht="12" customHeight="1" x14ac:dyDescent="0.2">
      <c r="A31" s="732" t="s">
        <v>2079</v>
      </c>
      <c r="B31" s="733">
        <v>37714</v>
      </c>
      <c r="C31" s="734">
        <v>20182581</v>
      </c>
      <c r="D31" s="735">
        <v>3</v>
      </c>
      <c r="E31" s="734">
        <v>3004003</v>
      </c>
      <c r="F31" s="734"/>
      <c r="G31" s="734"/>
      <c r="H31" s="734">
        <v>754120</v>
      </c>
      <c r="I31" s="1756">
        <f>((E31+F31)-H31)+G31</f>
        <v>2249883</v>
      </c>
      <c r="J31" s="734">
        <v>98775</v>
      </c>
      <c r="K31" s="736"/>
    </row>
    <row r="32" spans="1:11" ht="12" customHeight="1" x14ac:dyDescent="0.2">
      <c r="A32" s="732" t="s">
        <v>2080</v>
      </c>
      <c r="B32" s="733">
        <v>40400</v>
      </c>
      <c r="C32" s="734">
        <v>4800000</v>
      </c>
      <c r="D32" s="735">
        <v>3</v>
      </c>
      <c r="E32" s="734">
        <v>3860000</v>
      </c>
      <c r="F32" s="734"/>
      <c r="G32" s="734"/>
      <c r="H32" s="734"/>
      <c r="I32" s="1756">
        <f>((E32+F32)-H32)+G32</f>
        <v>3860000</v>
      </c>
      <c r="J32" s="734">
        <v>3860000</v>
      </c>
      <c r="K32" s="736"/>
    </row>
    <row r="33" spans="1:11" ht="12" customHeight="1" x14ac:dyDescent="0.2">
      <c r="A33" s="1938" t="s">
        <v>2081</v>
      </c>
      <c r="B33" s="1939">
        <v>41764</v>
      </c>
      <c r="C33" s="1940">
        <v>4890000</v>
      </c>
      <c r="D33" s="1941">
        <v>6</v>
      </c>
      <c r="E33" s="1940">
        <v>4135000</v>
      </c>
      <c r="F33" s="734"/>
      <c r="G33" s="734"/>
      <c r="H33" s="734">
        <v>240000</v>
      </c>
      <c r="I33" s="1756">
        <f t="shared" ref="I33:I48" si="1">((E33+F33)-H33)+G33</f>
        <v>3895000</v>
      </c>
      <c r="J33" s="734">
        <v>3895000</v>
      </c>
      <c r="K33" s="736"/>
    </row>
    <row r="34" spans="1:11" ht="12" customHeight="1" x14ac:dyDescent="0.2">
      <c r="A34" s="1938" t="s">
        <v>2082</v>
      </c>
      <c r="B34" s="1939">
        <v>43221</v>
      </c>
      <c r="C34" s="1942">
        <v>15285000</v>
      </c>
      <c r="D34" s="1941">
        <v>6</v>
      </c>
      <c r="E34" s="1940">
        <v>15285000</v>
      </c>
      <c r="F34" s="734"/>
      <c r="G34" s="734"/>
      <c r="H34" s="734"/>
      <c r="I34" s="1756">
        <f t="shared" si="1"/>
        <v>15285000</v>
      </c>
      <c r="J34" s="734">
        <v>15285000</v>
      </c>
      <c r="K34" s="737"/>
    </row>
    <row r="35" spans="1:11" ht="12" customHeight="1" x14ac:dyDescent="0.2">
      <c r="A35" s="1938" t="s">
        <v>2083</v>
      </c>
      <c r="B35" s="1939">
        <v>43221</v>
      </c>
      <c r="C35" s="1940">
        <v>2525000</v>
      </c>
      <c r="D35" s="1941">
        <v>6</v>
      </c>
      <c r="E35" s="1942">
        <v>2525000</v>
      </c>
      <c r="F35" s="738"/>
      <c r="G35" s="738"/>
      <c r="H35" s="738"/>
      <c r="I35" s="1756">
        <f t="shared" si="1"/>
        <v>2525000</v>
      </c>
      <c r="J35" s="738">
        <v>2525000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47682581</v>
      </c>
      <c r="D49" s="745"/>
      <c r="E49" s="1756">
        <f t="shared" ref="E49:J49" si="2">SUM(E31:E48)</f>
        <v>28809003</v>
      </c>
      <c r="F49" s="1756">
        <f t="shared" si="2"/>
        <v>0</v>
      </c>
      <c r="G49" s="1756">
        <f t="shared" si="2"/>
        <v>0</v>
      </c>
      <c r="H49" s="1756">
        <f t="shared" si="2"/>
        <v>994120</v>
      </c>
      <c r="I49" s="1756">
        <f t="shared" si="2"/>
        <v>27814883</v>
      </c>
      <c r="J49" s="1756">
        <f t="shared" si="2"/>
        <v>25663775</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c r="G52" s="2214"/>
      <c r="H52" s="736"/>
      <c r="I52" s="736"/>
      <c r="J52" s="746"/>
    </row>
    <row r="53" spans="1:11" ht="11.25" customHeight="1" x14ac:dyDescent="0.2">
      <c r="A53" s="750" t="s">
        <v>913</v>
      </c>
      <c r="B53" s="751" t="s">
        <v>951</v>
      </c>
      <c r="C53" s="746"/>
      <c r="D53" s="737"/>
      <c r="E53" s="749" t="s">
        <v>497</v>
      </c>
      <c r="F53" s="2215"/>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1810</v>
      </c>
      <c r="K2" s="762" t="s">
        <v>138</v>
      </c>
    </row>
    <row r="3" spans="1:11" x14ac:dyDescent="0.2">
      <c r="A3" s="2227" t="s">
        <v>1962</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v>1999144</v>
      </c>
      <c r="I5" s="772"/>
      <c r="J5" s="773"/>
      <c r="K5" s="773"/>
    </row>
    <row r="6" spans="1:11" x14ac:dyDescent="0.2">
      <c r="A6" s="774" t="s">
        <v>720</v>
      </c>
      <c r="B6" s="775"/>
      <c r="C6" s="775"/>
      <c r="D6" s="775"/>
      <c r="E6" s="776"/>
      <c r="F6" s="777" t="s">
        <v>849</v>
      </c>
      <c r="G6" s="764"/>
      <c r="H6" s="764">
        <v>2987</v>
      </c>
      <c r="I6" s="764"/>
      <c r="J6" s="765"/>
      <c r="K6" s="765">
        <v>818</v>
      </c>
    </row>
    <row r="7" spans="1:11" x14ac:dyDescent="0.2">
      <c r="A7" s="778" t="s">
        <v>246</v>
      </c>
      <c r="B7" s="779"/>
      <c r="C7" s="779"/>
      <c r="D7" s="779"/>
      <c r="E7" s="780"/>
      <c r="F7" s="770" t="s">
        <v>850</v>
      </c>
      <c r="G7" s="767"/>
      <c r="H7" s="767"/>
      <c r="I7" s="767"/>
      <c r="J7" s="781"/>
      <c r="K7" s="765">
        <v>10455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44108</v>
      </c>
    </row>
    <row r="10" spans="1:11" x14ac:dyDescent="0.2">
      <c r="A10" s="2248" t="s">
        <v>1811</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2002131</v>
      </c>
      <c r="I12" s="1758">
        <f>SUM(I5:I11)</f>
        <v>0</v>
      </c>
      <c r="J12" s="1758">
        <f>SUM(J5:J11)</f>
        <v>0</v>
      </c>
      <c r="K12" s="1758">
        <f>SUM(K5:K11)</f>
        <v>55381</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v>2002131</v>
      </c>
      <c r="I14" s="771"/>
      <c r="J14" s="773"/>
      <c r="K14" s="765">
        <v>55381</v>
      </c>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1807</v>
      </c>
      <c r="B19" s="2256"/>
      <c r="C19" s="2256"/>
      <c r="D19" s="2256"/>
      <c r="E19" s="2257"/>
      <c r="F19" s="789" t="s">
        <v>933</v>
      </c>
      <c r="G19" s="782"/>
      <c r="H19" s="782"/>
      <c r="I19" s="782"/>
      <c r="J19" s="765"/>
      <c r="K19" s="795"/>
    </row>
    <row r="20" spans="1:11" x14ac:dyDescent="0.2">
      <c r="A20" s="2235" t="s">
        <v>1812</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1813</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2002131</v>
      </c>
      <c r="I23" s="1758">
        <f>SUM(I14:I16,I21,I22)</f>
        <v>0</v>
      </c>
      <c r="J23" s="1758">
        <f>SUM(J14:J16,J21,J22)</f>
        <v>0</v>
      </c>
      <c r="K23" s="1758">
        <f>SUM(K14:K16,K21,K22)</f>
        <v>55381</v>
      </c>
    </row>
    <row r="24" spans="1:11" ht="14.25" thickTop="1" thickBot="1" x14ac:dyDescent="0.25">
      <c r="A24" s="2242" t="s">
        <v>1963</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K13" sqref="K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1907</v>
      </c>
      <c r="B1" s="2261"/>
      <c r="C1" s="2262"/>
      <c r="D1" s="826"/>
      <c r="E1" s="827"/>
      <c r="F1" s="827"/>
      <c r="G1" s="828"/>
      <c r="H1" s="829"/>
      <c r="I1" s="830"/>
      <c r="J1" s="2258"/>
      <c r="K1" s="2259"/>
      <c r="L1" s="225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822541</v>
      </c>
      <c r="D5" s="841"/>
      <c r="E5" s="841"/>
      <c r="F5" s="1760">
        <f>(C5+D5)-E5</f>
        <v>822541</v>
      </c>
      <c r="G5" s="837"/>
      <c r="H5" s="842"/>
      <c r="I5" s="842"/>
      <c r="J5" s="842"/>
      <c r="K5" s="793"/>
      <c r="L5" s="1769">
        <f>F5-K5</f>
        <v>822541</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47057537</v>
      </c>
      <c r="D8" s="844">
        <v>373610</v>
      </c>
      <c r="E8" s="844"/>
      <c r="F8" s="1760">
        <f>(C8+D8)-E8</f>
        <v>47431147</v>
      </c>
      <c r="G8" s="843">
        <v>50</v>
      </c>
      <c r="H8" s="765">
        <v>40612201</v>
      </c>
      <c r="I8" s="765">
        <v>851306</v>
      </c>
      <c r="J8" s="765"/>
      <c r="K8" s="1769">
        <f>(H8+I8)-J8</f>
        <v>41463507</v>
      </c>
      <c r="L8" s="1769">
        <f>F8-K8</f>
        <v>5967640</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2131047</v>
      </c>
      <c r="D10" s="846"/>
      <c r="E10" s="846"/>
      <c r="F10" s="1764">
        <f>(C10+D10)-E10</f>
        <v>2131047</v>
      </c>
      <c r="G10" s="843">
        <v>20</v>
      </c>
      <c r="H10" s="847">
        <v>1089559</v>
      </c>
      <c r="I10" s="847">
        <v>106552</v>
      </c>
      <c r="J10" s="847"/>
      <c r="K10" s="1769">
        <f>(H10+I10)-J10</f>
        <v>1196111</v>
      </c>
      <c r="L10" s="1769">
        <f>F10-K10</f>
        <v>934936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2439442</v>
      </c>
      <c r="D12" s="844">
        <v>360826</v>
      </c>
      <c r="E12" s="844"/>
      <c r="F12" s="1760">
        <f>(C12+D12)-E12</f>
        <v>2800268</v>
      </c>
      <c r="G12" s="843">
        <v>10</v>
      </c>
      <c r="H12" s="765">
        <v>1697607</v>
      </c>
      <c r="I12" s="765">
        <v>223528</v>
      </c>
      <c r="J12" s="765"/>
      <c r="K12" s="1769">
        <f>(H12+I12)-J12</f>
        <v>1921135</v>
      </c>
      <c r="L12" s="1769">
        <f>F12-K12</f>
        <v>879133</v>
      </c>
    </row>
    <row r="13" spans="1:14" ht="14.25" thickTop="1" thickBot="1" x14ac:dyDescent="0.25">
      <c r="A13" s="848" t="s">
        <v>1122</v>
      </c>
      <c r="B13" s="840">
        <v>252</v>
      </c>
      <c r="C13" s="844">
        <v>2288769</v>
      </c>
      <c r="D13" s="844">
        <v>64597</v>
      </c>
      <c r="E13" s="844">
        <v>496779</v>
      </c>
      <c r="F13" s="1760">
        <f>(C13+D13)-E13</f>
        <v>1856587</v>
      </c>
      <c r="G13" s="843">
        <v>5</v>
      </c>
      <c r="H13" s="765">
        <v>1277336</v>
      </c>
      <c r="I13" s="765">
        <v>253523</v>
      </c>
      <c r="J13" s="765">
        <v>409312</v>
      </c>
      <c r="K13" s="1769">
        <f>(H13+I13)-J13</f>
        <v>1121547</v>
      </c>
      <c r="L13" s="1769">
        <f>F13-K13</f>
        <v>735040</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54739336</v>
      </c>
      <c r="D16" s="1760">
        <f>SUM(D3,D5:D6,D8:D10,D12:D15)</f>
        <v>799033</v>
      </c>
      <c r="E16" s="1760">
        <f>SUM(E3,E5:E6,E8:E10,E12:E15)</f>
        <v>496779</v>
      </c>
      <c r="F16" s="1760">
        <f>SUM(F3,F5:F6,F8:F10,F12:F15)</f>
        <v>55041590</v>
      </c>
      <c r="G16" s="843"/>
      <c r="H16" s="1760">
        <f>SUM(H3,H6,H8:H10,H12:H14,)</f>
        <v>44676703</v>
      </c>
      <c r="I16" s="1760">
        <f>SUM(I3,I6,I8:I10,I12:I14,)</f>
        <v>1434909</v>
      </c>
      <c r="J16" s="1760">
        <f>SUM(J3,J6,J8:J10,J12:J14,)</f>
        <v>409312</v>
      </c>
      <c r="K16" s="1760">
        <f>(H16+I16)-J16</f>
        <v>45702300</v>
      </c>
      <c r="L16" s="1760">
        <f>F16-K16</f>
        <v>9339290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419967</v>
      </c>
      <c r="G17" s="837">
        <v>10</v>
      </c>
      <c r="H17" s="769"/>
      <c r="I17" s="1769">
        <f>F17/G17</f>
        <v>41996.7</v>
      </c>
      <c r="J17" s="769"/>
      <c r="K17" s="795"/>
      <c r="L17" s="795"/>
    </row>
    <row r="18" spans="1:12" ht="14.25" thickTop="1" thickBot="1" x14ac:dyDescent="0.25">
      <c r="A18" s="1767" t="s">
        <v>685</v>
      </c>
      <c r="B18" s="1768"/>
      <c r="C18" s="771"/>
      <c r="D18" s="771"/>
      <c r="E18" s="771"/>
      <c r="F18" s="850"/>
      <c r="G18" s="851"/>
      <c r="H18" s="773"/>
      <c r="I18" s="1760">
        <f>SUM(I16,I17)</f>
        <v>1476905.7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3" activePane="bottomLeft" state="frozen"/>
      <selection activeCell="X29" sqref="X29"/>
      <selection pane="bottomLeft" activeCell="K76" sqref="K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1973</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44099685</v>
      </c>
      <c r="G8" s="865"/>
    </row>
    <row r="9" spans="1:7" x14ac:dyDescent="0.2">
      <c r="A9" s="869" t="s">
        <v>460</v>
      </c>
      <c r="B9" s="870" t="s">
        <v>1875</v>
      </c>
      <c r="C9" s="871"/>
      <c r="D9" s="869" t="s">
        <v>501</v>
      </c>
      <c r="E9" s="868"/>
      <c r="F9" s="1909">
        <f>'Expenditures 15-22'!K151</f>
        <v>4424802</v>
      </c>
      <c r="G9" s="872"/>
    </row>
    <row r="10" spans="1:7" x14ac:dyDescent="0.2">
      <c r="A10" s="869" t="s">
        <v>499</v>
      </c>
      <c r="B10" s="870" t="s">
        <v>1876</v>
      </c>
      <c r="C10" s="871"/>
      <c r="D10" s="869" t="s">
        <v>501</v>
      </c>
      <c r="E10" s="868"/>
      <c r="F10" s="1909">
        <f>'Expenditures 15-22'!K174</f>
        <v>2833433</v>
      </c>
      <c r="G10" s="872"/>
    </row>
    <row r="11" spans="1:7" x14ac:dyDescent="0.2">
      <c r="A11" s="869" t="s">
        <v>461</v>
      </c>
      <c r="B11" s="870" t="s">
        <v>1877</v>
      </c>
      <c r="C11" s="871"/>
      <c r="D11" s="869" t="s">
        <v>501</v>
      </c>
      <c r="E11" s="868"/>
      <c r="F11" s="1909">
        <f>'Expenditures 15-22'!K210</f>
        <v>3207632</v>
      </c>
      <c r="G11" s="872"/>
    </row>
    <row r="12" spans="1:7" x14ac:dyDescent="0.2">
      <c r="A12" s="869" t="s">
        <v>462</v>
      </c>
      <c r="B12" s="870" t="s">
        <v>1878</v>
      </c>
      <c r="C12" s="871"/>
      <c r="D12" s="869" t="s">
        <v>501</v>
      </c>
      <c r="E12" s="868"/>
      <c r="F12" s="1909">
        <f>'Expenditures 15-22'!K295</f>
        <v>1583039</v>
      </c>
      <c r="G12" s="872"/>
    </row>
    <row r="13" spans="1:7" x14ac:dyDescent="0.2">
      <c r="A13" s="869" t="s">
        <v>106</v>
      </c>
      <c r="B13" s="870" t="s">
        <v>1879</v>
      </c>
      <c r="C13" s="871"/>
      <c r="D13" s="869" t="s">
        <v>501</v>
      </c>
      <c r="E13" s="868"/>
      <c r="F13" s="1909">
        <f>'Expenditures 15-22'!K342</f>
        <v>490670</v>
      </c>
      <c r="G13" s="873"/>
    </row>
    <row r="14" spans="1:7" ht="12" customHeight="1" thickBot="1" x14ac:dyDescent="0.25">
      <c r="A14" s="1770"/>
      <c r="B14" s="1771"/>
      <c r="C14" s="1772"/>
      <c r="D14" s="1773" t="s">
        <v>501</v>
      </c>
      <c r="E14" s="1774" t="s">
        <v>958</v>
      </c>
      <c r="F14" s="1775">
        <f>SUM(F8:F13)</f>
        <v>56639261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510275</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10888</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618712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36683</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338138</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1276922</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10000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9491</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133569</v>
      </c>
      <c r="G52" s="865"/>
    </row>
    <row r="53" spans="1:7" x14ac:dyDescent="0.2">
      <c r="A53" s="869" t="s">
        <v>459</v>
      </c>
      <c r="B53" s="869" t="s">
        <v>1475</v>
      </c>
      <c r="C53" s="889">
        <f>'Expenditures 15-22'!B102</f>
        <v>4000</v>
      </c>
      <c r="D53" s="888" t="str">
        <f>'Expenditures 15-22'!A102</f>
        <v>Total Payments to Other Govt Units</v>
      </c>
      <c r="E53" s="868"/>
      <c r="F53" s="1913">
        <f>'Expenditures 15-22'!K102</f>
        <v>640741</v>
      </c>
      <c r="G53" s="865"/>
    </row>
    <row r="54" spans="1:7" x14ac:dyDescent="0.2">
      <c r="A54" s="869" t="s">
        <v>459</v>
      </c>
      <c r="B54" s="869" t="s">
        <v>1476</v>
      </c>
      <c r="C54" s="889" t="s">
        <v>982</v>
      </c>
      <c r="D54" s="885" t="s">
        <v>1095</v>
      </c>
      <c r="E54" s="868"/>
      <c r="F54" s="1913">
        <f>'Expenditures 15-22'!G114</f>
        <v>311856</v>
      </c>
      <c r="G54" s="865"/>
    </row>
    <row r="55" spans="1:7" x14ac:dyDescent="0.2">
      <c r="A55" s="869" t="s">
        <v>459</v>
      </c>
      <c r="B55" s="869" t="s">
        <v>1477</v>
      </c>
      <c r="C55" s="889" t="s">
        <v>982</v>
      </c>
      <c r="D55" s="885" t="s">
        <v>291</v>
      </c>
      <c r="E55" s="868"/>
      <c r="F55" s="1913">
        <f>'Expenditures 15-22'!I114</f>
        <v>418933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195936</v>
      </c>
      <c r="G58" s="865"/>
    </row>
    <row r="59" spans="1:7" x14ac:dyDescent="0.2">
      <c r="A59" s="893" t="s">
        <v>460</v>
      </c>
      <c r="B59" s="856" t="s">
        <v>1882</v>
      </c>
      <c r="C59" s="894" t="s">
        <v>982</v>
      </c>
      <c r="D59" s="856" t="s">
        <v>291</v>
      </c>
      <c r="F59" s="1916">
        <f>'Expenditures 15-22'!I151</f>
        <v>1034</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994120</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473458</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22063</v>
      </c>
      <c r="G67" s="865"/>
    </row>
    <row r="68" spans="1:8" x14ac:dyDescent="0.2">
      <c r="A68" s="869" t="s">
        <v>462</v>
      </c>
      <c r="B68" s="869" t="s">
        <v>1479</v>
      </c>
      <c r="C68" s="886" t="str">
        <f>'Expenditures 15-22'!B218</f>
        <v>1225</v>
      </c>
      <c r="D68" s="892" t="str">
        <f>'Expenditures 15-22'!A218</f>
        <v>Special Education Programs - Pre-K</v>
      </c>
      <c r="E68" s="868"/>
      <c r="F68" s="1913">
        <f>'Expenditures 15-22'!K218</f>
        <v>4247</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8169</v>
      </c>
      <c r="G71" s="865"/>
    </row>
    <row r="72" spans="1:8" x14ac:dyDescent="0.2">
      <c r="A72" s="869" t="s">
        <v>462</v>
      </c>
      <c r="B72" s="869" t="s">
        <v>1894</v>
      </c>
      <c r="C72" s="886">
        <f>'Expenditures 15-22'!B280</f>
        <v>3000</v>
      </c>
      <c r="D72" s="876" t="s">
        <v>449</v>
      </c>
      <c r="E72" s="868"/>
      <c r="F72" s="1913">
        <f>'Expenditures 15-22'!K280</f>
        <v>980</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6016215</v>
      </c>
      <c r="G76" s="865"/>
    </row>
    <row r="77" spans="1:8" s="893" customFormat="1" ht="12" customHeight="1" thickTop="1" thickBot="1" x14ac:dyDescent="0.25">
      <c r="A77" s="1779"/>
      <c r="B77" s="1776"/>
      <c r="C77" s="1772"/>
      <c r="D77" s="1777" t="s">
        <v>1898</v>
      </c>
      <c r="E77" s="1774"/>
      <c r="F77" s="1780">
        <f>(F14-F76)</f>
        <v>50623046</v>
      </c>
      <c r="G77" s="869"/>
    </row>
    <row r="78" spans="1:8" s="893" customFormat="1" ht="12" customHeight="1" thickTop="1" x14ac:dyDescent="0.2">
      <c r="A78" s="1781"/>
      <c r="B78" s="1776"/>
      <c r="C78" s="1772"/>
      <c r="D78" s="1777" t="s">
        <v>2060</v>
      </c>
      <c r="E78" s="1774"/>
      <c r="F78" s="898">
        <v>3456</v>
      </c>
      <c r="G78" s="899"/>
      <c r="H78" s="869"/>
    </row>
    <row r="79" spans="1:8" s="893" customFormat="1" ht="12" customHeight="1" thickBot="1" x14ac:dyDescent="0.25">
      <c r="A79" s="1782"/>
      <c r="B79" s="1776"/>
      <c r="C79" s="1772"/>
      <c r="D79" s="1777" t="s">
        <v>1899</v>
      </c>
      <c r="E79" s="1774" t="s">
        <v>958</v>
      </c>
      <c r="F79" s="1783">
        <f>IF(F78&gt;0,F77/F78," Complete Line 78")</f>
        <v>14647.872106481482</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135587</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54716</v>
      </c>
      <c r="G94" s="912"/>
    </row>
    <row r="95" spans="1:7" x14ac:dyDescent="0.2">
      <c r="A95" s="908" t="s">
        <v>140</v>
      </c>
      <c r="B95" s="908" t="s">
        <v>175</v>
      </c>
      <c r="C95" s="910">
        <v>1700</v>
      </c>
      <c r="D95" s="918" t="str">
        <f>'Revenues 9-14'!A82</f>
        <v>Total District/School Activity Income</v>
      </c>
      <c r="E95" s="906"/>
      <c r="F95" s="1789">
        <f>SUM('Revenues 9-14'!C82,'Revenues 9-14'!D82)</f>
        <v>40823</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4000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36408</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47</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19194</v>
      </c>
      <c r="G104" s="912"/>
    </row>
    <row r="105" spans="1:7" x14ac:dyDescent="0.2">
      <c r="A105" s="908" t="s">
        <v>503</v>
      </c>
      <c r="B105" s="908" t="s">
        <v>2001</v>
      </c>
      <c r="C105" s="913">
        <v>3100</v>
      </c>
      <c r="D105" s="919" t="str">
        <f>'Revenues 9-14'!A132</f>
        <v>Total Special Education</v>
      </c>
      <c r="E105" s="906"/>
      <c r="F105" s="1789">
        <f>SUM('Revenues 9-14'!C132:D132,'Revenues 9-14'!F132)</f>
        <v>403456</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16293</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32346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44108</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1092544</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233627</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83465</v>
      </c>
      <c r="G123" s="930"/>
    </row>
    <row r="124" spans="1:7" x14ac:dyDescent="0.2">
      <c r="A124" s="927" t="s">
        <v>668</v>
      </c>
      <c r="B124" s="927" t="s">
        <v>2020</v>
      </c>
      <c r="C124" s="932">
        <v>4100</v>
      </c>
      <c r="D124" s="933" t="str">
        <f>'Revenues 9-14'!A188</f>
        <v>Total Title V</v>
      </c>
      <c r="E124" s="906"/>
      <c r="F124" s="1789">
        <f>SUM('Revenues 9-14'!C188,'Revenues 9-14'!D188,'Revenues 9-14'!F188,'Revenues 9-14'!G188)</f>
        <v>127825</v>
      </c>
      <c r="G124" s="930"/>
    </row>
    <row r="125" spans="1:7" x14ac:dyDescent="0.2">
      <c r="A125" s="927" t="s">
        <v>664</v>
      </c>
      <c r="B125" s="927" t="s">
        <v>2021</v>
      </c>
      <c r="C125" s="932">
        <v>4200</v>
      </c>
      <c r="D125" s="929" t="str">
        <f>'Revenues 9-14'!A198</f>
        <v>Total Food Service</v>
      </c>
      <c r="E125" s="906"/>
      <c r="F125" s="1789">
        <f>SUM('Revenues 9-14'!C198,'Revenues 9-14'!G198)</f>
        <v>1716631</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1958016</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1121770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199059</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2800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1207</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19382</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237877</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132458</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370971</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30970</v>
      </c>
      <c r="G170" s="927"/>
    </row>
    <row r="171" spans="1:7" x14ac:dyDescent="0.2">
      <c r="A171" s="1918" t="s">
        <v>5</v>
      </c>
      <c r="B171" s="1919" t="s">
        <v>1918</v>
      </c>
      <c r="C171" s="1920">
        <v>3100</v>
      </c>
      <c r="D171" s="1921" t="s">
        <v>1920</v>
      </c>
      <c r="E171" s="906"/>
      <c r="F171" s="1906">
        <v>1708674</v>
      </c>
      <c r="G171" s="927"/>
    </row>
    <row r="172" spans="1:7" x14ac:dyDescent="0.2">
      <c r="A172" s="1918" t="s">
        <v>664</v>
      </c>
      <c r="B172" s="1919" t="s">
        <v>1918</v>
      </c>
      <c r="C172" s="1920">
        <v>3300</v>
      </c>
      <c r="D172" s="1921" t="s">
        <v>1921</v>
      </c>
      <c r="E172" s="906"/>
      <c r="F172" s="1906">
        <v>101076</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9925330</v>
      </c>
    </row>
    <row r="175" spans="1:7" ht="12" customHeight="1" x14ac:dyDescent="0.2">
      <c r="A175" s="1770"/>
      <c r="B175" s="1784"/>
      <c r="C175" s="1785"/>
      <c r="D175" s="1786" t="s">
        <v>2055</v>
      </c>
      <c r="E175" s="1787"/>
      <c r="F175" s="1789">
        <f>'PCTC-OEPP 27-28'!F77-F174</f>
        <v>40697716</v>
      </c>
    </row>
    <row r="176" spans="1:7" ht="12" customHeight="1" x14ac:dyDescent="0.2">
      <c r="A176" s="1770"/>
      <c r="B176" s="1784"/>
      <c r="C176" s="1785"/>
      <c r="D176" s="1786" t="s">
        <v>1815</v>
      </c>
      <c r="E176" s="1787"/>
      <c r="F176" s="1789">
        <f>'Cap Outlay Deprec 26'!I18</f>
        <v>1476905.7</v>
      </c>
    </row>
    <row r="177" spans="1:7" ht="12" customHeight="1" x14ac:dyDescent="0.2">
      <c r="A177" s="1770"/>
      <c r="B177" s="1784"/>
      <c r="C177" s="1785"/>
      <c r="D177" s="1786" t="s">
        <v>2056</v>
      </c>
      <c r="E177" s="1787"/>
      <c r="F177" s="1789">
        <f>F175+F176</f>
        <v>42174621.700000003</v>
      </c>
    </row>
    <row r="178" spans="1:7" ht="12" customHeight="1" x14ac:dyDescent="0.2">
      <c r="A178" s="1770"/>
      <c r="B178" s="1790"/>
      <c r="C178" s="1785"/>
      <c r="D178" s="1786" t="str">
        <f>D78</f>
        <v>9 Month ADA from District Average Daily Attendance/Prior General State Aid Inquiry 2018-2019</v>
      </c>
      <c r="E178" s="1787"/>
      <c r="F178" s="1791">
        <f>'PCTC-OEPP 27-28'!F78</f>
        <v>3456</v>
      </c>
      <c r="G178" s="930"/>
    </row>
    <row r="179" spans="1:7" ht="12" customHeight="1" thickBot="1" x14ac:dyDescent="0.25">
      <c r="A179" s="1770"/>
      <c r="B179" s="1790"/>
      <c r="C179" s="1785"/>
      <c r="D179" s="1786" t="s">
        <v>2057</v>
      </c>
      <c r="E179" s="1787" t="s">
        <v>1545</v>
      </c>
      <c r="F179" s="1792">
        <f>F177/F178</f>
        <v>12203.304890046296</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C29" sqref="C2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1816</v>
      </c>
      <c r="B4" s="2278"/>
      <c r="C4" s="2278"/>
      <c r="D4" s="2278"/>
      <c r="E4" s="2278"/>
      <c r="F4" s="2278"/>
      <c r="G4" s="2279"/>
    </row>
    <row r="5" spans="1:7" x14ac:dyDescent="0.25">
      <c r="A5" s="2280"/>
      <c r="B5" s="2281"/>
      <c r="C5" s="2281"/>
      <c r="D5" s="2281"/>
      <c r="E5" s="2281"/>
      <c r="F5" s="2281"/>
      <c r="G5" s="2282"/>
    </row>
    <row r="6" spans="1:7" ht="18.75" x14ac:dyDescent="0.25">
      <c r="A6" s="1534" t="s">
        <v>1817</v>
      </c>
      <c r="B6" s="1535"/>
      <c r="C6" s="1535"/>
      <c r="D6" s="1535"/>
      <c r="E6" s="1535"/>
      <c r="F6" s="1535"/>
      <c r="G6" s="1536"/>
    </row>
    <row r="7" spans="1:7" ht="30.75" customHeight="1" x14ac:dyDescent="0.25">
      <c r="A7" s="2283" t="s">
        <v>1930</v>
      </c>
      <c r="B7" s="2284"/>
      <c r="C7" s="2284"/>
      <c r="D7" s="2284"/>
      <c r="E7" s="2284"/>
      <c r="F7" s="2284"/>
      <c r="G7" s="2285"/>
    </row>
    <row r="8" spans="1:7" ht="15.75" customHeight="1" x14ac:dyDescent="0.25">
      <c r="A8" s="2286" t="s">
        <v>1905</v>
      </c>
      <c r="B8" s="2287"/>
      <c r="C8" s="2287"/>
      <c r="D8" s="2287"/>
      <c r="E8" s="2287"/>
      <c r="F8" s="2287"/>
      <c r="G8" s="2288"/>
    </row>
    <row r="9" spans="1:7" ht="35.25" customHeight="1" x14ac:dyDescent="0.25">
      <c r="A9" s="2283" t="s">
        <v>1933</v>
      </c>
      <c r="B9" s="2284"/>
      <c r="C9" s="2284"/>
      <c r="D9" s="2284"/>
      <c r="E9" s="2284"/>
      <c r="F9" s="2284"/>
      <c r="G9" s="2285"/>
    </row>
    <row r="10" spans="1:7" ht="15" customHeight="1" x14ac:dyDescent="0.25">
      <c r="A10" s="1537" t="s">
        <v>1818</v>
      </c>
      <c r="B10" s="1538"/>
      <c r="C10" s="1538"/>
      <c r="D10" s="1538"/>
      <c r="E10" s="1538"/>
      <c r="F10" s="1538"/>
      <c r="G10" s="1539"/>
    </row>
    <row r="11" spans="1:7" ht="17.25" customHeight="1" x14ac:dyDescent="0.25">
      <c r="A11" s="2283" t="s">
        <v>1932</v>
      </c>
      <c r="B11" s="2284"/>
      <c r="C11" s="2284"/>
      <c r="D11" s="2284"/>
      <c r="E11" s="2284"/>
      <c r="F11" s="2284"/>
      <c r="G11" s="2285"/>
    </row>
    <row r="12" spans="1:7" ht="15" customHeight="1" x14ac:dyDescent="0.25">
      <c r="A12" s="1537" t="s">
        <v>1823</v>
      </c>
      <c r="B12" s="1538"/>
      <c r="C12" s="1538"/>
      <c r="D12" s="1538"/>
      <c r="E12" s="1538"/>
      <c r="F12" s="1538"/>
      <c r="G12" s="1539"/>
    </row>
    <row r="13" spans="1:7" ht="32.25" customHeight="1" x14ac:dyDescent="0.25">
      <c r="A13" s="2274" t="s">
        <v>1974</v>
      </c>
      <c r="B13" s="2275"/>
      <c r="C13" s="2275"/>
      <c r="D13" s="2275"/>
      <c r="E13" s="2275"/>
      <c r="F13" s="2275"/>
      <c r="G13" s="2276"/>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45" t="s">
        <v>2189</v>
      </c>
      <c r="B18" s="1946" t="s">
        <v>2189</v>
      </c>
      <c r="C18" s="1947" t="s">
        <v>2189</v>
      </c>
      <c r="D18" s="1844">
        <v>0</v>
      </c>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c r="F10" s="974"/>
      <c r="G10" s="975"/>
      <c r="H10" s="162"/>
      <c r="I10" s="162"/>
    </row>
    <row r="11" spans="1:9" s="668" customFormat="1" ht="22.5" customHeight="1" x14ac:dyDescent="0.2">
      <c r="A11" s="2294" t="s">
        <v>1975</v>
      </c>
      <c r="B11" s="2295"/>
      <c r="C11" s="2295"/>
      <c r="D11" s="2296"/>
      <c r="E11" s="977">
        <v>151246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26955702</v>
      </c>
      <c r="F19" s="1799"/>
      <c r="G19" s="1801">
        <f>'Expenditures 15-22'!K33-SUM('Expenditures 15-22'!G33,'Expenditures 15-22'!I33)+'Expenditures 15-22'!D229</f>
        <v>26955702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4238567</v>
      </c>
      <c r="F21" s="1802"/>
      <c r="G21" s="1805">
        <f>'Expenditures 15-22'!K42-SUM('Expenditures 15-22'!G42,'Expenditures 15-22'!I42)+'Expenditures 15-22'!K120-SUM('Expenditures 15-22'!G120,'Expenditures 15-22'!I120)+'Expenditures 15-22'!K180-SUM('Expenditures 15-22'!G180,'Expenditures 15-22'!I180)+'Expenditures 15-22'!D238</f>
        <v>4238567</v>
      </c>
      <c r="H21" s="987"/>
      <c r="I21" s="162"/>
    </row>
    <row r="22" spans="1:9" s="668" customFormat="1" ht="12" customHeight="1" x14ac:dyDescent="0.2">
      <c r="A22" s="994" t="s">
        <v>564</v>
      </c>
      <c r="B22" s="995"/>
      <c r="C22" s="993">
        <v>2200</v>
      </c>
      <c r="D22" s="1802"/>
      <c r="E22" s="1804">
        <f>'Expenditures 15-22'!K47-SUM('Expenditures 15-22'!G47,'Expenditures 15-22'!I47)+'Expenditures 15-22'!D243</f>
        <v>3993020</v>
      </c>
      <c r="F22" s="1802"/>
      <c r="G22" s="1805">
        <f>'Expenditures 15-22'!K47-SUM('Expenditures 15-22'!G47,'Expenditures 15-22'!I47)+'Expenditures 15-22'!D243</f>
        <v>3993020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1364737</v>
      </c>
      <c r="F23" s="1802"/>
      <c r="G23" s="1804">
        <f>'Expenditures 15-22'!K53-SUM('Expenditures 15-22'!G53,'Expenditures 15-22'!I53)+'Expenditures 15-22'!D257+'Expenditures 15-22'!K330-SUM('Expenditures 15-22'!G330,'Expenditures 15-22'!I330)</f>
        <v>1364737</v>
      </c>
      <c r="H23" s="987"/>
      <c r="I23" s="162"/>
    </row>
    <row r="24" spans="1:9" s="668" customFormat="1" ht="12" customHeight="1" x14ac:dyDescent="0.2">
      <c r="A24" s="994" t="s">
        <v>566</v>
      </c>
      <c r="B24" s="995"/>
      <c r="C24" s="993">
        <v>2400</v>
      </c>
      <c r="D24" s="1802"/>
      <c r="E24" s="1804">
        <f>'Expenditures 15-22'!K57-SUM('Expenditures 15-22'!G57,'Expenditures 15-22'!I57)+'Expenditures 15-22'!D261</f>
        <v>3766885</v>
      </c>
      <c r="F24" s="1802"/>
      <c r="G24" s="1805">
        <f>'Expenditures 15-22'!K57-SUM('Expenditures 15-22'!G57,'Expenditures 15-22'!I57)+'Expenditures 15-22'!D261</f>
        <v>3766885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405604</v>
      </c>
      <c r="E26" s="1804">
        <f>'Expenditures 15-22'!K122-SUM('Expenditures 15-22'!G122,'Expenditures 15-22'!I122)+E7</f>
        <v>2736</v>
      </c>
      <c r="F26" s="1804">
        <f>'Expenditures 15-22'!K59-SUM('Expenditures 15-22'!G59,'Expenditures 15-22'!I59)+'Expenditures 15-22'!D263-E7</f>
        <v>405604</v>
      </c>
      <c r="G26" s="1805">
        <f>'Expenditures 15-22'!K122-SUM('Expenditures 15-22'!G122,'Expenditures 15-22'!I122)+E7</f>
        <v>2736</v>
      </c>
      <c r="H26" s="987"/>
      <c r="I26" s="162"/>
    </row>
    <row r="27" spans="1:9" s="668" customFormat="1" ht="12" customHeight="1" x14ac:dyDescent="0.2">
      <c r="A27" s="994" t="s">
        <v>463</v>
      </c>
      <c r="B27" s="997"/>
      <c r="C27" s="993">
        <v>2520</v>
      </c>
      <c r="D27" s="1804">
        <f>'Expenditures 15-22'!K60-SUM('Expenditures 15-22'!G60,'Expenditures 15-22'!I60)+'Expenditures 15-22'!D264-E8</f>
        <v>290955</v>
      </c>
      <c r="E27" s="1804">
        <f>E8</f>
        <v>0</v>
      </c>
      <c r="F27" s="1804">
        <f>'Expenditures 15-22'!K60-SUM('Expenditures 15-22'!G60,'Expenditures 15-22'!I60)+'Expenditures 15-22'!D264-E8</f>
        <v>290955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4488302</v>
      </c>
      <c r="F28" s="1806">
        <f>'Expenditures 15-22'!K61-SUM('Expenditures 15-22'!G61,'Expenditures 15-22'!I61)+'Expenditures 15-22'!K124-SUM('Expenditures 15-22'!G124,'Expenditures 15-22'!I124)+'Expenditures 15-22'!D266-E9</f>
        <v>4488302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2972857</v>
      </c>
      <c r="F29" s="1802"/>
      <c r="G29" s="1805">
        <f>'Expenditures 15-22'!K62-SUM('Expenditures 15-22'!G62,'Expenditures 15-22'!I62)+'Expenditures 15-22'!K125-SUM('Expenditures 15-22'!G125,'Expenditures 15-22'!I125)+'Expenditures 15-22'!K182-SUM('Expenditures 15-22'!G182,'Expenditures 15-22'!I182)+'Expenditures 15-22'!D267</f>
        <v>2972857</v>
      </c>
      <c r="H29" s="985"/>
    </row>
    <row r="30" spans="1:9" ht="12" customHeight="1" x14ac:dyDescent="0.2">
      <c r="A30" s="994" t="s">
        <v>100</v>
      </c>
      <c r="B30" s="997"/>
      <c r="C30" s="993">
        <v>2560</v>
      </c>
      <c r="D30" s="1802"/>
      <c r="E30" s="1804">
        <f>'Expenditures 15-22'!K63-SUM('Expenditures 15-22'!G63,'Expenditures 15-22'!I63)+'Expenditures 15-22'!D268-E10</f>
        <v>2246910</v>
      </c>
      <c r="F30" s="1802"/>
      <c r="G30" s="1804">
        <f>'Expenditures 15-22'!K63-SUM('Expenditures 15-22'!G63,'Expenditures 15-22'!I63)+'Expenditures 15-22'!D268-E10</f>
        <v>2246910</v>
      </c>
    </row>
    <row r="31" spans="1:9" ht="12" customHeight="1" x14ac:dyDescent="0.2">
      <c r="A31" s="994" t="s">
        <v>101</v>
      </c>
      <c r="B31" s="997"/>
      <c r="C31" s="993">
        <v>2570</v>
      </c>
      <c r="D31" s="1804">
        <f>'Expenditures 15-22'!K64-SUM('Expenditures 15-22'!G64,'Expenditures 15-22'!I64)+'Expenditures 15-22'!D269-E12</f>
        <v>113192</v>
      </c>
      <c r="E31" s="1804">
        <f>E12</f>
        <v>0</v>
      </c>
      <c r="F31" s="1804">
        <f>'Expenditures 15-22'!K64-SUM('Expenditures 15-22'!G64,'Expenditures 15-22'!I64)+'Expenditures 15-22'!D269-E12</f>
        <v>113192</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15217</v>
      </c>
      <c r="F34" s="1802"/>
      <c r="G34" s="1804">
        <f>'Expenditures 15-22'!K68-SUM('Expenditures 15-22'!G68,'Expenditures 15-22'!I68)+'Expenditures 15-22'!D273</f>
        <v>15217</v>
      </c>
    </row>
    <row r="35" spans="1:7" ht="12" customHeight="1" x14ac:dyDescent="0.2">
      <c r="A35" s="994" t="s">
        <v>1061</v>
      </c>
      <c r="B35" s="997"/>
      <c r="C35" s="993">
        <v>2630</v>
      </c>
      <c r="D35" s="1802"/>
      <c r="E35" s="1804">
        <f>'Expenditures 15-22'!K69-SUM('Expenditures 15-22'!G69,'Expenditures 15-22'!I69)+'Expenditures 15-22'!D274</f>
        <v>113911</v>
      </c>
      <c r="F35" s="1802"/>
      <c r="G35" s="1804">
        <f>'Expenditures 15-22'!K69-SUM('Expenditures 15-22'!G69,'Expenditures 15-22'!I69)+'Expenditures 15-22'!D274</f>
        <v>113911</v>
      </c>
    </row>
    <row r="36" spans="1:7" ht="12" customHeight="1" x14ac:dyDescent="0.2">
      <c r="A36" s="994" t="s">
        <v>403</v>
      </c>
      <c r="B36" s="997"/>
      <c r="C36" s="993">
        <v>2640</v>
      </c>
      <c r="D36" s="1804">
        <f>'Expenditures 15-22'!K70-SUM('Expenditures 15-22'!G70,'Expenditures 15-22'!I70)+'Expenditures 15-22'!D275-E13</f>
        <v>363805</v>
      </c>
      <c r="E36" s="1804">
        <f>E13</f>
        <v>0</v>
      </c>
      <c r="F36" s="1804">
        <f>'Expenditures 15-22'!K70-SUM('Expenditures 15-22'!G70,'Expenditures 15-22'!I70)+'Expenditures 15-22'!D275-E13</f>
        <v>363805</v>
      </c>
      <c r="G36" s="1804">
        <f>E13</f>
        <v>0</v>
      </c>
    </row>
    <row r="37" spans="1:7" ht="12" customHeight="1" x14ac:dyDescent="0.2">
      <c r="A37" s="994" t="s">
        <v>404</v>
      </c>
      <c r="B37" s="997"/>
      <c r="C37" s="993">
        <v>2660</v>
      </c>
      <c r="D37" s="1804">
        <f>'Expenditures 15-22'!K71-SUM('Expenditures 15-22'!G71,'Expenditures 15-22'!I71)+'Expenditures 15-22'!D276-E14</f>
        <v>128087</v>
      </c>
      <c r="E37" s="1804">
        <f>E14</f>
        <v>0</v>
      </c>
      <c r="F37" s="1804">
        <f>'Expenditures 15-22'!K71-SUM('Expenditures 15-22'!G71,'Expenditures 15-22'!I71)+'Expenditures 15-22'!D276-E14</f>
        <v>128087</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168834</v>
      </c>
      <c r="F38" s="1802"/>
      <c r="G38" s="1804">
        <f>'Expenditures 15-22'!K73-SUM('Expenditures 15-22'!G73,'Expenditures 15-22'!I73)+'Expenditures 15-22'!K128-SUM('Expenditures 15-22'!G128,'Expenditures 15-22'!I128)+'Expenditures 15-22'!K183-SUM('Expenditures 15-22'!G183,'Expenditures 15-22'!I183)+'Expenditures 15-22'!D278</f>
        <v>168834</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134549</v>
      </c>
      <c r="F39" s="1802"/>
      <c r="G39" s="1804">
        <f>'Expenditures 15-22'!K75-SUM('Expenditures 15-22'!G75,'Expenditures 15-22'!I75)+'Expenditures 15-22'!K130-SUM('Expenditures 15-22'!G130,'Expenditures 15-22'!I130)+'Expenditures 15-22'!K185-SUM('Expenditures 15-22'!G185,'Expenditures 15-22'!I185)+'Expenditures 15-22'!D280</f>
        <v>134549</v>
      </c>
    </row>
    <row r="40" spans="1:7" ht="12" customHeight="1" x14ac:dyDescent="0.2">
      <c r="A40" s="990" t="s">
        <v>1821</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1301643</v>
      </c>
      <c r="E41" s="1806">
        <f>SUM(E19:E40)</f>
        <v>50462227</v>
      </c>
      <c r="F41" s="1806">
        <f>SUM(F19:F39)</f>
        <v>5789945</v>
      </c>
      <c r="G41" s="1806">
        <f>SUM(G19:G40)</f>
        <v>45973925</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1301643</v>
      </c>
      <c r="F43" s="1807" t="s">
        <v>473</v>
      </c>
      <c r="G43" s="1808">
        <f>F41</f>
        <v>5789945</v>
      </c>
    </row>
    <row r="44" spans="1:7" ht="12" customHeight="1" x14ac:dyDescent="0.2">
      <c r="A44" s="987"/>
      <c r="B44" s="162"/>
      <c r="C44" s="1001"/>
      <c r="D44" s="1807" t="s">
        <v>474</v>
      </c>
      <c r="E44" s="1808">
        <f>E41</f>
        <v>50462227</v>
      </c>
      <c r="F44" s="1807" t="s">
        <v>474</v>
      </c>
      <c r="G44" s="1808">
        <f>G41</f>
        <v>45973925</v>
      </c>
    </row>
    <row r="45" spans="1:7" ht="12" customHeight="1" x14ac:dyDescent="0.2">
      <c r="A45" s="987"/>
      <c r="B45" s="162"/>
      <c r="C45" s="162"/>
      <c r="D45" s="1809" t="s">
        <v>1006</v>
      </c>
      <c r="E45" s="1810">
        <f>(E43/E44)</f>
        <v>2.5794402613265561E-2</v>
      </c>
      <c r="F45" s="1809" t="s">
        <v>1006</v>
      </c>
      <c r="G45" s="1810">
        <f>(G43/G44)</f>
        <v>0.12593975824339557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9" activePane="bottomLeft" state="frozen"/>
      <selection activeCell="X29" sqref="X29"/>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1379</v>
      </c>
      <c r="B1" s="2300"/>
      <c r="C1" s="2300"/>
      <c r="D1" s="2300"/>
      <c r="E1" s="2300"/>
      <c r="F1" s="2300"/>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Freeport SD 145</v>
      </c>
      <c r="D6" s="2304"/>
      <c r="E6" s="2304"/>
      <c r="F6" s="1852"/>
    </row>
    <row r="7" spans="1:10" ht="11.25" customHeight="1" thickBot="1" x14ac:dyDescent="0.3">
      <c r="A7" s="1850"/>
      <c r="B7" s="1851"/>
      <c r="C7" s="2305">
        <f>COVER!A13</f>
        <v>8089145022</v>
      </c>
      <c r="D7" s="2305"/>
      <c r="E7" s="2305"/>
      <c r="F7" s="1852"/>
    </row>
    <row r="8" spans="1:10" ht="25.5" customHeight="1" thickBot="1" x14ac:dyDescent="0.25">
      <c r="A8" s="1893" t="s">
        <v>1906</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2070</v>
      </c>
      <c r="D31" s="1865" t="s">
        <v>2070</v>
      </c>
      <c r="E31" s="1868"/>
      <c r="F31" s="1867" t="s">
        <v>2084</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1391</v>
      </c>
      <c r="B40" s="1875"/>
      <c r="C40" s="2314"/>
      <c r="D40" s="2314"/>
      <c r="E40" s="2314"/>
      <c r="F40" s="2315"/>
      <c r="H40" s="1879"/>
      <c r="I40" s="1879"/>
      <c r="J40" s="1879"/>
      <c r="K40" s="1879"/>
    </row>
    <row r="41" spans="1:11" s="1870" customFormat="1" ht="12" customHeight="1" x14ac:dyDescent="0.25">
      <c r="A41" s="2316"/>
      <c r="B41" s="2317"/>
      <c r="C41" s="2317"/>
      <c r="D41" s="2317"/>
      <c r="E41" s="2317"/>
      <c r="F41" s="2318"/>
      <c r="H41" s="1879"/>
      <c r="I41" s="1879"/>
      <c r="J41" s="1879"/>
      <c r="K41" s="1879"/>
    </row>
    <row r="42" spans="1:11" s="1870" customFormat="1" ht="12" customHeight="1" x14ac:dyDescent="0.25">
      <c r="A42" s="2316"/>
      <c r="B42" s="2317"/>
      <c r="C42" s="2317"/>
      <c r="D42" s="2317"/>
      <c r="E42" s="2317"/>
      <c r="F42" s="2318"/>
      <c r="H42" s="1879"/>
      <c r="I42" s="1879"/>
      <c r="J42" s="1879"/>
      <c r="K42" s="1879"/>
    </row>
    <row r="43" spans="1:11" s="1870" customFormat="1" ht="15" x14ac:dyDescent="0.25">
      <c r="A43" s="2308"/>
      <c r="B43" s="2309"/>
      <c r="C43" s="2309"/>
      <c r="D43" s="2309"/>
      <c r="E43" s="2309"/>
      <c r="F43" s="2310"/>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Freeport SD 145</v>
      </c>
      <c r="J6" s="2325"/>
      <c r="Q6" s="1664"/>
    </row>
    <row r="7" spans="1:17" x14ac:dyDescent="0.2">
      <c r="A7" s="2326" t="s">
        <v>869</v>
      </c>
      <c r="B7" s="2327"/>
      <c r="C7" s="2327"/>
      <c r="D7" s="2327"/>
      <c r="E7" s="2328"/>
      <c r="F7" s="1017"/>
      <c r="G7" s="1009"/>
      <c r="H7" s="1016" t="s">
        <v>372</v>
      </c>
      <c r="I7" s="2329">
        <f>COVER!A13</f>
        <v>8089145022</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301805</v>
      </c>
      <c r="F12" s="1039"/>
      <c r="G12" s="1811">
        <f t="shared" ref="G12:G18" si="0">SUM(E12:F12)</f>
        <v>301805</v>
      </c>
      <c r="H12" s="1040">
        <v>326071</v>
      </c>
      <c r="I12" s="1039"/>
      <c r="J12" s="1811">
        <f t="shared" ref="J12:J18" si="1">SUM(H12:I12)</f>
        <v>326071</v>
      </c>
    </row>
    <row r="13" spans="1:17" ht="15" customHeight="1" x14ac:dyDescent="0.2">
      <c r="A13" s="1035">
        <v>2</v>
      </c>
      <c r="B13" s="1036" t="s">
        <v>42</v>
      </c>
      <c r="C13" s="1037"/>
      <c r="D13" s="1038">
        <v>2330</v>
      </c>
      <c r="E13" s="1811">
        <f>'Expenditures 15-22'!K51</f>
        <v>427300</v>
      </c>
      <c r="F13" s="1039"/>
      <c r="G13" s="1811">
        <f t="shared" si="0"/>
        <v>427300</v>
      </c>
      <c r="H13" s="1040">
        <v>460054</v>
      </c>
      <c r="I13" s="1039"/>
      <c r="J13" s="1811">
        <f t="shared" si="1"/>
        <v>460054</v>
      </c>
    </row>
    <row r="14" spans="1:17" ht="15" customHeight="1" x14ac:dyDescent="0.2">
      <c r="A14" s="1035">
        <v>3</v>
      </c>
      <c r="B14" s="1036" t="s">
        <v>43</v>
      </c>
      <c r="C14" s="1037"/>
      <c r="D14" s="1041">
        <v>2490</v>
      </c>
      <c r="E14" s="1811">
        <f>'Expenditures 15-22'!K56</f>
        <v>967549</v>
      </c>
      <c r="F14" s="1039"/>
      <c r="G14" s="1811">
        <f t="shared" si="0"/>
        <v>967549</v>
      </c>
      <c r="H14" s="1040">
        <v>959050</v>
      </c>
      <c r="I14" s="1039"/>
      <c r="J14" s="1811">
        <f t="shared" si="1"/>
        <v>959050</v>
      </c>
    </row>
    <row r="15" spans="1:17" ht="15" customHeight="1" x14ac:dyDescent="0.2">
      <c r="A15" s="1035">
        <v>4</v>
      </c>
      <c r="B15" s="1036" t="s">
        <v>1068</v>
      </c>
      <c r="C15" s="1037"/>
      <c r="D15" s="1038">
        <v>2510</v>
      </c>
      <c r="E15" s="1811">
        <f>'Expenditures 15-22'!K59</f>
        <v>398398</v>
      </c>
      <c r="F15" s="1811">
        <f>'Expenditures 15-22'!K122</f>
        <v>2736</v>
      </c>
      <c r="G15" s="1811">
        <f t="shared" si="0"/>
        <v>401134</v>
      </c>
      <c r="H15" s="1040">
        <v>421742</v>
      </c>
      <c r="I15" s="1040">
        <v>2737</v>
      </c>
      <c r="J15" s="1811">
        <f t="shared" si="1"/>
        <v>424479</v>
      </c>
    </row>
    <row r="16" spans="1:17" ht="15" customHeight="1" x14ac:dyDescent="0.2">
      <c r="A16" s="1035">
        <v>5</v>
      </c>
      <c r="B16" s="1036" t="s">
        <v>101</v>
      </c>
      <c r="C16" s="1037"/>
      <c r="D16" s="1038">
        <v>2570</v>
      </c>
      <c r="E16" s="1811">
        <f>'Expenditures 15-22'!K64</f>
        <v>103024</v>
      </c>
      <c r="F16" s="1039"/>
      <c r="G16" s="1811">
        <f t="shared" si="0"/>
        <v>103024</v>
      </c>
      <c r="H16" s="1040">
        <v>106354</v>
      </c>
      <c r="I16" s="1039"/>
      <c r="J16" s="1811">
        <f t="shared" si="1"/>
        <v>106354</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2198076</v>
      </c>
      <c r="F19" s="1813">
        <f t="shared" si="2"/>
        <v>2736</v>
      </c>
      <c r="G19" s="1813">
        <f t="shared" si="2"/>
        <v>2200812</v>
      </c>
      <c r="H19" s="1813">
        <f t="shared" si="2"/>
        <v>2273271</v>
      </c>
      <c r="I19" s="1813">
        <f t="shared" si="2"/>
        <v>2737</v>
      </c>
      <c r="J19" s="1813">
        <f t="shared" si="2"/>
        <v>2276008</v>
      </c>
    </row>
    <row r="20" spans="1:10" ht="13.5" thickTop="1" x14ac:dyDescent="0.2">
      <c r="A20" s="1035">
        <v>9</v>
      </c>
      <c r="B20" s="2336" t="s">
        <v>1979</v>
      </c>
      <c r="C20" s="2336"/>
      <c r="D20" s="2337"/>
      <c r="E20" s="1046"/>
      <c r="F20" s="1046"/>
      <c r="G20" s="1046"/>
      <c r="H20" s="1046"/>
      <c r="I20" s="1046"/>
      <c r="J20" s="1814">
        <f>IF(AND(G19&gt;0,J19&gt;0),(((J19-G19)/G19)),"Enter Budget Data")</f>
        <v>3.4167389127285744E-2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1981</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2203</v>
      </c>
    </row>
    <row r="6" spans="1:2" x14ac:dyDescent="0.2">
      <c r="A6" s="1068">
        <v>2</v>
      </c>
      <c r="B6" s="329" t="s">
        <v>2223</v>
      </c>
    </row>
    <row r="7" spans="1:2" x14ac:dyDescent="0.2">
      <c r="A7" s="1068">
        <v>3</v>
      </c>
      <c r="B7" s="329" t="s">
        <v>2210</v>
      </c>
    </row>
    <row r="8" spans="1:2" x14ac:dyDescent="0.2">
      <c r="A8" s="1068">
        <v>4</v>
      </c>
      <c r="B8" s="329" t="s">
        <v>2211</v>
      </c>
    </row>
    <row r="9" spans="1:2" x14ac:dyDescent="0.2">
      <c r="A9" s="1069">
        <v>5</v>
      </c>
      <c r="B9" s="329" t="s">
        <v>2212</v>
      </c>
    </row>
    <row r="10" spans="1:2" x14ac:dyDescent="0.2">
      <c r="A10" s="1069">
        <v>6</v>
      </c>
      <c r="B10" s="329" t="s">
        <v>2213</v>
      </c>
    </row>
    <row r="11" spans="1:2" x14ac:dyDescent="0.2">
      <c r="A11" s="1069">
        <v>7</v>
      </c>
      <c r="B11" s="329" t="s">
        <v>2214</v>
      </c>
    </row>
    <row r="12" spans="1:2" x14ac:dyDescent="0.2">
      <c r="A12" s="1069">
        <v>8</v>
      </c>
      <c r="B12" s="329" t="s">
        <v>2215</v>
      </c>
    </row>
    <row r="13" spans="1:2" x14ac:dyDescent="0.2">
      <c r="A13" s="1069">
        <v>9</v>
      </c>
      <c r="B13" s="329" t="s">
        <v>2216</v>
      </c>
    </row>
    <row r="14" spans="1:2" x14ac:dyDescent="0.2">
      <c r="A14" s="1069">
        <v>10</v>
      </c>
      <c r="B14" s="329" t="s">
        <v>2217</v>
      </c>
    </row>
    <row r="15" spans="1:2" x14ac:dyDescent="0.2">
      <c r="A15" s="1069">
        <v>11</v>
      </c>
      <c r="B15" s="329" t="s">
        <v>2219</v>
      </c>
    </row>
    <row r="16" spans="1:2" x14ac:dyDescent="0.2">
      <c r="A16" s="1069">
        <v>12</v>
      </c>
      <c r="B16" s="329" t="s">
        <v>2220</v>
      </c>
    </row>
    <row r="17" spans="1:2" x14ac:dyDescent="0.2">
      <c r="A17" s="1069">
        <v>13</v>
      </c>
      <c r="B17" s="329" t="s">
        <v>2221</v>
      </c>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Freeport SD 145</v>
      </c>
    </row>
    <row r="65" spans="2:2" x14ac:dyDescent="0.2">
      <c r="B65" s="1070">
        <f>COVER!A13</f>
        <v>8089145022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7" zoomScale="110" zoomScaleNormal="110" workbookViewId="0">
      <selection activeCell="E29" sqref="E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7889" r:id="rId4">
          <objectPr defaultSize="0" r:id="rId5">
            <anchor moveWithCells="1">
              <from>
                <xdr:col>1</xdr:col>
                <xdr:colOff>276225</xdr:colOff>
                <xdr:row>1</xdr:row>
                <xdr:rowOff>85725</xdr:rowOff>
              </from>
              <to>
                <xdr:col>1</xdr:col>
                <xdr:colOff>1190625</xdr:colOff>
                <xdr:row>5</xdr:row>
                <xdr:rowOff>123825</xdr:rowOff>
              </to>
            </anchor>
          </objectPr>
        </oleObject>
      </mc:Choice>
      <mc:Fallback>
        <oleObject progId="Acrobat.Document.2015" dvAspect="DVASPECT_ICON" shapeId="37889" r:id="rId4"/>
      </mc:Fallback>
    </mc:AlternateContent>
    <mc:AlternateContent xmlns:mc="http://schemas.openxmlformats.org/markup-compatibility/2006">
      <mc:Choice Requires="x14">
        <oleObject progId="Acrobat.Document.2015" dvAspect="DVASPECT_ICON" shapeId="37890" r:id="rId6">
          <objectPr defaultSize="0" r:id="rId5">
            <anchor moveWithCells="1">
              <from>
                <xdr:col>1</xdr:col>
                <xdr:colOff>1400175</xdr:colOff>
                <xdr:row>1</xdr:row>
                <xdr:rowOff>95250</xdr:rowOff>
              </from>
              <to>
                <xdr:col>1</xdr:col>
                <xdr:colOff>2314575</xdr:colOff>
                <xdr:row>5</xdr:row>
                <xdr:rowOff>133350</xdr:rowOff>
              </to>
            </anchor>
          </objectPr>
        </oleObject>
      </mc:Choice>
      <mc:Fallback>
        <oleObject progId="Acrobat.Document.2015"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X29" sqref="X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1986</v>
      </c>
      <c r="B4" s="2364"/>
      <c r="C4" s="2364"/>
      <c r="D4" s="2364"/>
      <c r="E4" s="2364"/>
      <c r="F4" s="2365"/>
      <c r="G4" s="1074"/>
      <c r="H4" s="1074"/>
    </row>
    <row r="5" spans="1:8" ht="14.25" customHeight="1" x14ac:dyDescent="0.2">
      <c r="A5" s="2366" t="s">
        <v>1982</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42456261</v>
      </c>
      <c r="C8" s="1815">
        <f>'Acct Summary 7-8'!D8</f>
        <v>4596862</v>
      </c>
      <c r="D8" s="1815">
        <f>'Acct Summary 7-8'!F8</f>
        <v>3538897</v>
      </c>
      <c r="E8" s="1815">
        <f>'Acct Summary 7-8'!I8</f>
        <v>102026</v>
      </c>
      <c r="F8" s="1815">
        <f>SUM(B8:E8)</f>
        <v>50694046</v>
      </c>
    </row>
    <row r="9" spans="1:8" s="1079" customFormat="1" ht="14.25" customHeight="1" thickBot="1" x14ac:dyDescent="0.25">
      <c r="A9" s="1078" t="s">
        <v>1369</v>
      </c>
      <c r="B9" s="1816">
        <f>'Acct Summary 7-8'!C17</f>
        <v>44099685</v>
      </c>
      <c r="C9" s="1816">
        <f>'Acct Summary 7-8'!D17</f>
        <v>4424802</v>
      </c>
      <c r="D9" s="1816">
        <f>'Acct Summary 7-8'!F17</f>
        <v>3207632</v>
      </c>
      <c r="E9" s="1815"/>
      <c r="F9" s="1815">
        <f>SUM(B9:E9)</f>
        <v>51732119</v>
      </c>
    </row>
    <row r="10" spans="1:8" s="1079" customFormat="1" ht="14.25" thickTop="1" thickBot="1" x14ac:dyDescent="0.25">
      <c r="A10" s="1080" t="s">
        <v>1370</v>
      </c>
      <c r="B10" s="1817">
        <f>(B8-B9)</f>
        <v>-1643424</v>
      </c>
      <c r="C10" s="1817">
        <f>(C8-C9)</f>
        <v>172060</v>
      </c>
      <c r="D10" s="1817">
        <f>(D8-D9)</f>
        <v>331265</v>
      </c>
      <c r="E10" s="1816">
        <f>(E8-E9)</f>
        <v>102026</v>
      </c>
      <c r="F10" s="1818">
        <f>SUM(F8-F9)</f>
        <v>-1038073</v>
      </c>
    </row>
    <row r="11" spans="1:8" s="1079" customFormat="1" ht="14.25" thickTop="1" thickBot="1" x14ac:dyDescent="0.25">
      <c r="A11" s="1081" t="s">
        <v>1983</v>
      </c>
      <c r="B11" s="1819">
        <f>'Acct Summary 7-8'!C81</f>
        <v>3889463</v>
      </c>
      <c r="C11" s="1819">
        <f>'Acct Summary 7-8'!D81</f>
        <v>3446193</v>
      </c>
      <c r="D11" s="1819">
        <f>'Acct Summary 7-8'!F81</f>
        <v>4428329</v>
      </c>
      <c r="E11" s="1819">
        <f>'Acct Summary 7-8'!I81</f>
        <v>386551</v>
      </c>
      <c r="F11" s="1820">
        <f>SUM(B11:E11)</f>
        <v>12150536</v>
      </c>
    </row>
    <row r="12" spans="1:8" ht="16.5" customHeight="1" thickTop="1" x14ac:dyDescent="0.2">
      <c r="A12" s="1082"/>
      <c r="B12" s="1083"/>
      <c r="C12" s="2348" t="str">
        <f>IF(AND(F10&lt;0,F11&gt;=0,ABS(F10*3)&gt;ABS(F11)),A16,IF(AND(F10&lt;0,F11&gt;0,ABS(F10*3)&lt;=ABS(F11)),A17,IF(AND(F10&lt;0,F11&lt;0),A16,IF(F11=0,A19,A18))))</f>
        <v>Unbalanced -  however, a deficit reduction plan is not required at this time.</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46" sqref="C4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8089145022</v>
      </c>
    </row>
    <row r="3" spans="1:2" x14ac:dyDescent="0.2">
      <c r="A3" t="s">
        <v>956</v>
      </c>
      <c r="B3" s="138" t="str">
        <f>COVER!A15</f>
        <v>STEPHENSON</v>
      </c>
    </row>
    <row r="4" spans="1:2" x14ac:dyDescent="0.2">
      <c r="A4" t="s">
        <v>1007</v>
      </c>
      <c r="B4" s="138" t="str">
        <f>COVER!A17</f>
        <v>Freeport SD 145</v>
      </c>
    </row>
    <row r="5" spans="1:2" x14ac:dyDescent="0.2">
      <c r="A5" t="s">
        <v>704</v>
      </c>
      <c r="B5" s="138" t="str">
        <f>COVER!A38</f>
        <v>Patrick McDermott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J. SCHUELER</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14142254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15000</v>
      </c>
      <c r="D72" s="2" t="str">
        <f t="shared" si="0"/>
        <v>Error?</v>
      </c>
    </row>
    <row r="73" spans="1:4" x14ac:dyDescent="0.2">
      <c r="A73" s="5">
        <v>12</v>
      </c>
      <c r="B73" s="138">
        <f>'Assets-Liab 5-6'!C5</f>
        <v>384690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6224</v>
      </c>
      <c r="D76" s="2" t="str">
        <f t="shared" si="0"/>
        <v>Error?</v>
      </c>
    </row>
    <row r="77" spans="1:4" x14ac:dyDescent="0.2">
      <c r="A77" s="5">
        <v>16</v>
      </c>
      <c r="B77" s="138">
        <f>'Assets-Liab 5-6'!C13</f>
        <v>19124372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692349</v>
      </c>
      <c r="D86" s="2" t="str">
        <f t="shared" si="0"/>
        <v>Error?</v>
      </c>
    </row>
    <row r="87" spans="1:4" x14ac:dyDescent="0.2">
      <c r="A87" s="10">
        <v>26</v>
      </c>
      <c r="D87" s="2" t="str">
        <f t="shared" si="0"/>
        <v>OK</v>
      </c>
    </row>
    <row r="88" spans="1:4" x14ac:dyDescent="0.2">
      <c r="A88" s="5">
        <v>27</v>
      </c>
      <c r="B88" s="138">
        <f>'Assets-Liab 5-6'!C32</f>
        <v>7146132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15234909</v>
      </c>
      <c r="C91" s="2" t="s">
        <v>573</v>
      </c>
      <c r="D91" s="2" t="str">
        <f t="shared" si="0"/>
        <v>Error?</v>
      </c>
    </row>
    <row r="92" spans="1:4" x14ac:dyDescent="0.2">
      <c r="A92" s="5">
        <v>31</v>
      </c>
      <c r="B92" s="138">
        <f>'Assets-Liab 5-6'!C39</f>
        <v>3889463</v>
      </c>
      <c r="D92" s="2" t="str">
        <f t="shared" si="0"/>
        <v>Error?</v>
      </c>
    </row>
    <row r="93" spans="1:4" x14ac:dyDescent="0.2">
      <c r="A93" s="5">
        <v>32</v>
      </c>
      <c r="B93" s="138">
        <f>'Assets-Liab 5-6'!C41</f>
        <v>19124372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2221920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2257704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4755947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1110960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1309754</v>
      </c>
      <c r="C122" s="2" t="s">
        <v>573</v>
      </c>
      <c r="D122" s="2" t="str">
        <f t="shared" si="0"/>
        <v>Error?</v>
      </c>
    </row>
    <row r="123" spans="1:4" x14ac:dyDescent="0.2">
      <c r="A123" s="5">
        <v>62</v>
      </c>
      <c r="B123" s="138">
        <f>'Assets-Liab 5-6'!D39</f>
        <v>3446193</v>
      </c>
      <c r="D123" s="2" t="str">
        <f t="shared" si="0"/>
        <v>Error?</v>
      </c>
    </row>
    <row r="124" spans="1:4" x14ac:dyDescent="0.2">
      <c r="A124" s="5">
        <v>63</v>
      </c>
      <c r="B124" s="138">
        <f>'Assets-Liab 5-6'!D41</f>
        <v>4755947</v>
      </c>
      <c r="C124" s="2" t="s">
        <v>573</v>
      </c>
      <c r="D124" s="2" t="str">
        <f t="shared" si="0"/>
        <v>Error?</v>
      </c>
    </row>
    <row r="125" spans="1:4" x14ac:dyDescent="0.2">
      <c r="A125" s="10">
        <v>64</v>
      </c>
      <c r="D125" s="2" t="str">
        <f t="shared" si="0"/>
        <v>OK</v>
      </c>
    </row>
    <row r="126" spans="1:4" x14ac:dyDescent="0.2">
      <c r="A126" s="5">
        <v>65</v>
      </c>
      <c r="B126" s="138">
        <f>'Assets-Liab 5-6'!E6</f>
        <v>2760573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3531394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1380286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1380286</v>
      </c>
      <c r="C139" s="2" t="s">
        <v>573</v>
      </c>
      <c r="D139" s="2" t="str">
        <f t="shared" si="1"/>
        <v>Error?</v>
      </c>
    </row>
    <row r="140" spans="1:4" x14ac:dyDescent="0.2">
      <c r="A140" s="5">
        <v>79</v>
      </c>
      <c r="B140" s="138">
        <f>'Assets-Liab 5-6'!E39</f>
        <v>2151108</v>
      </c>
      <c r="D140" s="2" t="str">
        <f t="shared" si="1"/>
        <v>Error?</v>
      </c>
    </row>
    <row r="141" spans="1:4" x14ac:dyDescent="0.2">
      <c r="A141" s="5">
        <v>80</v>
      </c>
      <c r="B141" s="138">
        <f>'Assets-Liab 5-6'!E41</f>
        <v>3531394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1700035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2559491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5467150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850018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1038821</v>
      </c>
      <c r="C169" s="2" t="s">
        <v>573</v>
      </c>
      <c r="D169" s="2" t="str">
        <f t="shared" si="1"/>
        <v>Error?</v>
      </c>
    </row>
    <row r="170" spans="1:4" x14ac:dyDescent="0.2">
      <c r="A170" s="5">
        <v>109</v>
      </c>
      <c r="B170" s="138">
        <f>'Assets-Liab 5-6'!F39</f>
        <v>4428329</v>
      </c>
      <c r="D170" s="2" t="str">
        <f t="shared" si="1"/>
        <v>Error?</v>
      </c>
    </row>
    <row r="171" spans="1:4" x14ac:dyDescent="0.2">
      <c r="A171" s="5">
        <v>110</v>
      </c>
      <c r="B171" s="138">
        <f>'Assets-Liab 5-6'!F41</f>
        <v>5467150</v>
      </c>
      <c r="C171" s="2" t="s">
        <v>573</v>
      </c>
      <c r="D171" s="2" t="str">
        <f t="shared" si="1"/>
        <v>Error?</v>
      </c>
    </row>
    <row r="172" spans="1:4" x14ac:dyDescent="0.2">
      <c r="A172" s="10">
        <v>111</v>
      </c>
      <c r="D172" s="2" t="str">
        <f t="shared" si="1"/>
        <v>OK</v>
      </c>
    </row>
    <row r="173" spans="1:4" x14ac:dyDescent="0.2">
      <c r="A173" s="5">
        <v>112</v>
      </c>
      <c r="B173" s="138">
        <f>'Assets-Liab 5-6'!G6</f>
        <v>1730046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3406363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865023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949908</v>
      </c>
      <c r="C188" s="2" t="s">
        <v>573</v>
      </c>
      <c r="D188" s="2" t="str">
        <f t="shared" si="1"/>
        <v>Error?</v>
      </c>
    </row>
    <row r="189" spans="1:4" x14ac:dyDescent="0.2">
      <c r="A189" s="5">
        <v>128</v>
      </c>
      <c r="B189" s="138">
        <f>'Assets-Liab 5-6'!G39</f>
        <v>1615729</v>
      </c>
      <c r="D189" s="2" t="str">
        <f t="shared" si="1"/>
        <v>Error?</v>
      </c>
    </row>
    <row r="190" spans="1:4" x14ac:dyDescent="0.2">
      <c r="A190" s="5">
        <v>129</v>
      </c>
      <c r="B190" s="138">
        <f>'Assets-Liab 5-6'!G41</f>
        <v>3406363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10011553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11080535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11080535</v>
      </c>
      <c r="D212" s="2" t="str">
        <f t="shared" si="2"/>
        <v>Error?</v>
      </c>
    </row>
    <row r="213" spans="1:4" x14ac:dyDescent="0.2">
      <c r="A213" s="12">
        <v>152</v>
      </c>
      <c r="B213" s="138">
        <f>'Assets-Liab 5-6'!H41</f>
        <v>11080535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822541</v>
      </c>
      <c r="D273" s="2" t="str">
        <f t="shared" si="3"/>
        <v>Error?</v>
      </c>
    </row>
    <row r="274" spans="1:4" x14ac:dyDescent="0.2">
      <c r="A274" s="5">
        <v>213</v>
      </c>
      <c r="B274" s="138">
        <f>'Assets-Liab 5-6'!M17</f>
        <v>5967640</v>
      </c>
      <c r="D274" s="2" t="str">
        <f t="shared" si="3"/>
        <v>Error?</v>
      </c>
    </row>
    <row r="275" spans="1:4" x14ac:dyDescent="0.2">
      <c r="A275" s="5">
        <v>214</v>
      </c>
      <c r="B275" s="138">
        <f>'Assets-Liab 5-6'!M18</f>
        <v>934936</v>
      </c>
      <c r="D275" s="2" t="str">
        <f t="shared" si="3"/>
        <v>Error?</v>
      </c>
    </row>
    <row r="276" spans="1:4" x14ac:dyDescent="0.2">
      <c r="A276" s="5">
        <v>215</v>
      </c>
      <c r="B276" s="138">
        <f>'Assets-Liab 5-6'!M19</f>
        <v>1614173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9339290</v>
      </c>
      <c r="C279" s="2" t="s">
        <v>573</v>
      </c>
      <c r="D279" s="2" t="str">
        <f t="shared" si="3"/>
        <v>Error?</v>
      </c>
    </row>
    <row r="280" spans="1:4" x14ac:dyDescent="0.2">
      <c r="A280" s="5">
        <v>219</v>
      </c>
      <c r="B280" s="138">
        <f>'Assets-Liab 5-6'!M40</f>
        <v>9339290</v>
      </c>
      <c r="D280" s="2" t="str">
        <f t="shared" si="3"/>
        <v>Error?</v>
      </c>
    </row>
    <row r="281" spans="1:4" x14ac:dyDescent="0.2">
      <c r="A281" s="5">
        <v>220</v>
      </c>
      <c r="B281" s="138">
        <f>'Assets-Liab 5-6'!M41</f>
        <v>9339290</v>
      </c>
      <c r="C281" s="2" t="s">
        <v>573</v>
      </c>
      <c r="D281" s="2" t="str">
        <f t="shared" si="3"/>
        <v>Error?</v>
      </c>
    </row>
    <row r="282" spans="1:4" x14ac:dyDescent="0.2">
      <c r="A282" s="5">
        <v>221</v>
      </c>
      <c r="B282" s="138">
        <f>'Assets-Liab 5-6'!N21</f>
        <v>2151108</v>
      </c>
      <c r="D282" s="2" t="str">
        <f t="shared" si="3"/>
        <v>Error?</v>
      </c>
    </row>
    <row r="283" spans="1:4" x14ac:dyDescent="0.2">
      <c r="A283" s="5">
        <v>222</v>
      </c>
      <c r="B283" s="138">
        <f>'Assets-Liab 5-6'!N22</f>
        <v>25663775</v>
      </c>
      <c r="D283" s="2" t="str">
        <f t="shared" si="3"/>
        <v>Error?</v>
      </c>
    </row>
    <row r="284" spans="1:4" x14ac:dyDescent="0.2">
      <c r="A284" s="5">
        <v>223</v>
      </c>
      <c r="B284" s="138">
        <f>'Assets-Liab 5-6'!N23</f>
        <v>27814883</v>
      </c>
      <c r="C284" s="2" t="s">
        <v>573</v>
      </c>
      <c r="D284" s="2" t="str">
        <f t="shared" si="3"/>
        <v>Error?</v>
      </c>
    </row>
    <row r="285" spans="1:4" x14ac:dyDescent="0.2">
      <c r="A285" s="5">
        <v>224</v>
      </c>
      <c r="B285" s="138">
        <f>'Assets-Liab 5-6'!N36</f>
        <v>27814883</v>
      </c>
      <c r="D285" s="2" t="str">
        <f t="shared" si="3"/>
        <v>Error?</v>
      </c>
    </row>
    <row r="286" spans="1:4" x14ac:dyDescent="0.2">
      <c r="A286" s="10">
        <v>225</v>
      </c>
      <c r="D286" s="2" t="str">
        <f t="shared" si="3"/>
        <v>OK</v>
      </c>
    </row>
    <row r="287" spans="1:4" x14ac:dyDescent="0.2">
      <c r="A287" s="5">
        <v>226</v>
      </c>
      <c r="B287" s="138">
        <f>'Assets-Liab 5-6'!N37</f>
        <v>27814883</v>
      </c>
      <c r="C287" s="2" t="s">
        <v>573</v>
      </c>
      <c r="D287" s="2" t="str">
        <f t="shared" si="3"/>
        <v>Error?</v>
      </c>
    </row>
    <row r="288" spans="1:4" x14ac:dyDescent="0.2">
      <c r="A288" s="5">
        <v>227</v>
      </c>
      <c r="B288" s="138">
        <f>'Assets-Liab 5-6'!N41</f>
        <v>27814883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11874790</v>
      </c>
      <c r="D705" s="2" t="str">
        <f t="shared" si="10"/>
        <v>Error?</v>
      </c>
    </row>
    <row r="706" spans="1:4" x14ac:dyDescent="0.2">
      <c r="A706" s="5">
        <v>645</v>
      </c>
      <c r="B706" s="138">
        <f>'Expenditures 15-22'!C16</f>
        <v>338133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493400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491264</v>
      </c>
      <c r="D717" s="2" t="str">
        <f t="shared" si="10"/>
        <v>Error?</v>
      </c>
    </row>
    <row r="718" spans="1:4" x14ac:dyDescent="0.2">
      <c r="A718" s="5">
        <v>657</v>
      </c>
      <c r="B718" s="138">
        <f>'Expenditures 15-22'!C14</f>
        <v>468287</v>
      </c>
      <c r="D718" s="2" t="str">
        <f t="shared" si="10"/>
        <v>Error?</v>
      </c>
    </row>
    <row r="719" spans="1:4" x14ac:dyDescent="0.2">
      <c r="A719" s="5">
        <v>658</v>
      </c>
      <c r="B719" s="138">
        <f>'Expenditures 15-22'!C15</f>
        <v>243023</v>
      </c>
      <c r="D719" s="2" t="str">
        <f t="shared" si="10"/>
        <v>Error?</v>
      </c>
    </row>
    <row r="720" spans="1:4" x14ac:dyDescent="0.2">
      <c r="A720" s="5">
        <v>659</v>
      </c>
      <c r="B720" s="138">
        <f>'Expenditures 15-22'!C33</f>
        <v>17989857</v>
      </c>
      <c r="C720" s="2" t="s">
        <v>573</v>
      </c>
      <c r="D720" s="2" t="str">
        <f t="shared" si="10"/>
        <v>Error?</v>
      </c>
    </row>
    <row r="721" spans="1:4" x14ac:dyDescent="0.2">
      <c r="A721" s="5">
        <v>660</v>
      </c>
      <c r="B721" s="138">
        <f>'Expenditures 15-22'!C36</f>
        <v>952428</v>
      </c>
      <c r="D721" s="2" t="str">
        <f t="shared" si="10"/>
        <v>Error?</v>
      </c>
    </row>
    <row r="722" spans="1:4" x14ac:dyDescent="0.2">
      <c r="A722" s="5">
        <v>661</v>
      </c>
      <c r="B722" s="138">
        <f>'Expenditures 15-22'!C37</f>
        <v>640507</v>
      </c>
      <c r="D722" s="2" t="str">
        <f t="shared" si="10"/>
        <v>Error?</v>
      </c>
    </row>
    <row r="723" spans="1:4" x14ac:dyDescent="0.2">
      <c r="A723" s="5">
        <v>662</v>
      </c>
      <c r="B723" s="138">
        <f>'Expenditures 15-22'!C38</f>
        <v>597065</v>
      </c>
      <c r="D723" s="2" t="str">
        <f t="shared" si="10"/>
        <v>Error?</v>
      </c>
    </row>
    <row r="724" spans="1:4" x14ac:dyDescent="0.2">
      <c r="A724" s="5">
        <v>663</v>
      </c>
      <c r="B724" s="138">
        <f>'Expenditures 15-22'!C39</f>
        <v>314104</v>
      </c>
      <c r="D724" s="2" t="str">
        <f t="shared" si="10"/>
        <v>Error?</v>
      </c>
    </row>
    <row r="725" spans="1:4" x14ac:dyDescent="0.2">
      <c r="A725" s="5">
        <v>664</v>
      </c>
      <c r="B725" s="138">
        <f>'Expenditures 15-22'!C40</f>
        <v>452368</v>
      </c>
      <c r="D725" s="2" t="str">
        <f t="shared" si="10"/>
        <v>Error?</v>
      </c>
    </row>
    <row r="726" spans="1:4" x14ac:dyDescent="0.2">
      <c r="A726" s="5">
        <v>665</v>
      </c>
      <c r="B726" s="138">
        <f>'Expenditures 15-22'!C41</f>
        <v>147220</v>
      </c>
      <c r="D726" s="2" t="str">
        <f t="shared" si="10"/>
        <v>Error?</v>
      </c>
    </row>
    <row r="727" spans="1:4" x14ac:dyDescent="0.2">
      <c r="A727" s="5">
        <v>666</v>
      </c>
      <c r="B727" s="138">
        <f>'Expenditures 15-22'!C42</f>
        <v>3103692</v>
      </c>
      <c r="C727" s="2" t="s">
        <v>573</v>
      </c>
      <c r="D727" s="2" t="str">
        <f t="shared" si="10"/>
        <v>Error?</v>
      </c>
    </row>
    <row r="728" spans="1:4" x14ac:dyDescent="0.2">
      <c r="A728" s="5">
        <v>667</v>
      </c>
      <c r="B728" s="138">
        <f>'Expenditures 15-22'!C44</f>
        <v>1080172</v>
      </c>
      <c r="D728" s="2" t="str">
        <f t="shared" si="10"/>
        <v>Error?</v>
      </c>
    </row>
    <row r="729" spans="1:4" x14ac:dyDescent="0.2">
      <c r="A729" s="5">
        <v>668</v>
      </c>
      <c r="B729" s="138">
        <f>'Expenditures 15-22'!C45</f>
        <v>784562</v>
      </c>
      <c r="D729" s="2" t="str">
        <f t="shared" si="10"/>
        <v>Error?</v>
      </c>
    </row>
    <row r="730" spans="1:4" x14ac:dyDescent="0.2">
      <c r="A730" s="5">
        <v>669</v>
      </c>
      <c r="B730" s="138">
        <f>'Expenditures 15-22'!C46</f>
        <v>1159</v>
      </c>
      <c r="D730" s="2" t="str">
        <f t="shared" si="10"/>
        <v>Error?</v>
      </c>
    </row>
    <row r="731" spans="1:4" x14ac:dyDescent="0.2">
      <c r="A731" s="5">
        <v>670</v>
      </c>
      <c r="B731" s="138">
        <f>'Expenditures 15-22'!C47</f>
        <v>1865893</v>
      </c>
      <c r="C731" s="2" t="s">
        <v>573</v>
      </c>
      <c r="D731" s="2" t="str">
        <f t="shared" si="10"/>
        <v>Error?</v>
      </c>
    </row>
    <row r="732" spans="1:4" x14ac:dyDescent="0.2">
      <c r="A732" s="5">
        <v>671</v>
      </c>
      <c r="B732" s="138">
        <f>'Expenditures 15-22'!C49</f>
        <v>2848</v>
      </c>
      <c r="D732" s="2" t="str">
        <f t="shared" si="10"/>
        <v>Error?</v>
      </c>
    </row>
    <row r="733" spans="1:4" x14ac:dyDescent="0.2">
      <c r="A733" s="5">
        <v>672</v>
      </c>
      <c r="B733" s="138">
        <f>'Expenditures 15-22'!C50</f>
        <v>225898</v>
      </c>
      <c r="D733" s="2" t="str">
        <f t="shared" si="10"/>
        <v>Error?</v>
      </c>
    </row>
    <row r="734" spans="1:4" x14ac:dyDescent="0.2">
      <c r="A734" s="5">
        <v>673</v>
      </c>
      <c r="B734" s="138">
        <f>'Expenditures 15-22'!C53</f>
        <v>532988</v>
      </c>
      <c r="C734" s="2" t="s">
        <v>573</v>
      </c>
      <c r="D734" s="2" t="str">
        <f t="shared" si="10"/>
        <v>Error?</v>
      </c>
    </row>
    <row r="735" spans="1:4" x14ac:dyDescent="0.2">
      <c r="A735" s="5">
        <v>674</v>
      </c>
      <c r="B735" s="138">
        <f>'Expenditures 15-22'!C55</f>
        <v>1895899</v>
      </c>
      <c r="D735" s="2" t="str">
        <f t="shared" si="10"/>
        <v>Error?</v>
      </c>
    </row>
    <row r="736" spans="1:4" x14ac:dyDescent="0.2">
      <c r="A736" s="5">
        <v>675</v>
      </c>
      <c r="B736" s="138">
        <f>'Expenditures 15-22'!C56</f>
        <v>788914</v>
      </c>
      <c r="D736" s="2" t="str">
        <f t="shared" si="10"/>
        <v>Error?</v>
      </c>
    </row>
    <row r="737" spans="1:4" x14ac:dyDescent="0.2">
      <c r="A737" s="5">
        <v>676</v>
      </c>
      <c r="B737" s="138">
        <f>'Expenditures 15-22'!C57</f>
        <v>2684813</v>
      </c>
      <c r="C737" s="2" t="s">
        <v>573</v>
      </c>
      <c r="D737" s="2" t="str">
        <f t="shared" si="10"/>
        <v>Error?</v>
      </c>
    </row>
    <row r="738" spans="1:4" x14ac:dyDescent="0.2">
      <c r="A738" s="5">
        <v>677</v>
      </c>
      <c r="B738" s="138">
        <f>'Expenditures 15-22'!C59</f>
        <v>173610</v>
      </c>
      <c r="D738" s="2" t="str">
        <f t="shared" si="10"/>
        <v>Error?</v>
      </c>
    </row>
    <row r="739" spans="1:4" x14ac:dyDescent="0.2">
      <c r="A739" s="5">
        <v>678</v>
      </c>
      <c r="B739" s="138">
        <f>'Expenditures 15-22'!C60</f>
        <v>164567</v>
      </c>
      <c r="D739" s="2" t="str">
        <f t="shared" si="10"/>
        <v>Error?</v>
      </c>
    </row>
    <row r="740" spans="1:4" x14ac:dyDescent="0.2">
      <c r="A740" s="5">
        <v>679</v>
      </c>
      <c r="B740" s="138">
        <f>'Expenditures 15-22'!C61</f>
        <v>9312</v>
      </c>
      <c r="D740" s="2" t="str">
        <f t="shared" si="10"/>
        <v>Error?</v>
      </c>
    </row>
    <row r="741" spans="1:4" x14ac:dyDescent="0.2">
      <c r="A741" s="5">
        <v>680</v>
      </c>
      <c r="B741" s="138">
        <f>'Expenditures 15-22'!C62</f>
        <v>330</v>
      </c>
      <c r="D741" s="2" t="str">
        <f t="shared" si="10"/>
        <v>Error?</v>
      </c>
    </row>
    <row r="742" spans="1:4" x14ac:dyDescent="0.2">
      <c r="A742" s="5">
        <v>681</v>
      </c>
      <c r="B742" s="138">
        <f>'Expenditures 15-22'!C63</f>
        <v>732620</v>
      </c>
      <c r="D742" s="2" t="str">
        <f t="shared" si="10"/>
        <v>Error?</v>
      </c>
    </row>
    <row r="743" spans="1:4" x14ac:dyDescent="0.2">
      <c r="A743" s="5">
        <v>682</v>
      </c>
      <c r="B743" s="138">
        <f>'Expenditures 15-22'!C64</f>
        <v>73843</v>
      </c>
      <c r="D743" s="2" t="str">
        <f t="shared" si="10"/>
        <v>Error?</v>
      </c>
    </row>
    <row r="744" spans="1:4" x14ac:dyDescent="0.2">
      <c r="A744" s="10">
        <v>683</v>
      </c>
      <c r="D744" s="2" t="str">
        <f t="shared" si="10"/>
        <v>OK</v>
      </c>
    </row>
    <row r="745" spans="1:4" x14ac:dyDescent="0.2">
      <c r="A745" s="5">
        <v>684</v>
      </c>
      <c r="B745" s="138">
        <f>'Expenditures 15-22'!C65</f>
        <v>1154282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268</v>
      </c>
      <c r="D747" s="2" t="str">
        <f t="shared" si="10"/>
        <v>Error?</v>
      </c>
    </row>
    <row r="748" spans="1:4" x14ac:dyDescent="0.2">
      <c r="A748" s="5">
        <v>687</v>
      </c>
      <c r="B748" s="138">
        <f>'Expenditures 15-22'!C69</f>
        <v>75963</v>
      </c>
      <c r="D748" s="2" t="str">
        <f t="shared" si="10"/>
        <v>Error?</v>
      </c>
    </row>
    <row r="749" spans="1:4" x14ac:dyDescent="0.2">
      <c r="A749" s="5">
        <v>688</v>
      </c>
      <c r="B749" s="138">
        <f>'Expenditures 15-22'!C70</f>
        <v>224779</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301010</v>
      </c>
      <c r="C753" s="2" t="s">
        <v>573</v>
      </c>
      <c r="D753" s="2" t="str">
        <f t="shared" si="10"/>
        <v>Error?</v>
      </c>
    </row>
    <row r="754" spans="1:4" x14ac:dyDescent="0.2">
      <c r="A754" s="5">
        <v>693</v>
      </c>
      <c r="B754" s="138">
        <f>'Expenditures 15-22'!C73</f>
        <v>69203</v>
      </c>
      <c r="D754" s="2" t="str">
        <f t="shared" si="10"/>
        <v>Error?</v>
      </c>
    </row>
    <row r="755" spans="1:4" x14ac:dyDescent="0.2">
      <c r="A755" s="5">
        <v>694</v>
      </c>
      <c r="B755" s="138">
        <f>'Expenditures 15-22'!C74</f>
        <v>9711881</v>
      </c>
      <c r="C755" s="2" t="s">
        <v>573</v>
      </c>
      <c r="D755" s="2" t="str">
        <f t="shared" si="10"/>
        <v>Error?</v>
      </c>
    </row>
    <row r="756" spans="1:4" x14ac:dyDescent="0.2">
      <c r="A756" s="5">
        <v>695</v>
      </c>
      <c r="B756" s="138">
        <f>'Expenditures 15-22'!C75</f>
        <v>30929</v>
      </c>
      <c r="D756" s="2" t="str">
        <f t="shared" si="10"/>
        <v>Error?</v>
      </c>
    </row>
    <row r="757" spans="1:4" x14ac:dyDescent="0.2">
      <c r="A757" s="5">
        <v>696</v>
      </c>
      <c r="B757" s="138">
        <f>'Expenditures 15-22'!C114</f>
        <v>27732667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3498420</v>
      </c>
      <c r="D763" s="2" t="str">
        <f t="shared" si="10"/>
        <v>Error?</v>
      </c>
    </row>
    <row r="764" spans="1:4" x14ac:dyDescent="0.2">
      <c r="A764" s="5">
        <v>703</v>
      </c>
      <c r="B764" s="138">
        <f>'Expenditures 15-22'!D16</f>
        <v>74848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66314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140784</v>
      </c>
      <c r="D775" s="2" t="str">
        <f t="shared" si="11"/>
        <v>Error?</v>
      </c>
    </row>
    <row r="776" spans="1:4" x14ac:dyDescent="0.2">
      <c r="A776" s="5">
        <v>715</v>
      </c>
      <c r="B776" s="138">
        <f>'Expenditures 15-22'!D14</f>
        <v>32175</v>
      </c>
      <c r="D776" s="2" t="str">
        <f t="shared" si="11"/>
        <v>Error?</v>
      </c>
    </row>
    <row r="777" spans="1:4" x14ac:dyDescent="0.2">
      <c r="A777" s="5">
        <v>716</v>
      </c>
      <c r="B777" s="138">
        <f>'Expenditures 15-22'!D15</f>
        <v>23595</v>
      </c>
      <c r="D777" s="2" t="str">
        <f t="shared" si="11"/>
        <v>Error?</v>
      </c>
    </row>
    <row r="778" spans="1:4" x14ac:dyDescent="0.2">
      <c r="A778" s="5">
        <v>717</v>
      </c>
      <c r="B778" s="138">
        <f>'Expenditures 15-22'!D33</f>
        <v>4795497</v>
      </c>
      <c r="C778" s="2" t="s">
        <v>573</v>
      </c>
      <c r="D778" s="2" t="str">
        <f t="shared" si="11"/>
        <v>Error?</v>
      </c>
    </row>
    <row r="779" spans="1:4" x14ac:dyDescent="0.2">
      <c r="A779" s="5">
        <v>718</v>
      </c>
      <c r="B779" s="138">
        <f>'Expenditures 15-22'!D36</f>
        <v>271652</v>
      </c>
      <c r="D779" s="2" t="str">
        <f t="shared" si="11"/>
        <v>Error?</v>
      </c>
    </row>
    <row r="780" spans="1:4" x14ac:dyDescent="0.2">
      <c r="A780" s="5">
        <v>719</v>
      </c>
      <c r="B780" s="138">
        <f>'Expenditures 15-22'!D37</f>
        <v>167704</v>
      </c>
      <c r="D780" s="2" t="str">
        <f t="shared" si="11"/>
        <v>Error?</v>
      </c>
    </row>
    <row r="781" spans="1:4" x14ac:dyDescent="0.2">
      <c r="A781" s="5">
        <v>720</v>
      </c>
      <c r="B781" s="138">
        <f>'Expenditures 15-22'!D38</f>
        <v>125740</v>
      </c>
      <c r="D781" s="2" t="str">
        <f t="shared" si="11"/>
        <v>Error?</v>
      </c>
    </row>
    <row r="782" spans="1:4" x14ac:dyDescent="0.2">
      <c r="A782" s="5">
        <v>721</v>
      </c>
      <c r="B782" s="138">
        <f>'Expenditures 15-22'!D39</f>
        <v>66065</v>
      </c>
      <c r="D782" s="2" t="str">
        <f t="shared" si="11"/>
        <v>Error?</v>
      </c>
    </row>
    <row r="783" spans="1:4" x14ac:dyDescent="0.2">
      <c r="A783" s="5">
        <v>722</v>
      </c>
      <c r="B783" s="138">
        <f>'Expenditures 15-22'!D40</f>
        <v>110211</v>
      </c>
      <c r="D783" s="2" t="str">
        <f t="shared" si="11"/>
        <v>Error?</v>
      </c>
    </row>
    <row r="784" spans="1:4" x14ac:dyDescent="0.2">
      <c r="A784" s="5">
        <v>723</v>
      </c>
      <c r="B784" s="138">
        <f>'Expenditures 15-22'!D41</f>
        <v>28041</v>
      </c>
      <c r="D784" s="2" t="str">
        <f t="shared" si="11"/>
        <v>Error?</v>
      </c>
    </row>
    <row r="785" spans="1:4" x14ac:dyDescent="0.2">
      <c r="A785" s="5">
        <v>724</v>
      </c>
      <c r="B785" s="138">
        <f>'Expenditures 15-22'!D42</f>
        <v>769413</v>
      </c>
      <c r="C785" s="2" t="s">
        <v>573</v>
      </c>
      <c r="D785" s="2" t="str">
        <f t="shared" si="11"/>
        <v>Error?</v>
      </c>
    </row>
    <row r="786" spans="1:4" x14ac:dyDescent="0.2">
      <c r="A786" s="5">
        <v>725</v>
      </c>
      <c r="B786" s="138">
        <f>'Expenditures 15-22'!D44</f>
        <v>377588</v>
      </c>
      <c r="D786" s="2" t="str">
        <f t="shared" si="11"/>
        <v>Error?</v>
      </c>
    </row>
    <row r="787" spans="1:4" x14ac:dyDescent="0.2">
      <c r="A787" s="5">
        <v>726</v>
      </c>
      <c r="B787" s="138">
        <f>'Expenditures 15-22'!D45</f>
        <v>142126</v>
      </c>
      <c r="D787" s="2" t="str">
        <f t="shared" si="11"/>
        <v>Error?</v>
      </c>
    </row>
    <row r="788" spans="1:4" x14ac:dyDescent="0.2">
      <c r="A788" s="5">
        <v>727</v>
      </c>
      <c r="B788" s="138">
        <f>'Expenditures 15-22'!D46</f>
        <v>259</v>
      </c>
      <c r="D788" s="2" t="str">
        <f t="shared" si="11"/>
        <v>Error?</v>
      </c>
    </row>
    <row r="789" spans="1:4" x14ac:dyDescent="0.2">
      <c r="A789" s="5">
        <v>728</v>
      </c>
      <c r="B789" s="138">
        <f>'Expenditures 15-22'!D47</f>
        <v>519973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54934</v>
      </c>
      <c r="D791" s="2" t="str">
        <f t="shared" si="11"/>
        <v>Error?</v>
      </c>
    </row>
    <row r="792" spans="1:4" x14ac:dyDescent="0.2">
      <c r="A792" s="5">
        <v>731</v>
      </c>
      <c r="B792" s="138">
        <f>'Expenditures 15-22'!D53</f>
        <v>133275</v>
      </c>
      <c r="C792" s="2" t="s">
        <v>573</v>
      </c>
      <c r="D792" s="2" t="str">
        <f t="shared" si="11"/>
        <v>Error?</v>
      </c>
    </row>
    <row r="793" spans="1:4" x14ac:dyDescent="0.2">
      <c r="A793" s="5">
        <v>732</v>
      </c>
      <c r="B793" s="138">
        <f>'Expenditures 15-22'!D55</f>
        <v>601359</v>
      </c>
      <c r="D793" s="2" t="str">
        <f t="shared" si="11"/>
        <v>Error?</v>
      </c>
    </row>
    <row r="794" spans="1:4" x14ac:dyDescent="0.2">
      <c r="A794" s="5">
        <v>733</v>
      </c>
      <c r="B794" s="138">
        <f>'Expenditures 15-22'!D56</f>
        <v>174147</v>
      </c>
      <c r="D794" s="2" t="str">
        <f t="shared" si="11"/>
        <v>Error?</v>
      </c>
    </row>
    <row r="795" spans="1:4" x14ac:dyDescent="0.2">
      <c r="A795" s="5">
        <v>734</v>
      </c>
      <c r="B795" s="138">
        <f>'Expenditures 15-22'!D57</f>
        <v>775506</v>
      </c>
      <c r="C795" s="2" t="s">
        <v>573</v>
      </c>
      <c r="D795" s="2" t="str">
        <f t="shared" si="11"/>
        <v>Error?</v>
      </c>
    </row>
    <row r="796" spans="1:4" x14ac:dyDescent="0.2">
      <c r="A796" s="5">
        <v>735</v>
      </c>
      <c r="B796" s="138">
        <f>'Expenditures 15-22'!D59</f>
        <v>50277</v>
      </c>
      <c r="D796" s="2" t="str">
        <f t="shared" si="11"/>
        <v>Error?</v>
      </c>
    </row>
    <row r="797" spans="1:4" x14ac:dyDescent="0.2">
      <c r="A797" s="5">
        <v>736</v>
      </c>
      <c r="B797" s="138">
        <f>'Expenditures 15-22'!D60</f>
        <v>76543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132297</v>
      </c>
      <c r="D800" s="2" t="str">
        <f t="shared" si="11"/>
        <v>Error?</v>
      </c>
    </row>
    <row r="801" spans="1:4" x14ac:dyDescent="0.2">
      <c r="A801" s="5">
        <v>740</v>
      </c>
      <c r="B801" s="138">
        <f>'Expenditures 15-22'!D64</f>
        <v>19482</v>
      </c>
      <c r="D801" s="2" t="str">
        <f t="shared" si="11"/>
        <v>Error?</v>
      </c>
    </row>
    <row r="802" spans="1:4" x14ac:dyDescent="0.2">
      <c r="A802" s="10">
        <v>741</v>
      </c>
      <c r="D802" s="2" t="str">
        <f t="shared" si="11"/>
        <v>OK</v>
      </c>
    </row>
    <row r="803" spans="1:4" x14ac:dyDescent="0.2">
      <c r="A803" s="5">
        <v>742</v>
      </c>
      <c r="B803" s="138">
        <f>'Expenditures 15-22'!D65</f>
        <v>278599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60</v>
      </c>
      <c r="D805" s="2" t="str">
        <f t="shared" si="11"/>
        <v>Error?</v>
      </c>
    </row>
    <row r="806" spans="1:4" x14ac:dyDescent="0.2">
      <c r="A806" s="5">
        <v>745</v>
      </c>
      <c r="B806" s="138">
        <f>'Expenditures 15-22'!D69</f>
        <v>11182</v>
      </c>
      <c r="D806" s="2" t="str">
        <f t="shared" si="11"/>
        <v>Error?</v>
      </c>
    </row>
    <row r="807" spans="1:4" x14ac:dyDescent="0.2">
      <c r="A807" s="5">
        <v>746</v>
      </c>
      <c r="B807" s="138">
        <f>'Expenditures 15-22'!D70</f>
        <v>60368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71610</v>
      </c>
      <c r="C811" s="2" t="s">
        <v>573</v>
      </c>
      <c r="D811" s="2" t="str">
        <f t="shared" si="11"/>
        <v>Error?</v>
      </c>
    </row>
    <row r="812" spans="1:4" x14ac:dyDescent="0.2">
      <c r="A812" s="5">
        <v>751</v>
      </c>
      <c r="B812" s="138">
        <f>'Expenditures 15-22'!D73</f>
        <v>12929</v>
      </c>
      <c r="D812" s="2" t="str">
        <f t="shared" si="11"/>
        <v>Error?</v>
      </c>
    </row>
    <row r="813" spans="1:4" x14ac:dyDescent="0.2">
      <c r="A813" s="5">
        <v>752</v>
      </c>
      <c r="B813" s="138">
        <f>'Expenditures 15-22'!D74</f>
        <v>2561305</v>
      </c>
      <c r="C813" s="2" t="s">
        <v>573</v>
      </c>
      <c r="D813" s="2" t="str">
        <f t="shared" si="11"/>
        <v>Error?</v>
      </c>
    </row>
    <row r="814" spans="1:4" x14ac:dyDescent="0.2">
      <c r="A814" s="5">
        <v>753</v>
      </c>
      <c r="B814" s="138">
        <f>'Expenditures 15-22'!D75</f>
        <v>3706</v>
      </c>
      <c r="D814" s="2" t="str">
        <f t="shared" si="11"/>
        <v>Error?</v>
      </c>
    </row>
    <row r="815" spans="1:4" x14ac:dyDescent="0.2">
      <c r="A815" s="5">
        <v>754</v>
      </c>
      <c r="B815" s="138">
        <f>'Expenditures 15-22'!D114</f>
        <v>7360508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58974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223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71230</v>
      </c>
      <c r="D834" s="2" t="str">
        <f t="shared" si="12"/>
        <v>Error?</v>
      </c>
    </row>
    <row r="835" spans="1:4" x14ac:dyDescent="0.2">
      <c r="A835" s="5">
        <v>774</v>
      </c>
      <c r="B835" s="138">
        <f>'Expenditures 15-22'!E15</f>
        <v>4712</v>
      </c>
      <c r="D835" s="2" t="str">
        <f t="shared" si="12"/>
        <v>Error?</v>
      </c>
    </row>
    <row r="836" spans="1:4" x14ac:dyDescent="0.2">
      <c r="A836" s="5">
        <v>775</v>
      </c>
      <c r="B836" s="138">
        <f>'Expenditures 15-22'!E33</f>
        <v>541115</v>
      </c>
      <c r="C836" s="2" t="s">
        <v>573</v>
      </c>
      <c r="D836" s="2" t="str">
        <f t="shared" si="12"/>
        <v>Error?</v>
      </c>
    </row>
    <row r="837" spans="1:4" x14ac:dyDescent="0.2">
      <c r="A837" s="5">
        <v>776</v>
      </c>
      <c r="B837" s="138">
        <f>'Expenditures 15-22'!E36</f>
        <v>10264</v>
      </c>
      <c r="D837" s="2" t="str">
        <f t="shared" si="12"/>
        <v>Error?</v>
      </c>
    </row>
    <row r="838" spans="1:4" x14ac:dyDescent="0.2">
      <c r="A838" s="5">
        <v>777</v>
      </c>
      <c r="B838" s="138">
        <f>'Expenditures 15-22'!E37</f>
        <v>49</v>
      </c>
      <c r="D838" s="2" t="str">
        <f t="shared" si="12"/>
        <v>Error?</v>
      </c>
    </row>
    <row r="839" spans="1:4" x14ac:dyDescent="0.2">
      <c r="A839" s="5">
        <v>778</v>
      </c>
      <c r="B839" s="138">
        <f>'Expenditures 15-22'!E38</f>
        <v>1164</v>
      </c>
      <c r="D839" s="2" t="str">
        <f t="shared" si="12"/>
        <v>Error?</v>
      </c>
    </row>
    <row r="840" spans="1:4" x14ac:dyDescent="0.2">
      <c r="A840" s="5">
        <v>779</v>
      </c>
      <c r="B840" s="138">
        <f>'Expenditures 15-22'!E39</f>
        <v>3228</v>
      </c>
      <c r="D840" s="2" t="str">
        <f t="shared" si="12"/>
        <v>Error?</v>
      </c>
    </row>
    <row r="841" spans="1:4" x14ac:dyDescent="0.2">
      <c r="A841" s="5">
        <v>780</v>
      </c>
      <c r="B841" s="138">
        <f>'Expenditures 15-22'!E40</f>
        <v>8120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22825</v>
      </c>
      <c r="C843" s="2" t="s">
        <v>573</v>
      </c>
      <c r="D843" s="2" t="str">
        <f t="shared" si="12"/>
        <v>Error?</v>
      </c>
    </row>
    <row r="844" spans="1:4" x14ac:dyDescent="0.2">
      <c r="A844" s="5">
        <v>783</v>
      </c>
      <c r="B844" s="138">
        <f>'Expenditures 15-22'!E44</f>
        <v>415692</v>
      </c>
      <c r="D844" s="2" t="str">
        <f t="shared" si="12"/>
        <v>Error?</v>
      </c>
    </row>
    <row r="845" spans="1:4" x14ac:dyDescent="0.2">
      <c r="A845" s="5">
        <v>784</v>
      </c>
      <c r="B845" s="138">
        <f>'Expenditures 15-22'!E45</f>
        <v>701384</v>
      </c>
      <c r="D845" s="2" t="str">
        <f t="shared" si="12"/>
        <v>Error?</v>
      </c>
    </row>
    <row r="846" spans="1:4" x14ac:dyDescent="0.2">
      <c r="A846" s="5">
        <v>785</v>
      </c>
      <c r="B846" s="138">
        <f>'Expenditures 15-22'!E46</f>
        <v>10038</v>
      </c>
      <c r="D846" s="2" t="str">
        <f t="shared" si="12"/>
        <v>Error?</v>
      </c>
    </row>
    <row r="847" spans="1:4" x14ac:dyDescent="0.2">
      <c r="A847" s="5">
        <v>786</v>
      </c>
      <c r="B847" s="138">
        <f>'Expenditures 15-22'!E47</f>
        <v>1127114</v>
      </c>
      <c r="C847" s="2" t="s">
        <v>573</v>
      </c>
      <c r="D847" s="2" t="str">
        <f t="shared" si="12"/>
        <v>Error?</v>
      </c>
    </row>
    <row r="848" spans="1:4" x14ac:dyDescent="0.2">
      <c r="A848" s="5">
        <v>787</v>
      </c>
      <c r="B848" s="138">
        <f>'Expenditures 15-22'!E49</f>
        <v>102173</v>
      </c>
      <c r="D848" s="2" t="str">
        <f t="shared" si="12"/>
        <v>Error?</v>
      </c>
    </row>
    <row r="849" spans="1:4" x14ac:dyDescent="0.2">
      <c r="A849" s="5">
        <v>788</v>
      </c>
      <c r="B849" s="138">
        <f>'Expenditures 15-22'!E50</f>
        <v>5967</v>
      </c>
      <c r="D849" s="2" t="str">
        <f t="shared" si="12"/>
        <v>Error?</v>
      </c>
    </row>
    <row r="850" spans="1:4" x14ac:dyDescent="0.2">
      <c r="A850" s="5">
        <v>789</v>
      </c>
      <c r="B850" s="138">
        <f>'Expenditures 15-22'!E53</f>
        <v>138487</v>
      </c>
      <c r="C850" s="2" t="s">
        <v>573</v>
      </c>
      <c r="D850" s="2" t="str">
        <f t="shared" si="12"/>
        <v>Error?</v>
      </c>
    </row>
    <row r="851" spans="1:4" x14ac:dyDescent="0.2">
      <c r="A851" s="5">
        <v>790</v>
      </c>
      <c r="B851" s="138">
        <f>'Expenditures 15-22'!E55</f>
        <v>34410</v>
      </c>
      <c r="D851" s="2" t="str">
        <f t="shared" si="12"/>
        <v>Error?</v>
      </c>
    </row>
    <row r="852" spans="1:4" x14ac:dyDescent="0.2">
      <c r="A852" s="5">
        <v>791</v>
      </c>
      <c r="B852" s="138">
        <f>'Expenditures 15-22'!E56</f>
        <v>4488</v>
      </c>
      <c r="D852" s="2" t="str">
        <f t="shared" si="12"/>
        <v>Error?</v>
      </c>
    </row>
    <row r="853" spans="1:4" x14ac:dyDescent="0.2">
      <c r="A853" s="5">
        <v>792</v>
      </c>
      <c r="B853" s="138">
        <f>'Expenditures 15-22'!E57</f>
        <v>38898</v>
      </c>
      <c r="C853" s="2" t="s">
        <v>573</v>
      </c>
      <c r="D853" s="2" t="str">
        <f t="shared" si="12"/>
        <v>Error?</v>
      </c>
    </row>
    <row r="854" spans="1:4" x14ac:dyDescent="0.2">
      <c r="A854" s="5">
        <v>793</v>
      </c>
      <c r="B854" s="138">
        <f>'Expenditures 15-22'!E59</f>
        <v>143240</v>
      </c>
      <c r="D854" s="2" t="str">
        <f t="shared" si="12"/>
        <v>Error?</v>
      </c>
    </row>
    <row r="855" spans="1:4" x14ac:dyDescent="0.2">
      <c r="A855" s="5">
        <v>794</v>
      </c>
      <c r="B855" s="138">
        <f>'Expenditures 15-22'!E60</f>
        <v>4311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83213</v>
      </c>
      <c r="D857" s="2" t="str">
        <f t="shared" si="12"/>
        <v>Error?</v>
      </c>
    </row>
    <row r="858" spans="1:4" x14ac:dyDescent="0.2">
      <c r="A858" s="5">
        <v>797</v>
      </c>
      <c r="B858" s="138">
        <f>'Expenditures 15-22'!E63</f>
        <v>45302</v>
      </c>
      <c r="D858" s="2" t="str">
        <f t="shared" si="12"/>
        <v>Error?</v>
      </c>
    </row>
    <row r="859" spans="1:4" x14ac:dyDescent="0.2">
      <c r="A859" s="5">
        <v>798</v>
      </c>
      <c r="B859" s="138">
        <f>'Expenditures 15-22'!E64</f>
        <v>9248</v>
      </c>
      <c r="D859" s="2" t="str">
        <f t="shared" si="12"/>
        <v>Error?</v>
      </c>
    </row>
    <row r="860" spans="1:4" x14ac:dyDescent="0.2">
      <c r="A860" s="10">
        <v>799</v>
      </c>
      <c r="D860" s="2" t="str">
        <f t="shared" si="12"/>
        <v>OK</v>
      </c>
    </row>
    <row r="861" spans="1:4" x14ac:dyDescent="0.2">
      <c r="A861" s="5">
        <v>800</v>
      </c>
      <c r="B861" s="138">
        <f>'Expenditures 15-22'!E65</f>
        <v>285314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14886</v>
      </c>
      <c r="D863" s="2" t="str">
        <f t="shared" si="12"/>
        <v>Error?</v>
      </c>
    </row>
    <row r="864" spans="1:4" x14ac:dyDescent="0.2">
      <c r="A864" s="5">
        <v>803</v>
      </c>
      <c r="B864" s="138">
        <f>'Expenditures 15-22'!E69</f>
        <v>4926</v>
      </c>
      <c r="D864" s="2" t="str">
        <f t="shared" si="12"/>
        <v>Error?</v>
      </c>
    </row>
    <row r="865" spans="1:4" x14ac:dyDescent="0.2">
      <c r="A865" s="5">
        <v>804</v>
      </c>
      <c r="B865" s="138">
        <f>'Expenditures 15-22'!E70</f>
        <v>44059</v>
      </c>
      <c r="D865" s="2" t="str">
        <f t="shared" si="12"/>
        <v>Error?</v>
      </c>
    </row>
    <row r="866" spans="1:4" x14ac:dyDescent="0.2">
      <c r="A866" s="10">
        <v>805</v>
      </c>
      <c r="D866" s="2" t="str">
        <f t="shared" si="12"/>
        <v>OK</v>
      </c>
    </row>
    <row r="867" spans="1:4" x14ac:dyDescent="0.2">
      <c r="A867" s="5">
        <v>806</v>
      </c>
      <c r="B867" s="138">
        <f>'Expenditures 15-22'!E71</f>
        <v>128087</v>
      </c>
      <c r="D867" s="2" t="str">
        <f t="shared" si="12"/>
        <v>Error?</v>
      </c>
    </row>
    <row r="868" spans="1:4" x14ac:dyDescent="0.2">
      <c r="A868" s="10">
        <v>807</v>
      </c>
      <c r="D868" s="2" t="str">
        <f t="shared" si="12"/>
        <v>OK</v>
      </c>
    </row>
    <row r="869" spans="1:4" x14ac:dyDescent="0.2">
      <c r="A869" s="5">
        <v>808</v>
      </c>
      <c r="B869" s="138">
        <f>'Expenditures 15-22'!E72</f>
        <v>191958</v>
      </c>
      <c r="C869" s="2" t="s">
        <v>573</v>
      </c>
      <c r="D869" s="2" t="str">
        <f t="shared" si="12"/>
        <v>Error?</v>
      </c>
    </row>
    <row r="870" spans="1:4" x14ac:dyDescent="0.2">
      <c r="A870" s="5">
        <v>809</v>
      </c>
      <c r="B870" s="138">
        <f>'Expenditures 15-22'!E73</f>
        <v>3746</v>
      </c>
      <c r="D870" s="2" t="str">
        <f t="shared" si="12"/>
        <v>Error?</v>
      </c>
    </row>
    <row r="871" spans="1:4" x14ac:dyDescent="0.2">
      <c r="A871" s="5">
        <v>810</v>
      </c>
      <c r="B871" s="138">
        <f>'Expenditures 15-22'!E74</f>
        <v>1808342</v>
      </c>
      <c r="C871" s="2" t="s">
        <v>573</v>
      </c>
      <c r="D871" s="2" t="str">
        <f t="shared" si="12"/>
        <v>Error?</v>
      </c>
    </row>
    <row r="872" spans="1:4" x14ac:dyDescent="0.2">
      <c r="A872" s="5">
        <v>811</v>
      </c>
      <c r="B872" s="138">
        <f>'Expenditures 15-22'!E75</f>
        <v>55287</v>
      </c>
      <c r="D872" s="2" t="str">
        <f t="shared" si="12"/>
        <v>Error?</v>
      </c>
    </row>
    <row r="873" spans="1:4" x14ac:dyDescent="0.2">
      <c r="A873" s="5">
        <v>812</v>
      </c>
      <c r="B873" s="138">
        <f>'Expenditures 15-22'!E114</f>
        <v>2847365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664189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49517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11872</v>
      </c>
      <c r="D891" s="2" t="str">
        <f t="shared" si="12"/>
        <v>Error?</v>
      </c>
    </row>
    <row r="892" spans="1:4" x14ac:dyDescent="0.2">
      <c r="A892" s="5">
        <v>831</v>
      </c>
      <c r="B892" s="138">
        <f>'Expenditures 15-22'!F14</f>
        <v>57728</v>
      </c>
      <c r="D892" s="2" t="str">
        <f t="shared" si="12"/>
        <v>Error?</v>
      </c>
    </row>
    <row r="893" spans="1:4" x14ac:dyDescent="0.2">
      <c r="A893" s="5">
        <v>832</v>
      </c>
      <c r="B893" s="138">
        <f>'Expenditures 15-22'!F15</f>
        <v>66808</v>
      </c>
      <c r="D893" s="2" t="str">
        <f t="shared" si="12"/>
        <v>Error?</v>
      </c>
    </row>
    <row r="894" spans="1:4" x14ac:dyDescent="0.2">
      <c r="A894" s="5">
        <v>833</v>
      </c>
      <c r="B894" s="138">
        <f>'Expenditures 15-22'!F33</f>
        <v>1837225</v>
      </c>
      <c r="C894" s="2" t="s">
        <v>573</v>
      </c>
      <c r="D894" s="2" t="str">
        <f t="shared" si="12"/>
        <v>Error?</v>
      </c>
    </row>
    <row r="895" spans="1:4" x14ac:dyDescent="0.2">
      <c r="A895" s="5">
        <v>834</v>
      </c>
      <c r="B895" s="138">
        <f>'Expenditures 15-22'!F36</f>
        <v>5093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8015</v>
      </c>
      <c r="D897" s="2" t="str">
        <f t="shared" si="13"/>
        <v>Error?</v>
      </c>
    </row>
    <row r="898" spans="1:4" x14ac:dyDescent="0.2">
      <c r="A898" s="5">
        <v>837</v>
      </c>
      <c r="B898" s="138">
        <f>'Expenditures 15-22'!F39</f>
        <v>9076</v>
      </c>
      <c r="D898" s="2" t="str">
        <f t="shared" si="13"/>
        <v>Error?</v>
      </c>
    </row>
    <row r="899" spans="1:4" x14ac:dyDescent="0.2">
      <c r="A899" s="5">
        <v>838</v>
      </c>
      <c r="B899" s="138">
        <f>'Expenditures 15-22'!F40</f>
        <v>1390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23574</v>
      </c>
      <c r="C901" s="2" t="s">
        <v>573</v>
      </c>
      <c r="D901" s="2" t="str">
        <f t="shared" si="13"/>
        <v>Error?</v>
      </c>
    </row>
    <row r="902" spans="1:4" x14ac:dyDescent="0.2">
      <c r="A902" s="5">
        <v>841</v>
      </c>
      <c r="B902" s="138">
        <f>'Expenditures 15-22'!F44</f>
        <v>12828</v>
      </c>
      <c r="D902" s="2" t="str">
        <f t="shared" si="13"/>
        <v>Error?</v>
      </c>
    </row>
    <row r="903" spans="1:4" x14ac:dyDescent="0.2">
      <c r="A903" s="5">
        <v>842</v>
      </c>
      <c r="B903" s="138">
        <f>'Expenditures 15-22'!F45</f>
        <v>294420</v>
      </c>
      <c r="D903" s="2" t="str">
        <f t="shared" si="13"/>
        <v>Error?</v>
      </c>
    </row>
    <row r="904" spans="1:4" x14ac:dyDescent="0.2">
      <c r="A904" s="5">
        <v>843</v>
      </c>
      <c r="B904" s="138">
        <f>'Expenditures 15-22'!F46</f>
        <v>66832</v>
      </c>
      <c r="D904" s="2" t="str">
        <f t="shared" si="13"/>
        <v>Error?</v>
      </c>
    </row>
    <row r="905" spans="1:4" x14ac:dyDescent="0.2">
      <c r="A905" s="5">
        <v>844</v>
      </c>
      <c r="B905" s="138">
        <f>'Expenditures 15-22'!F47</f>
        <v>374080</v>
      </c>
      <c r="C905" s="2" t="s">
        <v>573</v>
      </c>
      <c r="D905" s="2" t="str">
        <f t="shared" si="13"/>
        <v>Error?</v>
      </c>
    </row>
    <row r="906" spans="1:4" x14ac:dyDescent="0.2">
      <c r="A906" s="5">
        <v>845</v>
      </c>
      <c r="B906" s="138">
        <f>'Expenditures 15-22'!F49</f>
        <v>1500</v>
      </c>
      <c r="D906" s="2" t="str">
        <f t="shared" si="13"/>
        <v>Error?</v>
      </c>
    </row>
    <row r="907" spans="1:4" x14ac:dyDescent="0.2">
      <c r="A907" s="5">
        <v>846</v>
      </c>
      <c r="B907" s="138">
        <f>'Expenditures 15-22'!F50</f>
        <v>8437</v>
      </c>
      <c r="D907" s="2" t="str">
        <f t="shared" si="13"/>
        <v>Error?</v>
      </c>
    </row>
    <row r="908" spans="1:4" x14ac:dyDescent="0.2">
      <c r="A908" s="5">
        <v>847</v>
      </c>
      <c r="B908" s="138">
        <f>'Expenditures 15-22'!F53</f>
        <v>24307</v>
      </c>
      <c r="C908" s="2" t="s">
        <v>573</v>
      </c>
      <c r="D908" s="2" t="str">
        <f t="shared" si="13"/>
        <v>Error?</v>
      </c>
    </row>
    <row r="909" spans="1:4" x14ac:dyDescent="0.2">
      <c r="A909" s="5">
        <v>848</v>
      </c>
      <c r="B909" s="138">
        <f>'Expenditures 15-22'!F55</f>
        <v>110558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110558</v>
      </c>
      <c r="C911" s="2" t="s">
        <v>573</v>
      </c>
      <c r="D911" s="2" t="str">
        <f t="shared" si="13"/>
        <v>Error?</v>
      </c>
    </row>
    <row r="912" spans="1:4" x14ac:dyDescent="0.2">
      <c r="A912" s="5">
        <v>851</v>
      </c>
      <c r="B912" s="138">
        <f>'Expenditures 15-22'!F59</f>
        <v>2000</v>
      </c>
      <c r="D912" s="2" t="str">
        <f t="shared" si="13"/>
        <v>Error?</v>
      </c>
    </row>
    <row r="913" spans="1:4" x14ac:dyDescent="0.2">
      <c r="A913" s="5">
        <v>852</v>
      </c>
      <c r="B913" s="138">
        <f>'Expenditures 15-22'!F60</f>
        <v>1731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1228845</v>
      </c>
      <c r="D916" s="2" t="str">
        <f t="shared" si="13"/>
        <v>Error?</v>
      </c>
    </row>
    <row r="917" spans="1:4" x14ac:dyDescent="0.2">
      <c r="A917" s="5">
        <v>856</v>
      </c>
      <c r="B917" s="138">
        <f>'Expenditures 15-22'!F64</f>
        <v>451</v>
      </c>
      <c r="D917" s="2" t="str">
        <f t="shared" si="13"/>
        <v>Error?</v>
      </c>
    </row>
    <row r="918" spans="1:4" x14ac:dyDescent="0.2">
      <c r="A918" s="10">
        <v>857</v>
      </c>
      <c r="D918" s="2" t="str">
        <f t="shared" si="13"/>
        <v>OK</v>
      </c>
    </row>
    <row r="919" spans="1:4" x14ac:dyDescent="0.2">
      <c r="A919" s="5">
        <v>858</v>
      </c>
      <c r="B919" s="138">
        <f>'Expenditures 15-22'!F65</f>
        <v>1233027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2879</v>
      </c>
      <c r="D922" s="2" t="str">
        <f t="shared" si="13"/>
        <v>Error?</v>
      </c>
    </row>
    <row r="923" spans="1:4" x14ac:dyDescent="0.2">
      <c r="A923" s="5">
        <v>862</v>
      </c>
      <c r="B923" s="138">
        <f>'Expenditures 15-22'!F70</f>
        <v>17231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20110</v>
      </c>
      <c r="C927" s="2" t="s">
        <v>573</v>
      </c>
      <c r="D927" s="2" t="str">
        <f t="shared" si="13"/>
        <v>Error?</v>
      </c>
    </row>
    <row r="928" spans="1:4" x14ac:dyDescent="0.2">
      <c r="A928" s="5">
        <v>867</v>
      </c>
      <c r="B928" s="138">
        <f>'Expenditures 15-22'!F73</f>
        <v>350</v>
      </c>
      <c r="D928" s="2" t="str">
        <f t="shared" si="13"/>
        <v>Error?</v>
      </c>
    </row>
    <row r="929" spans="1:4" x14ac:dyDescent="0.2">
      <c r="A929" s="5">
        <v>868</v>
      </c>
      <c r="B929" s="138">
        <f>'Expenditures 15-22'!F74</f>
        <v>1786006</v>
      </c>
      <c r="C929" s="2" t="s">
        <v>573</v>
      </c>
      <c r="D929" s="2" t="str">
        <f t="shared" si="13"/>
        <v>Error?</v>
      </c>
    </row>
    <row r="930" spans="1:4" x14ac:dyDescent="0.2">
      <c r="A930" s="5">
        <v>869</v>
      </c>
      <c r="B930" s="138">
        <f>'Expenditures 15-22'!F75</f>
        <v>43458</v>
      </c>
      <c r="D930" s="2" t="str">
        <f t="shared" si="13"/>
        <v>Error?</v>
      </c>
    </row>
    <row r="931" spans="1:4" x14ac:dyDescent="0.2">
      <c r="A931" s="5">
        <v>870</v>
      </c>
      <c r="B931" s="138">
        <f>'Expenditures 15-22'!F114</f>
        <v>3666689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170000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2641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178852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29376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29376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103628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103628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133004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311856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1738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1298151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132769</v>
      </c>
      <c r="D1016" s="2" t="str">
        <f t="shared" si="14"/>
        <v>Error?</v>
      </c>
    </row>
    <row r="1017" spans="1:4" x14ac:dyDescent="0.2">
      <c r="A1017" s="5">
        <v>956</v>
      </c>
      <c r="B1017" s="138">
        <f>'Expenditures 15-22'!H42</f>
        <v>132769</v>
      </c>
      <c r="C1017" s="2" t="s">
        <v>573</v>
      </c>
      <c r="D1017" s="2" t="str">
        <f t="shared" si="14"/>
        <v>Error?</v>
      </c>
    </row>
    <row r="1018" spans="1:4" x14ac:dyDescent="0.2">
      <c r="A1018" s="5">
        <v>957</v>
      </c>
      <c r="B1018" s="138">
        <f>'Expenditures 15-22'!H44</f>
        <v>3862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3862</v>
      </c>
      <c r="C1021" s="2" t="s">
        <v>573</v>
      </c>
      <c r="D1021" s="2" t="str">
        <f t="shared" si="14"/>
        <v>Error?</v>
      </c>
    </row>
    <row r="1022" spans="1:4" x14ac:dyDescent="0.2">
      <c r="A1022" s="5">
        <v>961</v>
      </c>
      <c r="B1022" s="138">
        <f>'Expenditures 15-22'!H49</f>
        <v>16004</v>
      </c>
      <c r="D1022" s="2" t="str">
        <f t="shared" si="14"/>
        <v>Error?</v>
      </c>
    </row>
    <row r="1023" spans="1:4" x14ac:dyDescent="0.2">
      <c r="A1023" s="5">
        <v>962</v>
      </c>
      <c r="B1023" s="138">
        <f>'Expenditures 15-22'!H50</f>
        <v>6569</v>
      </c>
      <c r="D1023" s="2" t="str">
        <f t="shared" ref="D1023:D1086" si="15">IF(ISBLANK(B1023),"OK",IF(A1023-B1023=0,"OK","Error?"))</f>
        <v>Error?</v>
      </c>
    </row>
    <row r="1024" spans="1:4" x14ac:dyDescent="0.2">
      <c r="A1024" s="5">
        <v>963</v>
      </c>
      <c r="B1024" s="138">
        <f>'Expenditures 15-22'!H53</f>
        <v>22573</v>
      </c>
      <c r="C1024" s="2" t="s">
        <v>573</v>
      </c>
      <c r="D1024" s="2" t="str">
        <f t="shared" si="15"/>
        <v>Error?</v>
      </c>
    </row>
    <row r="1025" spans="1:4" x14ac:dyDescent="0.2">
      <c r="A1025" s="5">
        <v>964</v>
      </c>
      <c r="B1025" s="138">
        <f>'Expenditures 15-22'!H55</f>
        <v>6633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6633</v>
      </c>
      <c r="C1027" s="2" t="s">
        <v>573</v>
      </c>
      <c r="D1027" s="2" t="str">
        <f t="shared" si="15"/>
        <v>Error?</v>
      </c>
    </row>
    <row r="1028" spans="1:4" x14ac:dyDescent="0.2">
      <c r="A1028" s="5">
        <v>967</v>
      </c>
      <c r="B1028" s="138">
        <f>'Expenditures 15-22'!H59</f>
        <v>29271</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30709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8102</v>
      </c>
      <c r="D1038" s="2" t="str">
        <f t="shared" si="15"/>
        <v>Error?</v>
      </c>
    </row>
    <row r="1039" spans="1:4" x14ac:dyDescent="0.2">
      <c r="A1039" s="5">
        <v>978</v>
      </c>
      <c r="B1039" s="138">
        <f>'Expenditures 15-22'!H70</f>
        <v>2341</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10443</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206989</v>
      </c>
      <c r="C1045" s="2" t="s">
        <v>573</v>
      </c>
      <c r="D1045" s="2" t="str">
        <f t="shared" si="15"/>
        <v>Error?</v>
      </c>
    </row>
    <row r="1046" spans="1:4" x14ac:dyDescent="0.2">
      <c r="A1046" s="5">
        <v>985</v>
      </c>
      <c r="B1046" s="138">
        <f>'Expenditures 15-22'!H75</f>
        <v>189</v>
      </c>
      <c r="D1046" s="2" t="str">
        <f t="shared" si="15"/>
        <v>Error?</v>
      </c>
    </row>
    <row r="1047" spans="1:4" x14ac:dyDescent="0.2">
      <c r="A1047" s="5">
        <v>986</v>
      </c>
      <c r="B1047" s="138">
        <f>'Expenditures 15-22'!H102</f>
        <v>198120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1703449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16335169</v>
      </c>
      <c r="C1093" s="2" t="s">
        <v>573</v>
      </c>
      <c r="D1093" s="2" t="str">
        <f t="shared" si="16"/>
        <v>Error?</v>
      </c>
    </row>
    <row r="1094" spans="1:4" x14ac:dyDescent="0.2">
      <c r="A1094" s="5">
        <v>1033</v>
      </c>
      <c r="B1094" s="138">
        <f>'Expenditures 15-22'!K16</f>
        <v>412981</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609454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646561</v>
      </c>
      <c r="C1105" s="2" t="s">
        <v>573</v>
      </c>
      <c r="D1105" s="2" t="str">
        <f t="shared" si="16"/>
        <v>Error?</v>
      </c>
    </row>
    <row r="1106" spans="1:4" x14ac:dyDescent="0.2">
      <c r="A1106" s="5">
        <v>1045</v>
      </c>
      <c r="B1106" s="138">
        <f>'Expenditures 15-22'!K14</f>
        <v>631158</v>
      </c>
      <c r="C1106" s="2" t="s">
        <v>573</v>
      </c>
      <c r="D1106" s="2" t="str">
        <f t="shared" si="16"/>
        <v>Error?</v>
      </c>
    </row>
    <row r="1107" spans="1:4" x14ac:dyDescent="0.2">
      <c r="A1107" s="5">
        <v>1046</v>
      </c>
      <c r="B1107" s="138">
        <f>'Expenditures 15-22'!K15</f>
        <v>338138</v>
      </c>
      <c r="C1107" s="2" t="s">
        <v>573</v>
      </c>
      <c r="D1107" s="2" t="str">
        <f t="shared" si="16"/>
        <v>Error?</v>
      </c>
    </row>
    <row r="1108" spans="1:4" x14ac:dyDescent="0.2">
      <c r="A1108" s="5">
        <v>1047</v>
      </c>
      <c r="B1108" s="138">
        <f>'Expenditures 15-22'!K33</f>
        <v>26749448</v>
      </c>
      <c r="C1108" s="2" t="s">
        <v>573</v>
      </c>
      <c r="D1108" s="2" t="str">
        <f t="shared" si="16"/>
        <v>Error?</v>
      </c>
    </row>
    <row r="1109" spans="1:4" x14ac:dyDescent="0.2">
      <c r="A1109" s="5">
        <v>1048</v>
      </c>
      <c r="B1109" s="138">
        <f>'Expenditures 15-22'!K36</f>
        <v>1239437</v>
      </c>
      <c r="C1109" s="2" t="s">
        <v>573</v>
      </c>
      <c r="D1109" s="2" t="str">
        <f t="shared" si="16"/>
        <v>Error?</v>
      </c>
    </row>
    <row r="1110" spans="1:4" x14ac:dyDescent="0.2">
      <c r="A1110" s="5">
        <v>1049</v>
      </c>
      <c r="B1110" s="138">
        <f>'Expenditures 15-22'!K37</f>
        <v>808260</v>
      </c>
      <c r="C1110" s="2" t="s">
        <v>573</v>
      </c>
      <c r="D1110" s="2" t="str">
        <f t="shared" si="16"/>
        <v>Error?</v>
      </c>
    </row>
    <row r="1111" spans="1:4" x14ac:dyDescent="0.2">
      <c r="A1111" s="5">
        <v>1050</v>
      </c>
      <c r="B1111" s="138">
        <f>'Expenditures 15-22'!K38</f>
        <v>731984</v>
      </c>
      <c r="C1111" s="2" t="s">
        <v>573</v>
      </c>
      <c r="D1111" s="2" t="str">
        <f t="shared" si="16"/>
        <v>Error?</v>
      </c>
    </row>
    <row r="1112" spans="1:4" x14ac:dyDescent="0.2">
      <c r="A1112" s="5">
        <v>1051</v>
      </c>
      <c r="B1112" s="138">
        <f>'Expenditures 15-22'!K39</f>
        <v>392473</v>
      </c>
      <c r="C1112" s="2" t="s">
        <v>573</v>
      </c>
      <c r="D1112" s="2" t="str">
        <f t="shared" si="16"/>
        <v>Error?</v>
      </c>
    </row>
    <row r="1113" spans="1:4" x14ac:dyDescent="0.2">
      <c r="A1113" s="5">
        <v>1052</v>
      </c>
      <c r="B1113" s="138">
        <f>'Expenditures 15-22'!K40</f>
        <v>572089</v>
      </c>
      <c r="C1113" s="2" t="s">
        <v>573</v>
      </c>
      <c r="D1113" s="2" t="str">
        <f t="shared" si="16"/>
        <v>Error?</v>
      </c>
    </row>
    <row r="1114" spans="1:4" x14ac:dyDescent="0.2">
      <c r="A1114" s="5">
        <v>1053</v>
      </c>
      <c r="B1114" s="138">
        <f>'Expenditures 15-22'!K41</f>
        <v>308030</v>
      </c>
      <c r="C1114" s="2" t="s">
        <v>573</v>
      </c>
      <c r="D1114" s="2" t="str">
        <f t="shared" si="16"/>
        <v>Error?</v>
      </c>
    </row>
    <row r="1115" spans="1:4" x14ac:dyDescent="0.2">
      <c r="A1115" s="5">
        <v>1054</v>
      </c>
      <c r="B1115" s="138">
        <f>'Expenditures 15-22'!K42</f>
        <v>4052273</v>
      </c>
      <c r="C1115" s="2" t="s">
        <v>573</v>
      </c>
      <c r="D1115" s="2" t="str">
        <f t="shared" si="16"/>
        <v>Error?</v>
      </c>
    </row>
    <row r="1116" spans="1:4" x14ac:dyDescent="0.2">
      <c r="A1116" s="5">
        <v>1055</v>
      </c>
      <c r="B1116" s="138">
        <f>'Expenditures 15-22'!K44</f>
        <v>1890142</v>
      </c>
      <c r="C1116" s="2" t="s">
        <v>573</v>
      </c>
      <c r="D1116" s="2" t="str">
        <f t="shared" si="16"/>
        <v>Error?</v>
      </c>
    </row>
    <row r="1117" spans="1:4" x14ac:dyDescent="0.2">
      <c r="A1117" s="5">
        <v>1056</v>
      </c>
      <c r="B1117" s="138">
        <f>'Expenditures 15-22'!K45</f>
        <v>2272550</v>
      </c>
      <c r="C1117" s="2" t="s">
        <v>573</v>
      </c>
      <c r="D1117" s="2" t="str">
        <f t="shared" si="16"/>
        <v>Error?</v>
      </c>
    </row>
    <row r="1118" spans="1:4" x14ac:dyDescent="0.2">
      <c r="A1118" s="5">
        <v>1057</v>
      </c>
      <c r="B1118" s="138">
        <f>'Expenditures 15-22'!K46</f>
        <v>78288</v>
      </c>
      <c r="C1118" s="2" t="s">
        <v>573</v>
      </c>
      <c r="D1118" s="2" t="str">
        <f t="shared" si="16"/>
        <v>Error?</v>
      </c>
    </row>
    <row r="1119" spans="1:4" x14ac:dyDescent="0.2">
      <c r="A1119" s="5">
        <v>1058</v>
      </c>
      <c r="B1119" s="138">
        <f>'Expenditures 15-22'!K47</f>
        <v>4240980</v>
      </c>
      <c r="C1119" s="2" t="s">
        <v>573</v>
      </c>
      <c r="D1119" s="2" t="str">
        <f t="shared" si="16"/>
        <v>Error?</v>
      </c>
    </row>
    <row r="1120" spans="1:4" x14ac:dyDescent="0.2">
      <c r="A1120" s="5">
        <v>1059</v>
      </c>
      <c r="B1120" s="138">
        <f>'Expenditures 15-22'!K49</f>
        <v>122525</v>
      </c>
      <c r="C1120" s="2" t="s">
        <v>573</v>
      </c>
      <c r="D1120" s="2" t="str">
        <f t="shared" si="16"/>
        <v>Error?</v>
      </c>
    </row>
    <row r="1121" spans="1:4" x14ac:dyDescent="0.2">
      <c r="A1121" s="5">
        <v>1060</v>
      </c>
      <c r="B1121" s="138">
        <f>'Expenditures 15-22'!K50</f>
        <v>301805</v>
      </c>
      <c r="C1121" s="2" t="s">
        <v>573</v>
      </c>
      <c r="D1121" s="2" t="str">
        <f t="shared" si="16"/>
        <v>Error?</v>
      </c>
    </row>
    <row r="1122" spans="1:4" x14ac:dyDescent="0.2">
      <c r="A1122" s="5">
        <v>1061</v>
      </c>
      <c r="B1122" s="138">
        <f>'Expenditures 15-22'!K53</f>
        <v>851630</v>
      </c>
      <c r="C1122" s="2" t="s">
        <v>573</v>
      </c>
      <c r="D1122" s="2" t="str">
        <f t="shared" si="16"/>
        <v>Error?</v>
      </c>
    </row>
    <row r="1123" spans="1:4" x14ac:dyDescent="0.2">
      <c r="A1123" s="5">
        <v>1062</v>
      </c>
      <c r="B1123" s="138">
        <f>'Expenditures 15-22'!K55</f>
        <v>2654288</v>
      </c>
      <c r="C1123" s="2" t="s">
        <v>573</v>
      </c>
      <c r="D1123" s="2" t="str">
        <f t="shared" si="16"/>
        <v>Error?</v>
      </c>
    </row>
    <row r="1124" spans="1:4" x14ac:dyDescent="0.2">
      <c r="A1124" s="5">
        <v>1063</v>
      </c>
      <c r="B1124" s="138">
        <f>'Expenditures 15-22'!K56</f>
        <v>967549</v>
      </c>
      <c r="C1124" s="2" t="s">
        <v>573</v>
      </c>
      <c r="D1124" s="2" t="str">
        <f t="shared" si="16"/>
        <v>Error?</v>
      </c>
    </row>
    <row r="1125" spans="1:4" x14ac:dyDescent="0.2">
      <c r="A1125" s="5">
        <v>1064</v>
      </c>
      <c r="B1125" s="138">
        <f>'Expenditures 15-22'!K57</f>
        <v>3621837</v>
      </c>
      <c r="C1125" s="2" t="s">
        <v>573</v>
      </c>
      <c r="D1125" s="2" t="str">
        <f t="shared" si="16"/>
        <v>Error?</v>
      </c>
    </row>
    <row r="1126" spans="1:4" x14ac:dyDescent="0.2">
      <c r="A1126" s="5">
        <v>1065</v>
      </c>
      <c r="B1126" s="138">
        <f>'Expenditures 15-22'!K59</f>
        <v>398398</v>
      </c>
      <c r="C1126" s="2" t="s">
        <v>573</v>
      </c>
      <c r="D1126" s="2" t="str">
        <f t="shared" si="16"/>
        <v>Error?</v>
      </c>
    </row>
    <row r="1127" spans="1:4" x14ac:dyDescent="0.2">
      <c r="A1127" s="5">
        <v>1066</v>
      </c>
      <c r="B1127" s="138">
        <f>'Expenditures 15-22'!K60</f>
        <v>268302</v>
      </c>
      <c r="C1127" s="2" t="s">
        <v>573</v>
      </c>
      <c r="D1127" s="2" t="str">
        <f t="shared" si="16"/>
        <v>Error?</v>
      </c>
    </row>
    <row r="1128" spans="1:4" x14ac:dyDescent="0.2">
      <c r="A1128" s="5">
        <v>1067</v>
      </c>
      <c r="B1128" s="138">
        <f>'Expenditures 15-22'!K61</f>
        <v>9312</v>
      </c>
      <c r="C1128" s="2" t="s">
        <v>573</v>
      </c>
      <c r="D1128" s="2" t="str">
        <f t="shared" si="16"/>
        <v>Error?</v>
      </c>
    </row>
    <row r="1129" spans="1:4" x14ac:dyDescent="0.2">
      <c r="A1129" s="5">
        <v>1068</v>
      </c>
      <c r="B1129" s="138">
        <f>'Expenditures 15-22'!K62</f>
        <v>83543</v>
      </c>
      <c r="C1129" s="2" t="s">
        <v>573</v>
      </c>
      <c r="D1129" s="2" t="str">
        <f t="shared" si="16"/>
        <v>Error?</v>
      </c>
    </row>
    <row r="1130" spans="1:4" x14ac:dyDescent="0.2">
      <c r="A1130" s="5">
        <v>1069</v>
      </c>
      <c r="B1130" s="138">
        <f>'Expenditures 15-22'!K63</f>
        <v>2253970</v>
      </c>
      <c r="C1130" s="2" t="s">
        <v>573</v>
      </c>
      <c r="D1130" s="2" t="str">
        <f t="shared" si="16"/>
        <v>Error?</v>
      </c>
    </row>
    <row r="1131" spans="1:4" x14ac:dyDescent="0.2">
      <c r="A1131" s="5">
        <v>1070</v>
      </c>
      <c r="B1131" s="138">
        <f>'Expenditures 15-22'!K64</f>
        <v>103024</v>
      </c>
      <c r="C1131" s="2" t="s">
        <v>573</v>
      </c>
      <c r="D1131" s="2" t="str">
        <f t="shared" si="16"/>
        <v>Error?</v>
      </c>
    </row>
    <row r="1132" spans="1:4" x14ac:dyDescent="0.2">
      <c r="A1132" s="10">
        <v>1071</v>
      </c>
      <c r="D1132" s="2" t="str">
        <f t="shared" si="16"/>
        <v>OK</v>
      </c>
    </row>
    <row r="1133" spans="1:4" x14ac:dyDescent="0.2">
      <c r="A1133" s="5">
        <v>1072</v>
      </c>
      <c r="B1133" s="138">
        <f>'Expenditures 15-22'!K65</f>
        <v>3116549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15214</v>
      </c>
      <c r="C1135" s="2" t="s">
        <v>573</v>
      </c>
      <c r="D1135" s="2" t="str">
        <f t="shared" si="16"/>
        <v>Error?</v>
      </c>
    </row>
    <row r="1136" spans="1:4" x14ac:dyDescent="0.2">
      <c r="A1136" s="5">
        <v>1075</v>
      </c>
      <c r="B1136" s="138">
        <f>'Expenditures 15-22'!K69</f>
        <v>103052</v>
      </c>
      <c r="C1136" s="2" t="s">
        <v>573</v>
      </c>
      <c r="D1136" s="2" t="str">
        <f t="shared" si="16"/>
        <v>Error?</v>
      </c>
    </row>
    <row r="1137" spans="1:4" x14ac:dyDescent="0.2">
      <c r="A1137" s="5">
        <v>1076</v>
      </c>
      <c r="B1137" s="138">
        <f>'Expenditures 15-22'!K70</f>
        <v>348778</v>
      </c>
      <c r="C1137" s="2" t="s">
        <v>573</v>
      </c>
      <c r="D1137" s="2" t="str">
        <f t="shared" si="16"/>
        <v>Error?</v>
      </c>
    </row>
    <row r="1138" spans="1:4" x14ac:dyDescent="0.2">
      <c r="A1138" s="10">
        <v>1077</v>
      </c>
      <c r="D1138" s="2" t="str">
        <f t="shared" si="16"/>
        <v>OK</v>
      </c>
    </row>
    <row r="1139" spans="1:4" x14ac:dyDescent="0.2">
      <c r="A1139" s="5">
        <v>1078</v>
      </c>
      <c r="B1139" s="138">
        <f>'Expenditures 15-22'!K71</f>
        <v>128087</v>
      </c>
      <c r="C1139" s="2" t="s">
        <v>573</v>
      </c>
      <c r="D1139" s="2" t="str">
        <f t="shared" si="16"/>
        <v>Error?</v>
      </c>
    </row>
    <row r="1140" spans="1:4" x14ac:dyDescent="0.2">
      <c r="A1140" s="10">
        <v>1079</v>
      </c>
      <c r="D1140" s="2" t="str">
        <f t="shared" si="16"/>
        <v>OK</v>
      </c>
    </row>
    <row r="1141" spans="1:4" x14ac:dyDescent="0.2">
      <c r="A1141" s="5">
        <v>1080</v>
      </c>
      <c r="B1141" s="138">
        <f>'Expenditures 15-22'!K72</f>
        <v>595131</v>
      </c>
      <c r="C1141" s="2" t="s">
        <v>573</v>
      </c>
      <c r="D1141" s="2" t="str">
        <f t="shared" si="16"/>
        <v>Error?</v>
      </c>
    </row>
    <row r="1142" spans="1:4" x14ac:dyDescent="0.2">
      <c r="A1142" s="5">
        <v>1081</v>
      </c>
      <c r="B1142" s="138">
        <f>'Expenditures 15-22'!K73</f>
        <v>96878</v>
      </c>
      <c r="C1142" s="2" t="s">
        <v>573</v>
      </c>
      <c r="D1142" s="2" t="str">
        <f t="shared" si="16"/>
        <v>Error?</v>
      </c>
    </row>
    <row r="1143" spans="1:4" x14ac:dyDescent="0.2">
      <c r="A1143" s="5">
        <v>1082</v>
      </c>
      <c r="B1143" s="138">
        <f>'Expenditures 15-22'!K74</f>
        <v>16575278</v>
      </c>
      <c r="C1143" s="2" t="s">
        <v>573</v>
      </c>
      <c r="D1143" s="2" t="str">
        <f t="shared" si="16"/>
        <v>Error?</v>
      </c>
    </row>
    <row r="1144" spans="1:4" x14ac:dyDescent="0.2">
      <c r="A1144" s="5">
        <v>1083</v>
      </c>
      <c r="B1144" s="138">
        <f>'Expenditures 15-22'!K75</f>
        <v>134218</v>
      </c>
      <c r="C1144" s="2" t="s">
        <v>573</v>
      </c>
      <c r="D1144" s="2" t="str">
        <f t="shared" si="16"/>
        <v>Error?</v>
      </c>
    </row>
    <row r="1145" spans="1:4" x14ac:dyDescent="0.2">
      <c r="A1145" s="5">
        <v>1084</v>
      </c>
      <c r="B1145" s="138">
        <f>'Expenditures 15-22'!K102</f>
        <v>640741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44099685</v>
      </c>
      <c r="C1152" s="2" t="s">
        <v>573</v>
      </c>
      <c r="D1152" s="2" t="str">
        <f t="shared" si="17"/>
        <v>Error?</v>
      </c>
    </row>
    <row r="1153" spans="1:4" x14ac:dyDescent="0.2">
      <c r="A1153" s="5">
        <v>1092</v>
      </c>
      <c r="B1153" s="138">
        <f>'Expenditures 15-22'!K115</f>
        <v>-1643424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1782968</v>
      </c>
      <c r="D1221" s="2" t="str">
        <f t="shared" si="18"/>
        <v>Error?</v>
      </c>
    </row>
    <row r="1222" spans="1:4" x14ac:dyDescent="0.2">
      <c r="A1222" s="10">
        <v>1161</v>
      </c>
      <c r="D1222" s="2" t="str">
        <f t="shared" si="18"/>
        <v>OK</v>
      </c>
    </row>
    <row r="1223" spans="1:4" x14ac:dyDescent="0.2">
      <c r="A1223" s="5">
        <v>1162</v>
      </c>
      <c r="B1223" s="138">
        <f>'Expenditures 15-22'!C127</f>
        <v>1782968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1782968</v>
      </c>
      <c r="C1225" s="2" t="s">
        <v>573</v>
      </c>
      <c r="D1225" s="2" t="str">
        <f t="shared" si="18"/>
        <v>Error?</v>
      </c>
    </row>
    <row r="1226" spans="1:4" x14ac:dyDescent="0.2">
      <c r="A1226" s="5">
        <v>1165</v>
      </c>
      <c r="B1226" s="138">
        <f>'Expenditures 15-22'!C151</f>
        <v>1782968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405570</v>
      </c>
      <c r="D1229" s="2" t="str">
        <f t="shared" si="18"/>
        <v>Error?</v>
      </c>
    </row>
    <row r="1230" spans="1:4" x14ac:dyDescent="0.2">
      <c r="A1230" s="10">
        <v>1169</v>
      </c>
      <c r="D1230" s="2" t="str">
        <f t="shared" si="18"/>
        <v>OK</v>
      </c>
    </row>
    <row r="1231" spans="1:4" x14ac:dyDescent="0.2">
      <c r="A1231" s="5">
        <v>1170</v>
      </c>
      <c r="B1231" s="138">
        <f>'Expenditures 15-22'!D127</f>
        <v>405570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405570</v>
      </c>
      <c r="C1233" s="2" t="s">
        <v>573</v>
      </c>
      <c r="D1233" s="2" t="str">
        <f t="shared" si="18"/>
        <v>Error?</v>
      </c>
    </row>
    <row r="1234" spans="1:4" x14ac:dyDescent="0.2">
      <c r="A1234" s="5">
        <v>1173</v>
      </c>
      <c r="B1234" s="138">
        <f>'Expenditures 15-22'!D151</f>
        <v>405570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771223</v>
      </c>
      <c r="D1237" s="2" t="str">
        <f t="shared" si="18"/>
        <v>Error?</v>
      </c>
    </row>
    <row r="1238" spans="1:4" x14ac:dyDescent="0.2">
      <c r="A1238" s="10">
        <v>1177</v>
      </c>
      <c r="D1238" s="2" t="str">
        <f t="shared" si="18"/>
        <v>OK</v>
      </c>
    </row>
    <row r="1239" spans="1:4" x14ac:dyDescent="0.2">
      <c r="A1239" s="5">
        <v>1178</v>
      </c>
      <c r="B1239" s="138">
        <f>'Expenditures 15-22'!E127</f>
        <v>771223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771223</v>
      </c>
      <c r="C1241" s="2" t="s">
        <v>573</v>
      </c>
      <c r="D1241" s="2" t="str">
        <f t="shared" si="18"/>
        <v>Error?</v>
      </c>
    </row>
    <row r="1242" spans="1:4" x14ac:dyDescent="0.2">
      <c r="A1242" s="5">
        <v>1181</v>
      </c>
      <c r="B1242" s="138">
        <f>'Expenditures 15-22'!E151</f>
        <v>771223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1265335</v>
      </c>
      <c r="D1245" s="2" t="str">
        <f t="shared" si="18"/>
        <v>Error?</v>
      </c>
    </row>
    <row r="1246" spans="1:4" x14ac:dyDescent="0.2">
      <c r="A1246" s="10">
        <v>1185</v>
      </c>
      <c r="D1246" s="2" t="str">
        <f t="shared" si="18"/>
        <v>OK</v>
      </c>
    </row>
    <row r="1247" spans="1:4" x14ac:dyDescent="0.2">
      <c r="A1247" s="5">
        <v>1186</v>
      </c>
      <c r="B1247" s="138">
        <f>'Expenditures 15-22'!F127</f>
        <v>1265335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1265335</v>
      </c>
      <c r="C1249" s="2" t="s">
        <v>573</v>
      </c>
      <c r="D1249" s="2" t="str">
        <f t="shared" si="18"/>
        <v>Error?</v>
      </c>
    </row>
    <row r="1250" spans="1:4" x14ac:dyDescent="0.2">
      <c r="A1250" s="5">
        <v>1189</v>
      </c>
      <c r="B1250" s="138">
        <f>'Expenditures 15-22'!F151</f>
        <v>1265335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195936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195936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195936</v>
      </c>
      <c r="C1258" s="2" t="s">
        <v>573</v>
      </c>
      <c r="D1258" s="2" t="str">
        <f t="shared" si="18"/>
        <v>Error?</v>
      </c>
    </row>
    <row r="1259" spans="1:4" x14ac:dyDescent="0.2">
      <c r="A1259" s="5">
        <v>1198</v>
      </c>
      <c r="B1259" s="138">
        <f>'Expenditures 15-22'!G151</f>
        <v>195936</v>
      </c>
      <c r="C1259" s="2" t="s">
        <v>573</v>
      </c>
      <c r="D1259" s="2" t="str">
        <f t="shared" si="18"/>
        <v>Error?</v>
      </c>
    </row>
    <row r="1260" spans="1:4" x14ac:dyDescent="0.2">
      <c r="A1260" s="5">
        <v>1199</v>
      </c>
      <c r="B1260" s="138">
        <f>'Expenditures 15-22'!H122</f>
        <v>2736</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2736</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2736</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2736</v>
      </c>
      <c r="C1273" s="2" t="s">
        <v>573</v>
      </c>
      <c r="D1273" s="2" t="str">
        <f t="shared" si="18"/>
        <v>Error?</v>
      </c>
    </row>
    <row r="1274" spans="1:4" x14ac:dyDescent="0.2">
      <c r="A1274" s="5">
        <v>1213</v>
      </c>
      <c r="B1274" s="138">
        <f>'Expenditures 15-22'!K122</f>
        <v>2736</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4422066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4424802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4424802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4424802</v>
      </c>
      <c r="C1288" s="2" t="s">
        <v>573</v>
      </c>
      <c r="D1288" s="2" t="str">
        <f t="shared" si="19"/>
        <v>Error?</v>
      </c>
    </row>
    <row r="1289" spans="1:4" x14ac:dyDescent="0.2">
      <c r="A1289" s="5">
        <v>1228</v>
      </c>
      <c r="B1289" s="138">
        <f>'Expenditures 15-22'!K152</f>
        <v>172060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1839313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994120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2833433</v>
      </c>
      <c r="C1317" s="2" t="s">
        <v>573</v>
      </c>
      <c r="D1317" s="2" t="str">
        <f t="shared" si="19"/>
        <v>Error?</v>
      </c>
    </row>
    <row r="1318" spans="1:4" x14ac:dyDescent="0.2">
      <c r="A1318" s="5">
        <v>1257</v>
      </c>
      <c r="B1318" s="138">
        <f>'Expenditures 15-22'!H174</f>
        <v>2833433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1839313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994120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2833433</v>
      </c>
      <c r="C1331" s="2" t="s">
        <v>573</v>
      </c>
      <c r="D1331" s="2" t="str">
        <f t="shared" si="19"/>
        <v>Error?</v>
      </c>
    </row>
    <row r="1332" spans="1:4" x14ac:dyDescent="0.2">
      <c r="A1332" s="5">
        <v>1271</v>
      </c>
      <c r="B1332" s="138">
        <f>'Expenditures 15-22'!K174</f>
        <v>2833433</v>
      </c>
      <c r="C1332" s="2" t="s">
        <v>573</v>
      </c>
      <c r="D1332" s="2" t="str">
        <f t="shared" si="19"/>
        <v>Error?</v>
      </c>
    </row>
    <row r="1333" spans="1:4" x14ac:dyDescent="0.2">
      <c r="A1333" s="5">
        <v>1272</v>
      </c>
      <c r="B1333" s="138">
        <f>'Expenditures 15-22'!K175</f>
        <v>-133702</v>
      </c>
      <c r="C1333" s="2" t="s">
        <v>573</v>
      </c>
      <c r="D1333" s="2" t="str">
        <f t="shared" si="19"/>
        <v>Error?</v>
      </c>
    </row>
    <row r="1334" spans="1:4" x14ac:dyDescent="0.2">
      <c r="A1334" s="10">
        <v>1273</v>
      </c>
      <c r="D1334" s="2" t="str">
        <f t="shared" si="19"/>
        <v>OK</v>
      </c>
    </row>
    <row r="1335" spans="1:4" x14ac:dyDescent="0.2">
      <c r="A1335" s="5">
        <v>1274</v>
      </c>
      <c r="B1335" s="138">
        <f>'Expenditures 15-22'!C182</f>
        <v>1621314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22604</v>
      </c>
      <c r="D1338" s="2" t="str">
        <f t="shared" si="19"/>
        <v>Error?</v>
      </c>
    </row>
    <row r="1339" spans="1:4" x14ac:dyDescent="0.2">
      <c r="A1339" s="5">
        <v>1278</v>
      </c>
      <c r="B1339" s="138">
        <f>'Expenditures 15-22'!C184</f>
        <v>1656409</v>
      </c>
      <c r="C1339" s="2" t="s">
        <v>573</v>
      </c>
      <c r="D1339" s="2" t="str">
        <f t="shared" si="19"/>
        <v>Error?</v>
      </c>
    </row>
    <row r="1340" spans="1:4" x14ac:dyDescent="0.2">
      <c r="A1340" s="5">
        <v>1279</v>
      </c>
      <c r="B1340" s="138">
        <f>'Expenditures 15-22'!C210</f>
        <v>1656409</v>
      </c>
      <c r="C1340" s="2" t="s">
        <v>573</v>
      </c>
      <c r="D1340" s="2" t="str">
        <f t="shared" si="19"/>
        <v>Error?</v>
      </c>
    </row>
    <row r="1341" spans="1:4" x14ac:dyDescent="0.2">
      <c r="A1341" s="5">
        <v>1280</v>
      </c>
      <c r="B1341" s="138">
        <f>'Expenditures 15-22'!D182</f>
        <v>478134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5532</v>
      </c>
      <c r="D1344" s="2" t="str">
        <f t="shared" si="20"/>
        <v>Error?</v>
      </c>
    </row>
    <row r="1345" spans="1:4" x14ac:dyDescent="0.2">
      <c r="A1345" s="5">
        <v>1284</v>
      </c>
      <c r="B1345" s="138">
        <f>'Expenditures 15-22'!D184</f>
        <v>483666</v>
      </c>
      <c r="C1345" s="2" t="s">
        <v>573</v>
      </c>
      <c r="D1345" s="2" t="str">
        <f t="shared" si="20"/>
        <v>Error?</v>
      </c>
    </row>
    <row r="1346" spans="1:4" x14ac:dyDescent="0.2">
      <c r="A1346" s="5">
        <v>1285</v>
      </c>
      <c r="B1346" s="138">
        <f>'Expenditures 15-22'!D210</f>
        <v>483666</v>
      </c>
      <c r="C1346" s="2" t="s">
        <v>573</v>
      </c>
      <c r="D1346" s="2" t="str">
        <f t="shared" si="20"/>
        <v>Error?</v>
      </c>
    </row>
    <row r="1347" spans="1:4" x14ac:dyDescent="0.2">
      <c r="A1347" s="5">
        <v>1286</v>
      </c>
      <c r="B1347" s="138">
        <f>'Expenditures 15-22'!E182</f>
        <v>153254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4403</v>
      </c>
      <c r="D1350" s="2" t="str">
        <f t="shared" si="20"/>
        <v>Error?</v>
      </c>
    </row>
    <row r="1351" spans="1:4" x14ac:dyDescent="0.2">
      <c r="A1351" s="5">
        <v>1290</v>
      </c>
      <c r="B1351" s="138">
        <f>'Expenditures 15-22'!E184</f>
        <v>157657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157657</v>
      </c>
      <c r="C1353" s="2" t="s">
        <v>573</v>
      </c>
      <c r="D1353" s="2" t="str">
        <f t="shared" si="20"/>
        <v>Error?</v>
      </c>
    </row>
    <row r="1354" spans="1:4" x14ac:dyDescent="0.2">
      <c r="A1354" s="5">
        <v>1293</v>
      </c>
      <c r="B1354" s="138">
        <f>'Expenditures 15-22'!F182</f>
        <v>408770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24904</v>
      </c>
      <c r="D1357" s="2" t="str">
        <f t="shared" si="20"/>
        <v>Error?</v>
      </c>
    </row>
    <row r="1358" spans="1:4" x14ac:dyDescent="0.2">
      <c r="A1358" s="5">
        <v>1297</v>
      </c>
      <c r="B1358" s="138">
        <f>'Expenditures 15-22'!F184</f>
        <v>433674</v>
      </c>
      <c r="C1358" s="2" t="s">
        <v>573</v>
      </c>
      <c r="D1358" s="2" t="str">
        <f t="shared" si="20"/>
        <v>Error?</v>
      </c>
    </row>
    <row r="1359" spans="1:4" x14ac:dyDescent="0.2">
      <c r="A1359" s="5">
        <v>1298</v>
      </c>
      <c r="B1359" s="138">
        <f>'Expenditures 15-22'!F210</f>
        <v>433674</v>
      </c>
      <c r="C1359" s="2" t="s">
        <v>573</v>
      </c>
      <c r="D1359" s="2" t="str">
        <f t="shared" si="20"/>
        <v>Error?</v>
      </c>
    </row>
    <row r="1360" spans="1:4" x14ac:dyDescent="0.2">
      <c r="A1360" s="5">
        <v>1299</v>
      </c>
      <c r="B1360" s="138">
        <f>'Expenditures 15-22'!G182</f>
        <v>473458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473458</v>
      </c>
      <c r="C1364" s="2" t="s">
        <v>573</v>
      </c>
      <c r="D1364" s="2" t="str">
        <f t="shared" si="20"/>
        <v>Error?</v>
      </c>
    </row>
    <row r="1365" spans="1:4" x14ac:dyDescent="0.2">
      <c r="A1365" s="5">
        <v>1304</v>
      </c>
      <c r="B1365" s="138">
        <f>'Expenditures 15-22'!G210</f>
        <v>473458</v>
      </c>
      <c r="C1365" s="2" t="s">
        <v>573</v>
      </c>
      <c r="D1365" s="2" t="str">
        <f t="shared" si="20"/>
        <v>Error?</v>
      </c>
    </row>
    <row r="1366" spans="1:4" x14ac:dyDescent="0.2">
      <c r="A1366" s="5">
        <v>1305</v>
      </c>
      <c r="B1366" s="138">
        <f>'Expenditures 15-22'!H182</f>
        <v>1055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848</v>
      </c>
      <c r="D1369" s="2" t="str">
        <f t="shared" si="20"/>
        <v>Error?</v>
      </c>
    </row>
    <row r="1370" spans="1:4" x14ac:dyDescent="0.2">
      <c r="A1370" s="5">
        <v>1309</v>
      </c>
      <c r="B1370" s="138">
        <f>'Expenditures 15-22'!H184</f>
        <v>1903</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1903</v>
      </c>
      <c r="C1376" s="2" t="s">
        <v>573</v>
      </c>
      <c r="D1376" s="2" t="str">
        <f t="shared" si="20"/>
        <v>Error?</v>
      </c>
    </row>
    <row r="1377" spans="1:4" x14ac:dyDescent="0.2">
      <c r="A1377" s="5">
        <v>1316</v>
      </c>
      <c r="B1377" s="138">
        <f>'Expenditures 15-22'!K182</f>
        <v>3136850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58291</v>
      </c>
      <c r="C1380" s="2" t="s">
        <v>573</v>
      </c>
      <c r="D1380" s="2" t="str">
        <f t="shared" si="20"/>
        <v>Error?</v>
      </c>
    </row>
    <row r="1381" spans="1:4" x14ac:dyDescent="0.2">
      <c r="A1381" s="5">
        <v>1320</v>
      </c>
      <c r="B1381" s="138">
        <f>'Expenditures 15-22'!K184</f>
        <v>3207632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3207632</v>
      </c>
      <c r="C1388" s="2" t="s">
        <v>573</v>
      </c>
      <c r="D1388" s="2" t="str">
        <f t="shared" si="20"/>
        <v>Error?</v>
      </c>
    </row>
    <row r="1389" spans="1:4" x14ac:dyDescent="0.2">
      <c r="A1389" s="5">
        <v>1328</v>
      </c>
      <c r="B1389" s="138">
        <f>'Expenditures 15-22'!K211</f>
        <v>331265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4762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9288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7769</v>
      </c>
      <c r="D1407" s="2" t="str">
        <f t="shared" ref="D1407:D1470" si="21">IF(ISBLANK(B1407),"OK",IF(A1407-B1407=0,"OK","Error?"))</f>
        <v>Error?</v>
      </c>
    </row>
    <row r="1408" spans="1:4" x14ac:dyDescent="0.2">
      <c r="A1408" s="5">
        <v>1347</v>
      </c>
      <c r="B1408" s="138">
        <f>'Expenditures 15-22'!D223</f>
        <v>21924</v>
      </c>
      <c r="D1408" s="2" t="str">
        <f t="shared" si="21"/>
        <v>Error?</v>
      </c>
    </row>
    <row r="1409" spans="1:4" x14ac:dyDescent="0.2">
      <c r="A1409" s="5">
        <v>1348</v>
      </c>
      <c r="B1409" s="138">
        <f>'Expenditures 15-22'!D224</f>
        <v>8169</v>
      </c>
      <c r="D1409" s="2" t="str">
        <f t="shared" si="21"/>
        <v>Error?</v>
      </c>
    </row>
    <row r="1410" spans="1:4" x14ac:dyDescent="0.2">
      <c r="A1410" s="5">
        <v>1349</v>
      </c>
      <c r="B1410" s="138">
        <f>'Expenditures 15-22'!D229</f>
        <v>483399</v>
      </c>
      <c r="C1410" s="2" t="s">
        <v>573</v>
      </c>
      <c r="D1410" s="2" t="str">
        <f t="shared" si="21"/>
        <v>Error?</v>
      </c>
    </row>
    <row r="1411" spans="1:4" x14ac:dyDescent="0.2">
      <c r="A1411" s="5">
        <v>1350</v>
      </c>
      <c r="B1411" s="138">
        <f>'Expenditures 15-22'!D232</f>
        <v>57652</v>
      </c>
      <c r="D1411" s="2" t="str">
        <f t="shared" si="21"/>
        <v>Error?</v>
      </c>
    </row>
    <row r="1412" spans="1:4" x14ac:dyDescent="0.2">
      <c r="A1412" s="5">
        <v>1351</v>
      </c>
      <c r="B1412" s="138">
        <f>'Expenditures 15-22'!D233</f>
        <v>12788</v>
      </c>
      <c r="D1412" s="2" t="str">
        <f t="shared" si="21"/>
        <v>Error?</v>
      </c>
    </row>
    <row r="1413" spans="1:4" x14ac:dyDescent="0.2">
      <c r="A1413" s="5">
        <v>1352</v>
      </c>
      <c r="B1413" s="138">
        <f>'Expenditures 15-22'!D234</f>
        <v>71688</v>
      </c>
      <c r="D1413" s="2" t="str">
        <f t="shared" si="21"/>
        <v>Error?</v>
      </c>
    </row>
    <row r="1414" spans="1:4" x14ac:dyDescent="0.2">
      <c r="A1414" s="5">
        <v>1353</v>
      </c>
      <c r="B1414" s="138">
        <f>'Expenditures 15-22'!D235</f>
        <v>4235</v>
      </c>
      <c r="D1414" s="2" t="str">
        <f t="shared" si="21"/>
        <v>Error?</v>
      </c>
    </row>
    <row r="1415" spans="1:4" x14ac:dyDescent="0.2">
      <c r="A1415" s="5">
        <v>1354</v>
      </c>
      <c r="B1415" s="138">
        <f>'Expenditures 15-22'!D236</f>
        <v>6066</v>
      </c>
      <c r="D1415" s="2" t="str">
        <f t="shared" si="21"/>
        <v>Error?</v>
      </c>
    </row>
    <row r="1416" spans="1:4" x14ac:dyDescent="0.2">
      <c r="A1416" s="5">
        <v>1355</v>
      </c>
      <c r="B1416" s="138">
        <f>'Expenditures 15-22'!D237</f>
        <v>21374</v>
      </c>
      <c r="D1416" s="2" t="str">
        <f t="shared" si="21"/>
        <v>Error?</v>
      </c>
    </row>
    <row r="1417" spans="1:4" x14ac:dyDescent="0.2">
      <c r="A1417" s="5">
        <v>1356</v>
      </c>
      <c r="B1417" s="138">
        <f>'Expenditures 15-22'!D238</f>
        <v>173803</v>
      </c>
      <c r="C1417" s="2" t="s">
        <v>573</v>
      </c>
      <c r="D1417" s="2" t="str">
        <f t="shared" si="21"/>
        <v>Error?</v>
      </c>
    </row>
    <row r="1418" spans="1:4" x14ac:dyDescent="0.2">
      <c r="A1418" s="5">
        <v>1357</v>
      </c>
      <c r="B1418" s="138">
        <f>'Expenditures 15-22'!D240</f>
        <v>23068</v>
      </c>
      <c r="D1418" s="2" t="str">
        <f t="shared" si="21"/>
        <v>Error?</v>
      </c>
    </row>
    <row r="1419" spans="1:4" x14ac:dyDescent="0.2">
      <c r="A1419" s="5">
        <v>1358</v>
      </c>
      <c r="B1419" s="138">
        <f>'Expenditures 15-22'!D241</f>
        <v>78322</v>
      </c>
      <c r="D1419" s="2" t="str">
        <f t="shared" si="21"/>
        <v>Error?</v>
      </c>
    </row>
    <row r="1420" spans="1:4" x14ac:dyDescent="0.2">
      <c r="A1420" s="5">
        <v>1359</v>
      </c>
      <c r="B1420" s="138">
        <f>'Expenditures 15-22'!D242</f>
        <v>17</v>
      </c>
      <c r="D1420" s="2" t="str">
        <f t="shared" si="21"/>
        <v>Error?</v>
      </c>
    </row>
    <row r="1421" spans="1:4" x14ac:dyDescent="0.2">
      <c r="A1421" s="5">
        <v>1360</v>
      </c>
      <c r="B1421" s="138">
        <f>'Expenditures 15-22'!D243</f>
        <v>101407</v>
      </c>
      <c r="C1421" s="2" t="s">
        <v>573</v>
      </c>
      <c r="D1421" s="2" t="str">
        <f t="shared" si="21"/>
        <v>Error?</v>
      </c>
    </row>
    <row r="1422" spans="1:4" x14ac:dyDescent="0.2">
      <c r="A1422" s="5">
        <v>1361</v>
      </c>
      <c r="B1422" s="138">
        <f>'Expenditures 15-22'!D245</f>
        <v>218</v>
      </c>
      <c r="D1422" s="2" t="str">
        <f t="shared" si="21"/>
        <v>Error?</v>
      </c>
    </row>
    <row r="1423" spans="1:4" x14ac:dyDescent="0.2">
      <c r="A1423" s="5">
        <v>1362</v>
      </c>
      <c r="B1423" s="138">
        <f>'Expenditures 15-22'!D246</f>
        <v>11413</v>
      </c>
      <c r="D1423" s="2" t="str">
        <f t="shared" si="21"/>
        <v>Error?</v>
      </c>
    </row>
    <row r="1424" spans="1:4" x14ac:dyDescent="0.2">
      <c r="A1424" s="5">
        <v>1363</v>
      </c>
      <c r="B1424" s="138">
        <f>'Expenditures 15-22'!D257</f>
        <v>22437</v>
      </c>
      <c r="C1424" s="2" t="s">
        <v>573</v>
      </c>
      <c r="D1424" s="2" t="str">
        <f t="shared" si="21"/>
        <v>Error?</v>
      </c>
    </row>
    <row r="1425" spans="1:4" x14ac:dyDescent="0.2">
      <c r="A1425" s="5">
        <v>1364</v>
      </c>
      <c r="B1425" s="138">
        <f>'Expenditures 15-22'!D259</f>
        <v>98349</v>
      </c>
      <c r="D1425" s="2" t="str">
        <f t="shared" si="21"/>
        <v>Error?</v>
      </c>
    </row>
    <row r="1426" spans="1:4" x14ac:dyDescent="0.2">
      <c r="A1426" s="5">
        <v>1365</v>
      </c>
      <c r="B1426" s="138">
        <f>'Expenditures 15-22'!D260</f>
        <v>46699</v>
      </c>
      <c r="D1426" s="2" t="str">
        <f t="shared" si="21"/>
        <v>Error?</v>
      </c>
    </row>
    <row r="1427" spans="1:4" x14ac:dyDescent="0.2">
      <c r="A1427" s="5">
        <v>1366</v>
      </c>
      <c r="B1427" s="138">
        <f>'Expenditures 15-22'!D261</f>
        <v>145048</v>
      </c>
      <c r="C1427" s="2" t="s">
        <v>573</v>
      </c>
      <c r="D1427" s="2" t="str">
        <f t="shared" si="21"/>
        <v>Error?</v>
      </c>
    </row>
    <row r="1428" spans="1:4" x14ac:dyDescent="0.2">
      <c r="A1428" s="5">
        <v>1367</v>
      </c>
      <c r="B1428" s="138">
        <f>'Expenditures 15-22'!D263</f>
        <v>7206</v>
      </c>
      <c r="D1428" s="2" t="str">
        <f t="shared" si="21"/>
        <v>Error?</v>
      </c>
    </row>
    <row r="1429" spans="1:4" x14ac:dyDescent="0.2">
      <c r="A1429" s="5">
        <v>1368</v>
      </c>
      <c r="B1429" s="138">
        <f>'Expenditures 15-22'!D264</f>
        <v>22653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253894</v>
      </c>
      <c r="D1431" s="2" t="str">
        <f t="shared" si="21"/>
        <v>Error?</v>
      </c>
    </row>
    <row r="1432" spans="1:4" x14ac:dyDescent="0.2">
      <c r="A1432" s="5">
        <v>1371</v>
      </c>
      <c r="B1432" s="138">
        <f>'Expenditures 15-22'!D267</f>
        <v>225922</v>
      </c>
      <c r="D1432" s="2" t="str">
        <f t="shared" si="21"/>
        <v>Error?</v>
      </c>
    </row>
    <row r="1433" spans="1:4" x14ac:dyDescent="0.2">
      <c r="A1433" s="5">
        <v>1372</v>
      </c>
      <c r="B1433" s="138">
        <f>'Expenditures 15-22'!D268</f>
        <v>96568</v>
      </c>
      <c r="D1433" s="2" t="str">
        <f t="shared" si="21"/>
        <v>Error?</v>
      </c>
    </row>
    <row r="1434" spans="1:4" x14ac:dyDescent="0.2">
      <c r="A1434" s="5">
        <v>1373</v>
      </c>
      <c r="B1434" s="138">
        <f>'Expenditures 15-22'!D269</f>
        <v>10168</v>
      </c>
      <c r="D1434" s="2" t="str">
        <f t="shared" si="21"/>
        <v>Error?</v>
      </c>
    </row>
    <row r="1435" spans="1:4" x14ac:dyDescent="0.2">
      <c r="A1435" s="10">
        <v>1374</v>
      </c>
      <c r="D1435" s="2" t="str">
        <f t="shared" si="21"/>
        <v>OK</v>
      </c>
    </row>
    <row r="1436" spans="1:4" x14ac:dyDescent="0.2">
      <c r="A1436" s="5">
        <v>1375</v>
      </c>
      <c r="B1436" s="138">
        <f>'Expenditures 15-22'!D270</f>
        <v>616411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3</v>
      </c>
      <c r="D1438" s="2" t="str">
        <f t="shared" si="21"/>
        <v>Error?</v>
      </c>
    </row>
    <row r="1439" spans="1:4" x14ac:dyDescent="0.2">
      <c r="A1439" s="5">
        <v>1378</v>
      </c>
      <c r="B1439" s="138">
        <f>'Expenditures 15-22'!D274</f>
        <v>10859</v>
      </c>
      <c r="D1439" s="2" t="str">
        <f t="shared" si="21"/>
        <v>Error?</v>
      </c>
    </row>
    <row r="1440" spans="1:4" x14ac:dyDescent="0.2">
      <c r="A1440" s="5">
        <v>1379</v>
      </c>
      <c r="B1440" s="138">
        <f>'Expenditures 15-22'!D275</f>
        <v>15027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25889</v>
      </c>
      <c r="C1444" s="2" t="s">
        <v>573</v>
      </c>
      <c r="D1444" s="2" t="str">
        <f t="shared" si="21"/>
        <v>Error?</v>
      </c>
    </row>
    <row r="1445" spans="1:4" x14ac:dyDescent="0.2">
      <c r="A1445" s="5">
        <v>1384</v>
      </c>
      <c r="B1445" s="138">
        <f>'Expenditures 15-22'!D278</f>
        <v>13665</v>
      </c>
      <c r="D1445" s="2" t="str">
        <f t="shared" si="21"/>
        <v>Error?</v>
      </c>
    </row>
    <row r="1446" spans="1:4" x14ac:dyDescent="0.2">
      <c r="A1446" s="5">
        <v>1385</v>
      </c>
      <c r="B1446" s="138">
        <f>'Expenditures 15-22'!D279</f>
        <v>1098660</v>
      </c>
      <c r="C1446" s="2" t="s">
        <v>573</v>
      </c>
      <c r="D1446" s="2" t="str">
        <f t="shared" si="21"/>
        <v>Error?</v>
      </c>
    </row>
    <row r="1447" spans="1:4" x14ac:dyDescent="0.2">
      <c r="A1447" s="5">
        <v>1386</v>
      </c>
      <c r="B1447" s="138">
        <f>'Expenditures 15-22'!D280</f>
        <v>980</v>
      </c>
      <c r="D1447" s="2" t="str">
        <f t="shared" si="21"/>
        <v>Error?</v>
      </c>
    </row>
    <row r="1448" spans="1:4" x14ac:dyDescent="0.2">
      <c r="A1448" s="5">
        <v>1387</v>
      </c>
      <c r="B1448" s="138">
        <f>'Expenditures 15-22'!D295</f>
        <v>1583039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4762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9288</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7769</v>
      </c>
      <c r="C1471" s="2" t="s">
        <v>573</v>
      </c>
      <c r="D1471" s="2" t="str">
        <f t="shared" ref="D1471:D1534" si="22">IF(ISBLANK(B1471),"OK",IF(A1471-B1471=0,"OK","Error?"))</f>
        <v>Error?</v>
      </c>
    </row>
    <row r="1472" spans="1:4" x14ac:dyDescent="0.2">
      <c r="A1472" s="5">
        <v>1411</v>
      </c>
      <c r="B1472" s="138">
        <f>'Expenditures 15-22'!K223</f>
        <v>21924</v>
      </c>
      <c r="C1472" s="2" t="s">
        <v>573</v>
      </c>
      <c r="D1472" s="2" t="str">
        <f t="shared" si="22"/>
        <v>Error?</v>
      </c>
    </row>
    <row r="1473" spans="1:4" x14ac:dyDescent="0.2">
      <c r="A1473" s="5">
        <v>1412</v>
      </c>
      <c r="B1473" s="138">
        <f>'Expenditures 15-22'!K224</f>
        <v>8169</v>
      </c>
      <c r="C1473" s="2" t="s">
        <v>573</v>
      </c>
      <c r="D1473" s="2" t="str">
        <f t="shared" si="22"/>
        <v>Error?</v>
      </c>
    </row>
    <row r="1474" spans="1:4" x14ac:dyDescent="0.2">
      <c r="A1474" s="5">
        <v>1413</v>
      </c>
      <c r="B1474" s="138">
        <f>'Expenditures 15-22'!K229</f>
        <v>483399</v>
      </c>
      <c r="C1474" s="2" t="s">
        <v>573</v>
      </c>
      <c r="D1474" s="2" t="str">
        <f t="shared" si="22"/>
        <v>Error?</v>
      </c>
    </row>
    <row r="1475" spans="1:4" x14ac:dyDescent="0.2">
      <c r="A1475" s="5">
        <v>1414</v>
      </c>
      <c r="B1475" s="138">
        <f>'Expenditures 15-22'!K232</f>
        <v>57652</v>
      </c>
      <c r="C1475" s="2" t="s">
        <v>573</v>
      </c>
      <c r="D1475" s="2" t="str">
        <f t="shared" si="22"/>
        <v>Error?</v>
      </c>
    </row>
    <row r="1476" spans="1:4" x14ac:dyDescent="0.2">
      <c r="A1476" s="5">
        <v>1415</v>
      </c>
      <c r="B1476" s="138">
        <f>'Expenditures 15-22'!K233</f>
        <v>12788</v>
      </c>
      <c r="C1476" s="2" t="s">
        <v>573</v>
      </c>
      <c r="D1476" s="2" t="str">
        <f t="shared" si="22"/>
        <v>Error?</v>
      </c>
    </row>
    <row r="1477" spans="1:4" x14ac:dyDescent="0.2">
      <c r="A1477" s="5">
        <v>1416</v>
      </c>
      <c r="B1477" s="138">
        <f>'Expenditures 15-22'!K234</f>
        <v>71688</v>
      </c>
      <c r="C1477" s="2" t="s">
        <v>573</v>
      </c>
      <c r="D1477" s="2" t="str">
        <f t="shared" si="22"/>
        <v>Error?</v>
      </c>
    </row>
    <row r="1478" spans="1:4" x14ac:dyDescent="0.2">
      <c r="A1478" s="5">
        <v>1417</v>
      </c>
      <c r="B1478" s="138">
        <f>'Expenditures 15-22'!K235</f>
        <v>4235</v>
      </c>
      <c r="C1478" s="2" t="s">
        <v>573</v>
      </c>
      <c r="D1478" s="2" t="str">
        <f t="shared" si="22"/>
        <v>Error?</v>
      </c>
    </row>
    <row r="1479" spans="1:4" x14ac:dyDescent="0.2">
      <c r="A1479" s="5">
        <v>1418</v>
      </c>
      <c r="B1479" s="138">
        <f>'Expenditures 15-22'!K236</f>
        <v>6066</v>
      </c>
      <c r="C1479" s="2" t="s">
        <v>573</v>
      </c>
      <c r="D1479" s="2" t="str">
        <f t="shared" si="22"/>
        <v>Error?</v>
      </c>
    </row>
    <row r="1480" spans="1:4" x14ac:dyDescent="0.2">
      <c r="A1480" s="5">
        <v>1419</v>
      </c>
      <c r="B1480" s="138">
        <f>'Expenditures 15-22'!K237</f>
        <v>21374</v>
      </c>
      <c r="C1480" s="2" t="s">
        <v>573</v>
      </c>
      <c r="D1480" s="2" t="str">
        <f t="shared" si="22"/>
        <v>Error?</v>
      </c>
    </row>
    <row r="1481" spans="1:4" x14ac:dyDescent="0.2">
      <c r="A1481" s="5">
        <v>1420</v>
      </c>
      <c r="B1481" s="138">
        <f>'Expenditures 15-22'!K238</f>
        <v>173803</v>
      </c>
      <c r="C1481" s="2" t="s">
        <v>573</v>
      </c>
      <c r="D1481" s="2" t="str">
        <f t="shared" si="22"/>
        <v>Error?</v>
      </c>
    </row>
    <row r="1482" spans="1:4" x14ac:dyDescent="0.2">
      <c r="A1482" s="5">
        <v>1421</v>
      </c>
      <c r="B1482" s="138">
        <f>'Expenditures 15-22'!K240</f>
        <v>23068</v>
      </c>
      <c r="C1482" s="2" t="s">
        <v>573</v>
      </c>
      <c r="D1482" s="2" t="str">
        <f t="shared" si="22"/>
        <v>Error?</v>
      </c>
    </row>
    <row r="1483" spans="1:4" x14ac:dyDescent="0.2">
      <c r="A1483" s="5">
        <v>1422</v>
      </c>
      <c r="B1483" s="138">
        <f>'Expenditures 15-22'!K241</f>
        <v>78322</v>
      </c>
      <c r="C1483" s="2" t="s">
        <v>573</v>
      </c>
      <c r="D1483" s="2" t="str">
        <f t="shared" si="22"/>
        <v>Error?</v>
      </c>
    </row>
    <row r="1484" spans="1:4" x14ac:dyDescent="0.2">
      <c r="A1484" s="5">
        <v>1423</v>
      </c>
      <c r="B1484" s="138">
        <f>'Expenditures 15-22'!K242</f>
        <v>17</v>
      </c>
      <c r="C1484" s="2" t="s">
        <v>573</v>
      </c>
      <c r="D1484" s="2" t="str">
        <f t="shared" si="22"/>
        <v>Error?</v>
      </c>
    </row>
    <row r="1485" spans="1:4" x14ac:dyDescent="0.2">
      <c r="A1485" s="5">
        <v>1424</v>
      </c>
      <c r="B1485" s="138">
        <f>'Expenditures 15-22'!K243</f>
        <v>101407</v>
      </c>
      <c r="C1485" s="2" t="s">
        <v>573</v>
      </c>
      <c r="D1485" s="2" t="str">
        <f t="shared" si="22"/>
        <v>Error?</v>
      </c>
    </row>
    <row r="1486" spans="1:4" x14ac:dyDescent="0.2">
      <c r="A1486" s="5">
        <v>1425</v>
      </c>
      <c r="B1486" s="138">
        <f>'Expenditures 15-22'!K245</f>
        <v>218</v>
      </c>
      <c r="C1486" s="2" t="s">
        <v>573</v>
      </c>
      <c r="D1486" s="2" t="str">
        <f t="shared" si="22"/>
        <v>Error?</v>
      </c>
    </row>
    <row r="1487" spans="1:4" x14ac:dyDescent="0.2">
      <c r="A1487" s="5">
        <v>1426</v>
      </c>
      <c r="B1487" s="138">
        <f>'Expenditures 15-22'!K246</f>
        <v>11413</v>
      </c>
      <c r="C1487" s="2" t="s">
        <v>573</v>
      </c>
      <c r="D1487" s="2" t="str">
        <f t="shared" si="22"/>
        <v>Error?</v>
      </c>
    </row>
    <row r="1488" spans="1:4" x14ac:dyDescent="0.2">
      <c r="A1488" s="5">
        <v>1427</v>
      </c>
      <c r="B1488" s="138">
        <f>'Expenditures 15-22'!K257</f>
        <v>22437</v>
      </c>
      <c r="C1488" s="2" t="s">
        <v>573</v>
      </c>
      <c r="D1488" s="2" t="str">
        <f t="shared" si="22"/>
        <v>Error?</v>
      </c>
    </row>
    <row r="1489" spans="1:4" x14ac:dyDescent="0.2">
      <c r="A1489" s="5">
        <v>1428</v>
      </c>
      <c r="B1489" s="138">
        <f>'Expenditures 15-22'!K259</f>
        <v>98349</v>
      </c>
      <c r="C1489" s="2" t="s">
        <v>573</v>
      </c>
      <c r="D1489" s="2" t="str">
        <f t="shared" si="22"/>
        <v>Error?</v>
      </c>
    </row>
    <row r="1490" spans="1:4" x14ac:dyDescent="0.2">
      <c r="A1490" s="5">
        <v>1429</v>
      </c>
      <c r="B1490" s="138">
        <f>'Expenditures 15-22'!K260</f>
        <v>46699</v>
      </c>
      <c r="C1490" s="2" t="s">
        <v>573</v>
      </c>
      <c r="D1490" s="2" t="str">
        <f t="shared" si="22"/>
        <v>Error?</v>
      </c>
    </row>
    <row r="1491" spans="1:4" x14ac:dyDescent="0.2">
      <c r="A1491" s="5">
        <v>1430</v>
      </c>
      <c r="B1491" s="138">
        <f>'Expenditures 15-22'!K261</f>
        <v>145048</v>
      </c>
      <c r="C1491" s="2" t="s">
        <v>573</v>
      </c>
      <c r="D1491" s="2" t="str">
        <f t="shared" si="22"/>
        <v>Error?</v>
      </c>
    </row>
    <row r="1492" spans="1:4" x14ac:dyDescent="0.2">
      <c r="A1492" s="5">
        <v>1431</v>
      </c>
      <c r="B1492" s="138">
        <f>'Expenditures 15-22'!K263</f>
        <v>7206</v>
      </c>
      <c r="C1492" s="2" t="s">
        <v>573</v>
      </c>
      <c r="D1492" s="2" t="str">
        <f t="shared" si="22"/>
        <v>Error?</v>
      </c>
    </row>
    <row r="1493" spans="1:4" x14ac:dyDescent="0.2">
      <c r="A1493" s="5">
        <v>1432</v>
      </c>
      <c r="B1493" s="138">
        <f>'Expenditures 15-22'!K264</f>
        <v>22653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253894</v>
      </c>
      <c r="C1495" s="2" t="s">
        <v>573</v>
      </c>
      <c r="D1495" s="2" t="str">
        <f t="shared" si="22"/>
        <v>Error?</v>
      </c>
    </row>
    <row r="1496" spans="1:4" x14ac:dyDescent="0.2">
      <c r="A1496" s="5">
        <v>1435</v>
      </c>
      <c r="B1496" s="138">
        <f>'Expenditures 15-22'!K267</f>
        <v>225922</v>
      </c>
      <c r="C1496" s="2" t="s">
        <v>573</v>
      </c>
      <c r="D1496" s="2" t="str">
        <f t="shared" si="22"/>
        <v>Error?</v>
      </c>
    </row>
    <row r="1497" spans="1:4" x14ac:dyDescent="0.2">
      <c r="A1497" s="5">
        <v>1436</v>
      </c>
      <c r="B1497" s="138">
        <f>'Expenditures 15-22'!K268</f>
        <v>96568</v>
      </c>
      <c r="C1497" s="2" t="s">
        <v>573</v>
      </c>
      <c r="D1497" s="2" t="str">
        <f t="shared" si="22"/>
        <v>Error?</v>
      </c>
    </row>
    <row r="1498" spans="1:4" x14ac:dyDescent="0.2">
      <c r="A1498" s="5">
        <v>1437</v>
      </c>
      <c r="B1498" s="138">
        <f>'Expenditures 15-22'!K269</f>
        <v>10168</v>
      </c>
      <c r="C1498" s="2" t="s">
        <v>573</v>
      </c>
      <c r="D1498" s="2" t="str">
        <f t="shared" si="22"/>
        <v>Error?</v>
      </c>
    </row>
    <row r="1499" spans="1:4" x14ac:dyDescent="0.2">
      <c r="A1499" s="10">
        <v>1438</v>
      </c>
      <c r="D1499" s="2" t="str">
        <f t="shared" si="22"/>
        <v>OK</v>
      </c>
    </row>
    <row r="1500" spans="1:4" x14ac:dyDescent="0.2">
      <c r="A1500" s="5">
        <v>1439</v>
      </c>
      <c r="B1500" s="138">
        <f>'Expenditures 15-22'!K270</f>
        <v>616411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3</v>
      </c>
      <c r="C1502" s="2" t="s">
        <v>573</v>
      </c>
      <c r="D1502" s="2" t="str">
        <f t="shared" si="22"/>
        <v>Error?</v>
      </c>
    </row>
    <row r="1503" spans="1:4" x14ac:dyDescent="0.2">
      <c r="A1503" s="5">
        <v>1442</v>
      </c>
      <c r="B1503" s="138">
        <f>'Expenditures 15-22'!K274</f>
        <v>10859</v>
      </c>
      <c r="C1503" s="2" t="s">
        <v>573</v>
      </c>
      <c r="D1503" s="2" t="str">
        <f t="shared" si="22"/>
        <v>Error?</v>
      </c>
    </row>
    <row r="1504" spans="1:4" x14ac:dyDescent="0.2">
      <c r="A1504" s="5">
        <v>1443</v>
      </c>
      <c r="B1504" s="138">
        <f>'Expenditures 15-22'!K275</f>
        <v>15027</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25889</v>
      </c>
      <c r="C1508" s="2" t="s">
        <v>573</v>
      </c>
      <c r="D1508" s="2" t="str">
        <f t="shared" si="22"/>
        <v>Error?</v>
      </c>
    </row>
    <row r="1509" spans="1:4" x14ac:dyDescent="0.2">
      <c r="A1509" s="5">
        <v>1448</v>
      </c>
      <c r="B1509" s="138">
        <f>'Expenditures 15-22'!K278</f>
        <v>13665</v>
      </c>
      <c r="C1509" s="2" t="s">
        <v>573</v>
      </c>
      <c r="D1509" s="2" t="str">
        <f t="shared" si="22"/>
        <v>Error?</v>
      </c>
    </row>
    <row r="1510" spans="1:4" x14ac:dyDescent="0.2">
      <c r="A1510" s="5">
        <v>1449</v>
      </c>
      <c r="B1510" s="138">
        <f>'Expenditures 15-22'!K279</f>
        <v>1098660</v>
      </c>
      <c r="C1510" s="2" t="s">
        <v>573</v>
      </c>
      <c r="D1510" s="2" t="str">
        <f t="shared" si="22"/>
        <v>Error?</v>
      </c>
    </row>
    <row r="1511" spans="1:4" x14ac:dyDescent="0.2">
      <c r="A1511" s="5">
        <v>1450</v>
      </c>
      <c r="B1511" s="138">
        <f>'Expenditures 15-22'!K280</f>
        <v>980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1583039</v>
      </c>
      <c r="C1517" s="2" t="s">
        <v>573</v>
      </c>
      <c r="D1517" s="2" t="str">
        <f t="shared" si="22"/>
        <v>Error?</v>
      </c>
    </row>
    <row r="1518" spans="1:4" x14ac:dyDescent="0.2">
      <c r="A1518" s="5">
        <v>1457</v>
      </c>
      <c r="B1518" s="138">
        <f>'Expenditures 15-22'!K296</f>
        <v>271736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28163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28163</v>
      </c>
      <c r="C1535" s="2" t="s">
        <v>573</v>
      </c>
      <c r="D1535" s="2" t="str">
        <f t="shared" ref="D1535:D1598" si="23">IF(ISBLANK(B1535),"OK",IF(A1535-B1535=0,"OK","Error?"))</f>
        <v>Error?</v>
      </c>
    </row>
    <row r="1536" spans="1:4" x14ac:dyDescent="0.2">
      <c r="A1536" s="5">
        <v>1475</v>
      </c>
      <c r="B1536" s="138">
        <f>'Expenditures 15-22'!E312</f>
        <v>28163</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312963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312963</v>
      </c>
      <c r="C1547" s="2" t="s">
        <v>573</v>
      </c>
      <c r="D1547" s="2" t="str">
        <f t="shared" si="23"/>
        <v>Error?</v>
      </c>
    </row>
    <row r="1548" spans="1:4" x14ac:dyDescent="0.2">
      <c r="A1548" s="5">
        <v>1487</v>
      </c>
      <c r="B1548" s="138">
        <f>'Expenditures 15-22'!G312</f>
        <v>312963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341126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341126</v>
      </c>
      <c r="C1559" s="2" t="s">
        <v>573</v>
      </c>
      <c r="D1559" s="2" t="str">
        <f t="shared" si="23"/>
        <v>Error?</v>
      </c>
    </row>
    <row r="1560" spans="1:4" x14ac:dyDescent="0.2">
      <c r="A1560" s="5">
        <v>1499</v>
      </c>
      <c r="B1560" s="138">
        <f>'Expenditures 15-22'!K312</f>
        <v>341126</v>
      </c>
      <c r="C1560" s="2" t="s">
        <v>573</v>
      </c>
      <c r="D1560" s="2" t="str">
        <f t="shared" si="23"/>
        <v>Error?</v>
      </c>
    </row>
    <row r="1561" spans="1:4" x14ac:dyDescent="0.2">
      <c r="A1561" s="5">
        <v>1500</v>
      </c>
      <c r="B1561" s="138">
        <f>'Expenditures 15-22'!K313</f>
        <v>-319465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5725615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3889463</v>
      </c>
      <c r="C1630" s="2" t="s">
        <v>573</v>
      </c>
      <c r="D1630" s="2" t="str">
        <f t="shared" si="24"/>
        <v>Error?</v>
      </c>
    </row>
    <row r="1631" spans="1:4" x14ac:dyDescent="0.2">
      <c r="A1631" s="5">
        <v>1570</v>
      </c>
      <c r="B1631" s="138">
        <f>'Acct Summary 7-8'!D79</f>
        <v>14666533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3446193</v>
      </c>
      <c r="C1644" s="2" t="s">
        <v>573</v>
      </c>
      <c r="D1644" s="2" t="str">
        <f t="shared" si="24"/>
        <v>Error?</v>
      </c>
    </row>
    <row r="1645" spans="1:4" x14ac:dyDescent="0.2">
      <c r="A1645" s="5">
        <v>1584</v>
      </c>
      <c r="B1645" s="138">
        <f>'Acct Summary 7-8'!E79</f>
        <v>2284810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2151108</v>
      </c>
      <c r="C1658" s="2" t="s">
        <v>573</v>
      </c>
      <c r="D1658" s="2" t="str">
        <f t="shared" si="24"/>
        <v>Error?</v>
      </c>
    </row>
    <row r="1659" spans="1:4" x14ac:dyDescent="0.2">
      <c r="A1659" s="5">
        <v>1598</v>
      </c>
      <c r="B1659" s="138">
        <f>'Acct Summary 7-8'!F79</f>
        <v>4097064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4428329</v>
      </c>
      <c r="C1672" s="2" t="s">
        <v>573</v>
      </c>
      <c r="D1672" s="2" t="str">
        <f t="shared" si="25"/>
        <v>Error?</v>
      </c>
    </row>
    <row r="1673" spans="1:4" x14ac:dyDescent="0.2">
      <c r="A1673" s="5">
        <v>1612</v>
      </c>
      <c r="B1673" s="138">
        <f>'Acct Summary 7-8'!G79</f>
        <v>2184719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2456455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11080535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11894256</v>
      </c>
      <c r="C1744" s="2" t="s">
        <v>573</v>
      </c>
      <c r="D1744" s="2" t="str">
        <f t="shared" si="26"/>
        <v>Error?</v>
      </c>
    </row>
    <row r="1745" spans="1:5" x14ac:dyDescent="0.2">
      <c r="A1745" s="5">
        <v>1684</v>
      </c>
      <c r="B1745" s="138">
        <f>'Tax Sched 23'!B5</f>
        <v>2204117</v>
      </c>
      <c r="C1745" s="2" t="s">
        <v>573</v>
      </c>
      <c r="D1745" s="2" t="str">
        <f t="shared" si="26"/>
        <v>Error?</v>
      </c>
    </row>
    <row r="1746" spans="1:5" x14ac:dyDescent="0.2">
      <c r="A1746" s="5">
        <v>1685</v>
      </c>
      <c r="B1746" s="138">
        <f>'Tax Sched 23'!B6</f>
        <v>2684233</v>
      </c>
      <c r="C1746" s="2" t="s">
        <v>573</v>
      </c>
      <c r="D1746" s="2" t="str">
        <f t="shared" si="26"/>
        <v>Error?</v>
      </c>
    </row>
    <row r="1747" spans="1:5" x14ac:dyDescent="0.2">
      <c r="A1747" s="5">
        <v>1686</v>
      </c>
      <c r="B1747" s="138">
        <f>'Tax Sched 23'!B7</f>
        <v>1699293</v>
      </c>
      <c r="C1747" s="2" t="s">
        <v>573</v>
      </c>
      <c r="D1747" s="2" t="str">
        <f t="shared" si="26"/>
        <v>Error?</v>
      </c>
    </row>
    <row r="1748" spans="1:5" x14ac:dyDescent="0.2">
      <c r="A1748" s="5">
        <v>1687</v>
      </c>
      <c r="B1748" s="138">
        <f>'Tax Sched 23'!B8</f>
        <v>739680</v>
      </c>
      <c r="C1748" s="2" t="s">
        <v>573</v>
      </c>
      <c r="D1748" s="2" t="str">
        <f t="shared" si="26"/>
        <v>Error?</v>
      </c>
    </row>
    <row r="1749" spans="1:5" x14ac:dyDescent="0.2">
      <c r="A1749" s="5">
        <v>1688</v>
      </c>
      <c r="B1749" s="138">
        <f>'Tax Sched 23'!B10</f>
        <v>99966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709711</v>
      </c>
      <c r="C1752" s="2" t="s">
        <v>573</v>
      </c>
      <c r="D1752" s="2" t="str">
        <f t="shared" si="26"/>
        <v>Error?</v>
      </c>
    </row>
    <row r="1753" spans="1:5" x14ac:dyDescent="0.2">
      <c r="A1753" s="5">
        <v>1692</v>
      </c>
      <c r="B1753" s="138">
        <f>'Tax Sched 23'!B12</f>
        <v>149960</v>
      </c>
      <c r="C1753" s="2" t="s">
        <v>573</v>
      </c>
      <c r="D1753" s="2" t="str">
        <f t="shared" si="26"/>
        <v>Error?</v>
      </c>
    </row>
    <row r="1754" spans="1:5" x14ac:dyDescent="0.2">
      <c r="A1754" s="5">
        <v>1693</v>
      </c>
      <c r="B1754" s="138">
        <f>'Tax Sched 23'!B14</f>
        <v>1999144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23319902</v>
      </c>
      <c r="C1759" s="2" t="s">
        <v>573</v>
      </c>
      <c r="D1759" s="2" t="str">
        <f t="shared" si="26"/>
        <v>Error?</v>
      </c>
    </row>
    <row r="1760" spans="1:5" x14ac:dyDescent="0.2">
      <c r="A1760" s="5">
        <v>1699</v>
      </c>
      <c r="B1760" s="138">
        <f>'Tax Sched 23'!D4</f>
        <v>11894256</v>
      </c>
      <c r="C1760" s="2" t="s">
        <v>573</v>
      </c>
      <c r="D1760" s="2" t="str">
        <f t="shared" si="26"/>
        <v>Error?</v>
      </c>
    </row>
    <row r="1761" spans="1:5" x14ac:dyDescent="0.2">
      <c r="A1761" s="5">
        <v>1700</v>
      </c>
      <c r="B1761" s="138">
        <f>'Tax Sched 23'!D5</f>
        <v>2204117</v>
      </c>
      <c r="C1761" s="2" t="s">
        <v>573</v>
      </c>
      <c r="D1761" s="2" t="str">
        <f t="shared" si="26"/>
        <v>Error?</v>
      </c>
    </row>
    <row r="1762" spans="1:5" s="8" customFormat="1" x14ac:dyDescent="0.2">
      <c r="A1762" s="5">
        <v>1701</v>
      </c>
      <c r="B1762" s="138">
        <f>'Tax Sched 23'!D6</f>
        <v>2684233</v>
      </c>
      <c r="C1762" s="2" t="s">
        <v>573</v>
      </c>
      <c r="D1762" s="2" t="str">
        <f t="shared" si="26"/>
        <v>Error?</v>
      </c>
      <c r="E1762" s="9"/>
    </row>
    <row r="1763" spans="1:5" x14ac:dyDescent="0.2">
      <c r="A1763" s="5">
        <v>1702</v>
      </c>
      <c r="B1763" s="138">
        <f>'Tax Sched 23'!D7</f>
        <v>1699293</v>
      </c>
      <c r="C1763" s="2" t="s">
        <v>573</v>
      </c>
      <c r="D1763" s="2" t="str">
        <f t="shared" si="26"/>
        <v>Error?</v>
      </c>
    </row>
    <row r="1764" spans="1:5" x14ac:dyDescent="0.2">
      <c r="A1764" s="5">
        <v>1703</v>
      </c>
      <c r="B1764" s="138">
        <f>'Tax Sched 23'!D8</f>
        <v>739680</v>
      </c>
      <c r="C1764" s="2" t="s">
        <v>573</v>
      </c>
      <c r="D1764" s="2" t="str">
        <f t="shared" si="26"/>
        <v>Error?</v>
      </c>
    </row>
    <row r="1765" spans="1:5" x14ac:dyDescent="0.2">
      <c r="A1765" s="5">
        <v>1704</v>
      </c>
      <c r="B1765" s="138">
        <f>'Tax Sched 23'!D10</f>
        <v>99966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709711</v>
      </c>
      <c r="C1768" s="2" t="s">
        <v>573</v>
      </c>
      <c r="D1768" s="2" t="str">
        <f t="shared" si="26"/>
        <v>Error?</v>
      </c>
    </row>
    <row r="1769" spans="1:5" x14ac:dyDescent="0.2">
      <c r="A1769" s="5">
        <v>1708</v>
      </c>
      <c r="B1769" s="138">
        <f>'Tax Sched 23'!D12</f>
        <v>149960</v>
      </c>
      <c r="C1769" s="2" t="s">
        <v>573</v>
      </c>
      <c r="D1769" s="2" t="str">
        <f t="shared" si="26"/>
        <v>Error?</v>
      </c>
    </row>
    <row r="1770" spans="1:5" x14ac:dyDescent="0.2">
      <c r="A1770" s="5">
        <v>1709</v>
      </c>
      <c r="B1770" s="138">
        <f>'Tax Sched 23'!D14</f>
        <v>1999144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23319902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11992206</v>
      </c>
      <c r="C1792" s="2" t="s">
        <v>573</v>
      </c>
      <c r="D1792" s="2" t="str">
        <f t="shared" si="27"/>
        <v>Error?</v>
      </c>
    </row>
    <row r="1793" spans="1:4" x14ac:dyDescent="0.2">
      <c r="A1793" s="5">
        <v>1732</v>
      </c>
      <c r="B1793" s="138">
        <f>'Tax Sched 23'!F5</f>
        <v>2221920</v>
      </c>
      <c r="C1793" s="2" t="s">
        <v>573</v>
      </c>
      <c r="D1793" s="2" t="str">
        <f t="shared" si="27"/>
        <v>Error?</v>
      </c>
    </row>
    <row r="1794" spans="1:4" x14ac:dyDescent="0.2">
      <c r="A1794" s="5">
        <v>1733</v>
      </c>
      <c r="B1794" s="138">
        <f>'Tax Sched 23'!F6</f>
        <v>2760573</v>
      </c>
      <c r="C1794" s="2" t="s">
        <v>573</v>
      </c>
      <c r="D1794" s="2" t="str">
        <f t="shared" si="27"/>
        <v>Error?</v>
      </c>
    </row>
    <row r="1795" spans="1:4" x14ac:dyDescent="0.2">
      <c r="A1795" s="5">
        <v>1734</v>
      </c>
      <c r="B1795" s="138">
        <f>'Tax Sched 23'!F7</f>
        <v>1700035</v>
      </c>
      <c r="C1795" s="2" t="s">
        <v>573</v>
      </c>
      <c r="D1795" s="2" t="str">
        <f t="shared" si="27"/>
        <v>Error?</v>
      </c>
    </row>
    <row r="1796" spans="1:4" x14ac:dyDescent="0.2">
      <c r="A1796" s="5">
        <v>1735</v>
      </c>
      <c r="B1796" s="138">
        <f>'Tax Sched 23'!F8</f>
        <v>740018</v>
      </c>
      <c r="C1796" s="2" t="s">
        <v>573</v>
      </c>
      <c r="D1796" s="2" t="str">
        <f t="shared" si="27"/>
        <v>Error?</v>
      </c>
    </row>
    <row r="1797" spans="1:4" x14ac:dyDescent="0.2">
      <c r="A1797" s="5">
        <v>1736</v>
      </c>
      <c r="B1797" s="138">
        <f>'Tax Sched 23'!F10</f>
        <v>100016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710007</v>
      </c>
      <c r="C1800" s="2" t="s">
        <v>573</v>
      </c>
      <c r="D1800" s="2" t="str">
        <f t="shared" si="27"/>
        <v>Error?</v>
      </c>
    </row>
    <row r="1801" spans="1:4" x14ac:dyDescent="0.2">
      <c r="A1801" s="5">
        <v>1740</v>
      </c>
      <c r="B1801" s="138">
        <f>'Tax Sched 23'!F12</f>
        <v>150024</v>
      </c>
      <c r="C1801" s="2" t="s">
        <v>573</v>
      </c>
      <c r="D1801" s="2" t="str">
        <f t="shared" si="27"/>
        <v>Error?</v>
      </c>
    </row>
    <row r="1802" spans="1:4" x14ac:dyDescent="0.2">
      <c r="A1802" s="5">
        <v>1741</v>
      </c>
      <c r="B1802" s="138">
        <f>'Tax Sched 23'!F14</f>
        <v>2000024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23514875</v>
      </c>
      <c r="C1807" s="2" t="s">
        <v>573</v>
      </c>
      <c r="D1807" s="2" t="str">
        <f t="shared" si="27"/>
        <v>Error?</v>
      </c>
    </row>
    <row r="1808" spans="1:4" x14ac:dyDescent="0.2">
      <c r="A1808" s="5">
        <v>1747</v>
      </c>
      <c r="B1808" s="138">
        <f>'Tax Sched 23'!E4</f>
        <v>11992206</v>
      </c>
      <c r="D1808" s="2" t="str">
        <f t="shared" si="27"/>
        <v>Error?</v>
      </c>
    </row>
    <row r="1809" spans="1:4" x14ac:dyDescent="0.2">
      <c r="A1809" s="5">
        <v>1748</v>
      </c>
      <c r="B1809" s="138">
        <f>'Tax Sched 23'!E5</f>
        <v>2221920</v>
      </c>
      <c r="D1809" s="2" t="str">
        <f t="shared" si="27"/>
        <v>Error?</v>
      </c>
    </row>
    <row r="1810" spans="1:4" x14ac:dyDescent="0.2">
      <c r="A1810" s="5">
        <v>1749</v>
      </c>
      <c r="B1810" s="138">
        <f>'Tax Sched 23'!E6</f>
        <v>2760573</v>
      </c>
      <c r="D1810" s="2" t="str">
        <f t="shared" si="27"/>
        <v>Error?</v>
      </c>
    </row>
    <row r="1811" spans="1:4" x14ac:dyDescent="0.2">
      <c r="A1811" s="5">
        <v>1750</v>
      </c>
      <c r="B1811" s="138">
        <f>'Tax Sched 23'!E7</f>
        <v>1700035</v>
      </c>
      <c r="D1811" s="2" t="str">
        <f t="shared" si="27"/>
        <v>Error?</v>
      </c>
    </row>
    <row r="1812" spans="1:4" x14ac:dyDescent="0.2">
      <c r="A1812" s="5">
        <v>1751</v>
      </c>
      <c r="B1812" s="138">
        <f>'Tax Sched 23'!E8</f>
        <v>740018</v>
      </c>
      <c r="D1812" s="2" t="str">
        <f t="shared" si="27"/>
        <v>Error?</v>
      </c>
    </row>
    <row r="1813" spans="1:4" x14ac:dyDescent="0.2">
      <c r="A1813" s="5">
        <v>1752</v>
      </c>
      <c r="B1813" s="138">
        <f>'Tax Sched 23'!E10</f>
        <v>100016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710007</v>
      </c>
      <c r="D1816" s="2" t="str">
        <f t="shared" si="27"/>
        <v>Error?</v>
      </c>
    </row>
    <row r="1817" spans="1:4" x14ac:dyDescent="0.2">
      <c r="A1817" s="5">
        <v>1756</v>
      </c>
      <c r="B1817" s="138">
        <f>'Tax Sched 23'!E12</f>
        <v>150024</v>
      </c>
      <c r="D1817" s="2" t="str">
        <f t="shared" si="27"/>
        <v>Error?</v>
      </c>
    </row>
    <row r="1818" spans="1:4" x14ac:dyDescent="0.2">
      <c r="A1818" s="5">
        <v>1757</v>
      </c>
      <c r="B1818" s="138">
        <f>'Tax Sched 23'!E14</f>
        <v>2000024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23514875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28809003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1999144</v>
      </c>
      <c r="D1972" s="2" t="str">
        <f t="shared" si="29"/>
        <v>Error?</v>
      </c>
    </row>
    <row r="1973" spans="1:5" x14ac:dyDescent="0.2">
      <c r="A1973" s="5">
        <v>1912</v>
      </c>
      <c r="B1973" s="138">
        <f>'Rest Tax Levies-Tort Im 25'!H6</f>
        <v>2987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2002131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2002131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822541</v>
      </c>
      <c r="D2008" s="2" t="str">
        <f t="shared" si="30"/>
        <v>Error?</v>
      </c>
    </row>
    <row r="2009" spans="1:4" x14ac:dyDescent="0.2">
      <c r="A2009" s="5">
        <v>1948</v>
      </c>
      <c r="B2009" s="138">
        <f>'Cap Outlay Deprec 26'!C8</f>
        <v>47057537</v>
      </c>
      <c r="D2009" s="2" t="str">
        <f t="shared" si="30"/>
        <v>Error?</v>
      </c>
    </row>
    <row r="2010" spans="1:4" x14ac:dyDescent="0.2">
      <c r="A2010" s="5">
        <v>1949</v>
      </c>
      <c r="B2010" s="138">
        <f>'Cap Outlay Deprec 26'!C10</f>
        <v>2131047</v>
      </c>
      <c r="D2010" s="2" t="str">
        <f t="shared" si="30"/>
        <v>Error?</v>
      </c>
    </row>
    <row r="2011" spans="1:4" x14ac:dyDescent="0.2">
      <c r="A2011" s="5">
        <v>1950</v>
      </c>
      <c r="B2011" s="138">
        <f>'Cap Outlay Deprec 26'!C12</f>
        <v>2439442</v>
      </c>
      <c r="D2011" s="2" t="str">
        <f t="shared" si="30"/>
        <v>Error?</v>
      </c>
    </row>
    <row r="2012" spans="1:4" x14ac:dyDescent="0.2">
      <c r="A2012" s="5">
        <v>1951</v>
      </c>
      <c r="B2012" s="138">
        <f>'Cap Outlay Deprec 26'!C13</f>
        <v>2288769</v>
      </c>
      <c r="D2012" s="2" t="str">
        <f t="shared" si="30"/>
        <v>Error?</v>
      </c>
    </row>
    <row r="2013" spans="1:4" x14ac:dyDescent="0.2">
      <c r="A2013" s="5">
        <v>1952</v>
      </c>
      <c r="B2013" s="138">
        <f>'Cap Outlay Deprec 26'!C16</f>
        <v>54739336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373610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360826</v>
      </c>
      <c r="D2017" s="2" t="str">
        <f t="shared" si="30"/>
        <v>Error?</v>
      </c>
    </row>
    <row r="2018" spans="1:4" x14ac:dyDescent="0.2">
      <c r="A2018" s="5">
        <v>1957</v>
      </c>
      <c r="B2018" s="138">
        <f>'Cap Outlay Deprec 26'!D13</f>
        <v>64597</v>
      </c>
      <c r="D2018" s="2" t="str">
        <f t="shared" si="30"/>
        <v>Error?</v>
      </c>
    </row>
    <row r="2019" spans="1:4" x14ac:dyDescent="0.2">
      <c r="A2019" s="5">
        <v>1958</v>
      </c>
      <c r="B2019" s="138">
        <f>'Cap Outlay Deprec 26'!D16</f>
        <v>799033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496779</v>
      </c>
      <c r="D2024" s="2" t="str">
        <f t="shared" si="30"/>
        <v>Error?</v>
      </c>
    </row>
    <row r="2025" spans="1:4" x14ac:dyDescent="0.2">
      <c r="A2025" s="5">
        <v>1964</v>
      </c>
      <c r="B2025" s="138">
        <f>'Cap Outlay Deprec 26'!E16</f>
        <v>496779</v>
      </c>
      <c r="C2025" s="2" t="s">
        <v>573</v>
      </c>
      <c r="D2025" s="2" t="str">
        <f t="shared" si="30"/>
        <v>Error?</v>
      </c>
    </row>
    <row r="2026" spans="1:4" x14ac:dyDescent="0.2">
      <c r="A2026" s="5">
        <v>1965</v>
      </c>
      <c r="B2026" s="138">
        <f>'Cap Outlay Deprec 26'!F5</f>
        <v>822541</v>
      </c>
      <c r="C2026" s="2" t="s">
        <v>573</v>
      </c>
      <c r="D2026" s="2" t="str">
        <f t="shared" si="30"/>
        <v>Error?</v>
      </c>
    </row>
    <row r="2027" spans="1:4" x14ac:dyDescent="0.2">
      <c r="A2027" s="5">
        <v>1966</v>
      </c>
      <c r="B2027" s="138">
        <f>'Cap Outlay Deprec 26'!F8</f>
        <v>47431147</v>
      </c>
      <c r="C2027" s="2" t="s">
        <v>573</v>
      </c>
      <c r="D2027" s="2" t="str">
        <f t="shared" si="30"/>
        <v>Error?</v>
      </c>
    </row>
    <row r="2028" spans="1:4" x14ac:dyDescent="0.2">
      <c r="A2028" s="5">
        <v>1967</v>
      </c>
      <c r="B2028" s="138">
        <f>'Cap Outlay Deprec 26'!F10</f>
        <v>2131047</v>
      </c>
      <c r="C2028" s="2" t="s">
        <v>573</v>
      </c>
      <c r="D2028" s="2" t="str">
        <f t="shared" si="30"/>
        <v>Error?</v>
      </c>
    </row>
    <row r="2029" spans="1:4" x14ac:dyDescent="0.2">
      <c r="A2029" s="5">
        <v>1968</v>
      </c>
      <c r="B2029" s="138">
        <f>'Cap Outlay Deprec 26'!F12</f>
        <v>2800268</v>
      </c>
      <c r="C2029" s="2" t="s">
        <v>573</v>
      </c>
      <c r="D2029" s="2" t="str">
        <f t="shared" si="30"/>
        <v>Error?</v>
      </c>
    </row>
    <row r="2030" spans="1:4" x14ac:dyDescent="0.2">
      <c r="A2030" s="5">
        <v>1969</v>
      </c>
      <c r="B2030" s="138">
        <f>'Cap Outlay Deprec 26'!F13</f>
        <v>1856587</v>
      </c>
      <c r="C2030" s="2" t="s">
        <v>573</v>
      </c>
      <c r="D2030" s="2" t="str">
        <f t="shared" si="30"/>
        <v>Error?</v>
      </c>
    </row>
    <row r="2031" spans="1:4" x14ac:dyDescent="0.2">
      <c r="A2031" s="5">
        <v>1970</v>
      </c>
      <c r="B2031" s="138">
        <f>'Cap Outlay Deprec 26'!F16</f>
        <v>55041590</v>
      </c>
      <c r="C2031" s="2" t="s">
        <v>573</v>
      </c>
      <c r="D2031" s="2" t="str">
        <f t="shared" si="30"/>
        <v>Error?</v>
      </c>
    </row>
    <row r="2032" spans="1:4" x14ac:dyDescent="0.2">
      <c r="A2032" s="10">
        <v>1971</v>
      </c>
      <c r="D2032" s="2" t="str">
        <f t="shared" si="30"/>
        <v>OK</v>
      </c>
    </row>
    <row r="2033" spans="1:4" x14ac:dyDescent="0.2">
      <c r="A2033" s="5">
        <v>1972</v>
      </c>
      <c r="B2033" s="138">
        <f>'Cap Outlay Deprec 26'!H8</f>
        <v>40612201</v>
      </c>
      <c r="D2033" s="2" t="str">
        <f t="shared" si="30"/>
        <v>Error?</v>
      </c>
    </row>
    <row r="2034" spans="1:4" x14ac:dyDescent="0.2">
      <c r="A2034" s="5">
        <v>1973</v>
      </c>
      <c r="B2034" s="138">
        <f>'Cap Outlay Deprec 26'!H10</f>
        <v>1089559</v>
      </c>
      <c r="D2034" s="2" t="str">
        <f t="shared" si="30"/>
        <v>Error?</v>
      </c>
    </row>
    <row r="2035" spans="1:4" x14ac:dyDescent="0.2">
      <c r="A2035" s="5">
        <v>1974</v>
      </c>
      <c r="B2035" s="138">
        <f>'Cap Outlay Deprec 26'!H12</f>
        <v>1697607</v>
      </c>
      <c r="D2035" s="2" t="str">
        <f t="shared" si="30"/>
        <v>Error?</v>
      </c>
    </row>
    <row r="2036" spans="1:4" x14ac:dyDescent="0.2">
      <c r="A2036" s="5">
        <v>1975</v>
      </c>
      <c r="B2036" s="138">
        <f>'Cap Outlay Deprec 26'!H13</f>
        <v>1277336</v>
      </c>
      <c r="D2036" s="2" t="str">
        <f t="shared" si="30"/>
        <v>Error?</v>
      </c>
    </row>
    <row r="2037" spans="1:4" x14ac:dyDescent="0.2">
      <c r="A2037" s="5">
        <v>1976</v>
      </c>
      <c r="B2037" s="138">
        <f>'Cap Outlay Deprec 26'!H16</f>
        <v>44676703</v>
      </c>
      <c r="C2037" s="2" t="s">
        <v>573</v>
      </c>
      <c r="D2037" s="2" t="str">
        <f t="shared" si="30"/>
        <v>Error?</v>
      </c>
    </row>
    <row r="2038" spans="1:4" x14ac:dyDescent="0.2">
      <c r="A2038" s="10">
        <v>1977</v>
      </c>
      <c r="D2038" s="2" t="str">
        <f t="shared" si="30"/>
        <v>OK</v>
      </c>
    </row>
    <row r="2039" spans="1:4" x14ac:dyDescent="0.2">
      <c r="A2039" s="5">
        <v>1978</v>
      </c>
      <c r="B2039" s="138">
        <f>'Cap Outlay Deprec 26'!I8</f>
        <v>851306</v>
      </c>
      <c r="D2039" s="2" t="str">
        <f t="shared" si="30"/>
        <v>Error?</v>
      </c>
    </row>
    <row r="2040" spans="1:4" x14ac:dyDescent="0.2">
      <c r="A2040" s="5">
        <v>1979</v>
      </c>
      <c r="B2040" s="138">
        <f>'Cap Outlay Deprec 26'!I10</f>
        <v>106552</v>
      </c>
      <c r="D2040" s="2" t="str">
        <f t="shared" si="30"/>
        <v>Error?</v>
      </c>
    </row>
    <row r="2041" spans="1:4" x14ac:dyDescent="0.2">
      <c r="A2041" s="5">
        <v>1980</v>
      </c>
      <c r="B2041" s="138">
        <f>'Cap Outlay Deprec 26'!I12</f>
        <v>223528</v>
      </c>
      <c r="D2041" s="2" t="str">
        <f t="shared" si="30"/>
        <v>Error?</v>
      </c>
    </row>
    <row r="2042" spans="1:4" x14ac:dyDescent="0.2">
      <c r="A2042" s="5">
        <v>1981</v>
      </c>
      <c r="B2042" s="138">
        <f>'Cap Outlay Deprec 26'!I13</f>
        <v>253523</v>
      </c>
      <c r="D2042" s="2" t="str">
        <f t="shared" si="30"/>
        <v>Error?</v>
      </c>
    </row>
    <row r="2043" spans="1:4" x14ac:dyDescent="0.2">
      <c r="A2043" s="5">
        <v>1982</v>
      </c>
      <c r="B2043" s="138">
        <f>'Cap Outlay Deprec 26'!I16</f>
        <v>1434909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409312</v>
      </c>
      <c r="D2048" s="2" t="str">
        <f t="shared" si="31"/>
        <v>Error?</v>
      </c>
    </row>
    <row r="2049" spans="1:4" x14ac:dyDescent="0.2">
      <c r="A2049" s="5">
        <v>1988</v>
      </c>
      <c r="B2049" s="138">
        <f>'Cap Outlay Deprec 26'!J16</f>
        <v>409312</v>
      </c>
      <c r="C2049" s="2" t="s">
        <v>573</v>
      </c>
      <c r="D2049" s="2" t="str">
        <f t="shared" si="31"/>
        <v>Error?</v>
      </c>
    </row>
    <row r="2050" spans="1:4" x14ac:dyDescent="0.2">
      <c r="A2050" s="10">
        <v>1989</v>
      </c>
      <c r="D2050" s="2" t="str">
        <f t="shared" si="31"/>
        <v>OK</v>
      </c>
    </row>
    <row r="2051" spans="1:4" x14ac:dyDescent="0.2">
      <c r="A2051" s="5">
        <v>1990</v>
      </c>
      <c r="B2051" s="138">
        <f>'Cap Outlay Deprec 26'!K8</f>
        <v>41463507</v>
      </c>
      <c r="C2051" s="2" t="s">
        <v>573</v>
      </c>
      <c r="D2051" s="2" t="str">
        <f t="shared" si="31"/>
        <v>Error?</v>
      </c>
    </row>
    <row r="2052" spans="1:4" x14ac:dyDescent="0.2">
      <c r="A2052" s="5">
        <v>1991</v>
      </c>
      <c r="B2052" s="138">
        <f>'Cap Outlay Deprec 26'!K10</f>
        <v>1196111</v>
      </c>
      <c r="C2052" s="2" t="s">
        <v>573</v>
      </c>
      <c r="D2052" s="2" t="str">
        <f t="shared" si="31"/>
        <v>Error?</v>
      </c>
    </row>
    <row r="2053" spans="1:4" x14ac:dyDescent="0.2">
      <c r="A2053" s="5">
        <v>1992</v>
      </c>
      <c r="B2053" s="138">
        <f>'Cap Outlay Deprec 26'!K12</f>
        <v>1921135</v>
      </c>
      <c r="C2053" s="2" t="s">
        <v>573</v>
      </c>
      <c r="D2053" s="2" t="str">
        <f t="shared" si="31"/>
        <v>Error?</v>
      </c>
    </row>
    <row r="2054" spans="1:4" x14ac:dyDescent="0.2">
      <c r="A2054" s="5">
        <v>1993</v>
      </c>
      <c r="B2054" s="138">
        <f>'Cap Outlay Deprec 26'!K13</f>
        <v>1121547</v>
      </c>
      <c r="C2054" s="2" t="s">
        <v>573</v>
      </c>
      <c r="D2054" s="2" t="str">
        <f t="shared" si="31"/>
        <v>Error?</v>
      </c>
    </row>
    <row r="2055" spans="1:4" x14ac:dyDescent="0.2">
      <c r="A2055" s="5">
        <v>1994</v>
      </c>
      <c r="B2055" s="138">
        <f>'Cap Outlay Deprec 26'!K16</f>
        <v>45702300</v>
      </c>
      <c r="C2055" s="2" t="s">
        <v>573</v>
      </c>
      <c r="D2055" s="2" t="str">
        <f t="shared" si="31"/>
        <v>Error?</v>
      </c>
    </row>
    <row r="2056" spans="1:4" x14ac:dyDescent="0.2">
      <c r="A2056" s="5">
        <v>1995</v>
      </c>
      <c r="B2056" s="138">
        <f>'Cap Outlay Deprec 26'!L5</f>
        <v>822541</v>
      </c>
      <c r="C2056" s="2" t="s">
        <v>573</v>
      </c>
      <c r="D2056" s="2" t="str">
        <f t="shared" si="31"/>
        <v>Error?</v>
      </c>
    </row>
    <row r="2057" spans="1:4" x14ac:dyDescent="0.2">
      <c r="A2057" s="5">
        <v>1996</v>
      </c>
      <c r="B2057" s="138">
        <f>'Cap Outlay Deprec 26'!L8</f>
        <v>5967640</v>
      </c>
      <c r="C2057" s="2" t="s">
        <v>573</v>
      </c>
      <c r="D2057" s="2" t="str">
        <f t="shared" si="31"/>
        <v>Error?</v>
      </c>
    </row>
    <row r="2058" spans="1:4" x14ac:dyDescent="0.2">
      <c r="A2058" s="5">
        <v>1997</v>
      </c>
      <c r="B2058" s="138">
        <f>'Cap Outlay Deprec 26'!L10</f>
        <v>934936</v>
      </c>
      <c r="C2058" s="2" t="s">
        <v>573</v>
      </c>
      <c r="D2058" s="2" t="str">
        <f t="shared" si="31"/>
        <v>Error?</v>
      </c>
    </row>
    <row r="2059" spans="1:4" x14ac:dyDescent="0.2">
      <c r="A2059" s="5">
        <v>1998</v>
      </c>
      <c r="B2059" s="138">
        <f>'Cap Outlay Deprec 26'!L12</f>
        <v>879133</v>
      </c>
      <c r="C2059" s="2" t="s">
        <v>573</v>
      </c>
      <c r="D2059" s="2" t="str">
        <f t="shared" si="31"/>
        <v>Error?</v>
      </c>
    </row>
    <row r="2060" spans="1:4" x14ac:dyDescent="0.2">
      <c r="A2060" s="5">
        <v>1999</v>
      </c>
      <c r="B2060" s="138">
        <f>'Cap Outlay Deprec 26'!L13</f>
        <v>735040</v>
      </c>
      <c r="C2060" s="2" t="s">
        <v>573</v>
      </c>
      <c r="D2060" s="2" t="str">
        <f t="shared" si="31"/>
        <v>Error?</v>
      </c>
    </row>
    <row r="2061" spans="1:4" x14ac:dyDescent="0.2">
      <c r="A2061" s="5">
        <v>2000</v>
      </c>
      <c r="B2061" s="138">
        <f>'Cap Outlay Deprec 26'!L16</f>
        <v>9339290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442621</v>
      </c>
      <c r="C2088" s="2" t="s">
        <v>573</v>
      </c>
      <c r="D2088" s="2" t="str">
        <f t="shared" si="31"/>
        <v>Error?</v>
      </c>
    </row>
    <row r="2089" spans="1:4" x14ac:dyDescent="0.2">
      <c r="A2089" s="5">
        <v>2028</v>
      </c>
      <c r="B2089" s="138">
        <f>'Expenditures 15-22'!K92</f>
        <v>198120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840726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14341257</v>
      </c>
      <c r="C2551" s="2" t="s">
        <v>573</v>
      </c>
      <c r="D2551" s="2" t="str">
        <f t="shared" si="38"/>
        <v>Error?</v>
      </c>
    </row>
    <row r="2552" spans="1:4" x14ac:dyDescent="0.2">
      <c r="A2552" s="10">
        <v>2491</v>
      </c>
      <c r="D2552" s="2" t="str">
        <f t="shared" si="38"/>
        <v>OK</v>
      </c>
    </row>
    <row r="2553" spans="1:4" x14ac:dyDescent="0.2">
      <c r="A2553" s="5">
        <v>2492</v>
      </c>
      <c r="B2553" s="138">
        <f>'Acct Summary 7-8'!C6</f>
        <v>22108689</v>
      </c>
      <c r="C2553" s="2" t="s">
        <v>573</v>
      </c>
      <c r="D2553" s="2" t="str">
        <f t="shared" si="38"/>
        <v>Error?</v>
      </c>
    </row>
    <row r="2554" spans="1:4" x14ac:dyDescent="0.2">
      <c r="A2554" s="5">
        <v>2493</v>
      </c>
      <c r="B2554" s="138">
        <f>'Acct Summary 7-8'!C7</f>
        <v>6006315</v>
      </c>
      <c r="C2554" s="2" t="s">
        <v>573</v>
      </c>
      <c r="D2554" s="2" t="str">
        <f t="shared" si="38"/>
        <v>Error?</v>
      </c>
    </row>
    <row r="2555" spans="1:4" x14ac:dyDescent="0.2">
      <c r="A2555" s="5">
        <v>2494</v>
      </c>
      <c r="B2555" s="138">
        <f>'Acct Summary 7-8'!C8</f>
        <v>42456261</v>
      </c>
      <c r="C2555" s="2" t="s">
        <v>573</v>
      </c>
      <c r="D2555" s="2" t="str">
        <f t="shared" si="38"/>
        <v>Error?</v>
      </c>
    </row>
    <row r="2556" spans="1:4" x14ac:dyDescent="0.2">
      <c r="A2556" s="5">
        <v>2495</v>
      </c>
      <c r="B2556" s="138">
        <f>'Acct Summary 7-8'!C12</f>
        <v>26749448</v>
      </c>
      <c r="C2556" s="2" t="s">
        <v>573</v>
      </c>
      <c r="D2556" s="2" t="str">
        <f t="shared" si="38"/>
        <v>Error?</v>
      </c>
    </row>
    <row r="2557" spans="1:4" x14ac:dyDescent="0.2">
      <c r="A2557" s="5">
        <v>2496</v>
      </c>
      <c r="B2557" s="138">
        <f>'Acct Summary 7-8'!C13</f>
        <v>16575278</v>
      </c>
      <c r="C2557" s="2" t="s">
        <v>573</v>
      </c>
      <c r="D2557" s="2" t="str">
        <f t="shared" si="38"/>
        <v>Error?</v>
      </c>
    </row>
    <row r="2558" spans="1:4" x14ac:dyDescent="0.2">
      <c r="A2558" s="5">
        <v>2497</v>
      </c>
      <c r="B2558" s="138">
        <f>'Acct Summary 7-8'!C14</f>
        <v>134218</v>
      </c>
      <c r="C2558" s="2" t="s">
        <v>573</v>
      </c>
      <c r="D2558" s="2" t="str">
        <f t="shared" si="38"/>
        <v>Error?</v>
      </c>
    </row>
    <row r="2559" spans="1:4" x14ac:dyDescent="0.2">
      <c r="A2559" s="5">
        <v>2498</v>
      </c>
      <c r="B2559" s="138">
        <f>'Acct Summary 7-8'!C15</f>
        <v>640741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44099685</v>
      </c>
      <c r="C2561" s="2" t="s">
        <v>573</v>
      </c>
      <c r="D2561" s="2" t="str">
        <f t="shared" si="39"/>
        <v>Error?</v>
      </c>
    </row>
    <row r="2562" spans="1:4" x14ac:dyDescent="0.2">
      <c r="A2562" s="5">
        <v>2501</v>
      </c>
      <c r="B2562" s="138">
        <f>'Acct Summary 7-8'!C20</f>
        <v>-1643424</v>
      </c>
      <c r="C2562" s="2" t="s">
        <v>573</v>
      </c>
      <c r="D2562" s="2" t="str">
        <f t="shared" si="39"/>
        <v>Error?</v>
      </c>
    </row>
    <row r="2563" spans="1:4" x14ac:dyDescent="0.2">
      <c r="A2563" s="5">
        <v>2502</v>
      </c>
      <c r="B2563" s="138">
        <f>'Acct Summary 7-8'!C80</f>
        <v>-230088</v>
      </c>
      <c r="D2563" s="2" t="str">
        <f t="shared" si="39"/>
        <v>Error?</v>
      </c>
    </row>
    <row r="2564" spans="1:4" x14ac:dyDescent="0.2">
      <c r="A2564" s="5">
        <v>2503</v>
      </c>
      <c r="B2564" s="138">
        <f>'Acct Summary 7-8'!D4</f>
        <v>3796862</v>
      </c>
      <c r="C2564" s="2" t="s">
        <v>573</v>
      </c>
      <c r="D2564" s="2" t="str">
        <f t="shared" si="39"/>
        <v>Error?</v>
      </c>
    </row>
    <row r="2565" spans="1:4" x14ac:dyDescent="0.2">
      <c r="A2565" s="10">
        <v>2504</v>
      </c>
      <c r="D2565" s="2" t="str">
        <f t="shared" si="39"/>
        <v>OK</v>
      </c>
    </row>
    <row r="2566" spans="1:4" x14ac:dyDescent="0.2">
      <c r="A2566" s="5">
        <v>2505</v>
      </c>
      <c r="B2566" s="138">
        <f>'Acct Summary 7-8'!D6</f>
        <v>800000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4596862</v>
      </c>
      <c r="C2568" s="2" t="s">
        <v>573</v>
      </c>
      <c r="D2568" s="2" t="str">
        <f t="shared" si="39"/>
        <v>Error?</v>
      </c>
    </row>
    <row r="2569" spans="1:4" x14ac:dyDescent="0.2">
      <c r="A2569" s="5">
        <v>2508</v>
      </c>
      <c r="B2569" s="138">
        <f>'Acct Summary 7-8'!D13</f>
        <v>4424802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4424802</v>
      </c>
      <c r="C2573" s="2" t="s">
        <v>573</v>
      </c>
      <c r="D2573" s="2" t="str">
        <f t="shared" si="39"/>
        <v>Error?</v>
      </c>
    </row>
    <row r="2574" spans="1:4" x14ac:dyDescent="0.2">
      <c r="A2574" s="5">
        <v>2513</v>
      </c>
      <c r="B2574" s="138">
        <f>'Acct Summary 7-8'!D20</f>
        <v>172060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2406353</v>
      </c>
      <c r="C2591" s="2" t="s">
        <v>573</v>
      </c>
      <c r="D2591" s="2" t="str">
        <f t="shared" si="39"/>
        <v>Error?</v>
      </c>
    </row>
    <row r="2592" spans="1:4" x14ac:dyDescent="0.2">
      <c r="A2592" s="10">
        <v>2531</v>
      </c>
      <c r="D2592" s="2" t="str">
        <f t="shared" si="39"/>
        <v>OK</v>
      </c>
    </row>
    <row r="2593" spans="1:4" x14ac:dyDescent="0.2">
      <c r="A2593" s="5">
        <v>2532</v>
      </c>
      <c r="B2593" s="138">
        <f>'Acct Summary 7-8'!F6</f>
        <v>1092544</v>
      </c>
      <c r="C2593" s="2" t="s">
        <v>573</v>
      </c>
      <c r="D2593" s="2" t="str">
        <f t="shared" si="39"/>
        <v>Error?</v>
      </c>
    </row>
    <row r="2594" spans="1:4" x14ac:dyDescent="0.2">
      <c r="A2594" s="5">
        <v>2533</v>
      </c>
      <c r="B2594" s="138">
        <f>'Acct Summary 7-8'!F7</f>
        <v>40000</v>
      </c>
      <c r="C2594" s="2" t="s">
        <v>573</v>
      </c>
      <c r="D2594" s="2" t="str">
        <f t="shared" si="39"/>
        <v>Error?</v>
      </c>
    </row>
    <row r="2595" spans="1:4" x14ac:dyDescent="0.2">
      <c r="A2595" s="5">
        <v>2534</v>
      </c>
      <c r="B2595" s="138">
        <f>'Acct Summary 7-8'!F8</f>
        <v>3538897</v>
      </c>
      <c r="C2595" s="2" t="s">
        <v>573</v>
      </c>
      <c r="D2595" s="2" t="str">
        <f t="shared" si="39"/>
        <v>Error?</v>
      </c>
    </row>
    <row r="2596" spans="1:4" x14ac:dyDescent="0.2">
      <c r="A2596" s="5">
        <v>2535</v>
      </c>
      <c r="B2596" s="138">
        <f>'Acct Summary 7-8'!F13</f>
        <v>3207632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3207632</v>
      </c>
      <c r="C2600" s="2" t="s">
        <v>573</v>
      </c>
      <c r="D2600" s="2" t="str">
        <f t="shared" si="39"/>
        <v>Error?</v>
      </c>
    </row>
    <row r="2601" spans="1:4" x14ac:dyDescent="0.2">
      <c r="A2601" s="5">
        <v>2540</v>
      </c>
      <c r="B2601" s="138">
        <f>'Acct Summary 7-8'!F20</f>
        <v>331265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1854775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1854775</v>
      </c>
      <c r="C2606" s="2" t="s">
        <v>573</v>
      </c>
      <c r="D2606" s="2" t="str">
        <f t="shared" si="39"/>
        <v>Error?</v>
      </c>
    </row>
    <row r="2607" spans="1:4" x14ac:dyDescent="0.2">
      <c r="A2607" s="5">
        <v>2546</v>
      </c>
      <c r="B2607" s="138">
        <f>'Acct Summary 7-8'!G12</f>
        <v>483399</v>
      </c>
      <c r="C2607" s="2" t="s">
        <v>573</v>
      </c>
      <c r="D2607" s="2" t="str">
        <f t="shared" si="39"/>
        <v>Error?</v>
      </c>
    </row>
    <row r="2608" spans="1:4" x14ac:dyDescent="0.2">
      <c r="A2608" s="5">
        <v>2547</v>
      </c>
      <c r="B2608" s="138">
        <f>'Acct Summary 7-8'!G13</f>
        <v>1098660</v>
      </c>
      <c r="C2608" s="2" t="s">
        <v>573</v>
      </c>
      <c r="D2608" s="2" t="str">
        <f t="shared" si="39"/>
        <v>Error?</v>
      </c>
    </row>
    <row r="2609" spans="1:4" x14ac:dyDescent="0.2">
      <c r="A2609" s="5">
        <v>2548</v>
      </c>
      <c r="B2609" s="138">
        <f>'Acct Summary 7-8'!G14</f>
        <v>980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1583039</v>
      </c>
      <c r="C2612" s="2" t="s">
        <v>573</v>
      </c>
      <c r="D2612" s="2" t="str">
        <f t="shared" si="39"/>
        <v>Error?</v>
      </c>
    </row>
    <row r="2613" spans="1:4" x14ac:dyDescent="0.2">
      <c r="A2613" s="5">
        <v>2552</v>
      </c>
      <c r="B2613" s="138">
        <f>'Acct Summary 7-8'!G20</f>
        <v>271736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2699731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2699731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2833433</v>
      </c>
      <c r="C2634" s="2" t="s">
        <v>573</v>
      </c>
      <c r="D2634" s="2" t="str">
        <f t="shared" si="40"/>
        <v>Error?</v>
      </c>
    </row>
    <row r="2635" spans="1:4" x14ac:dyDescent="0.2">
      <c r="A2635" s="5">
        <v>2574</v>
      </c>
      <c r="B2635" s="138">
        <f>'Acct Summary 7-8'!E17</f>
        <v>2833433</v>
      </c>
      <c r="C2635" s="2" t="s">
        <v>573</v>
      </c>
      <c r="D2635" s="2" t="str">
        <f t="shared" si="40"/>
        <v>Error?</v>
      </c>
    </row>
    <row r="2636" spans="1:4" x14ac:dyDescent="0.2">
      <c r="A2636" s="5">
        <v>2575</v>
      </c>
      <c r="B2636" s="138">
        <f>'Acct Summary 7-8'!E20</f>
        <v>-133702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21661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21661</v>
      </c>
      <c r="C2658" s="2" t="s">
        <v>573</v>
      </c>
      <c r="D2658" s="2" t="str">
        <f t="shared" si="40"/>
        <v>Error?</v>
      </c>
    </row>
    <row r="2659" spans="1:4" x14ac:dyDescent="0.2">
      <c r="A2659" s="5">
        <v>2598</v>
      </c>
      <c r="B2659" s="138">
        <f>'Acct Summary 7-8'!H13</f>
        <v>341126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341126</v>
      </c>
      <c r="C2661" s="2" t="s">
        <v>573</v>
      </c>
      <c r="D2661" s="2" t="str">
        <f t="shared" si="40"/>
        <v>Error?</v>
      </c>
    </row>
    <row r="2662" spans="1:4" x14ac:dyDescent="0.2">
      <c r="A2662" s="5">
        <v>2601</v>
      </c>
      <c r="B2662" s="138">
        <f>'Acct Summary 7-8'!H20</f>
        <v>-319465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304242</v>
      </c>
      <c r="D2718" s="2" t="str">
        <f t="shared" si="41"/>
        <v>Error?</v>
      </c>
    </row>
    <row r="2719" spans="1:4" x14ac:dyDescent="0.2">
      <c r="A2719" s="5">
        <v>2658</v>
      </c>
      <c r="B2719" s="138">
        <f>'Expenditures 15-22'!D51</f>
        <v>78341</v>
      </c>
      <c r="D2719" s="2" t="str">
        <f t="shared" si="41"/>
        <v>Error?</v>
      </c>
    </row>
    <row r="2720" spans="1:4" x14ac:dyDescent="0.2">
      <c r="A2720" s="5">
        <v>2659</v>
      </c>
      <c r="B2720" s="138">
        <f>'Expenditures 15-22'!E51</f>
        <v>30347</v>
      </c>
      <c r="D2720" s="2" t="str">
        <f t="shared" si="41"/>
        <v>Error?</v>
      </c>
    </row>
    <row r="2721" spans="1:4" x14ac:dyDescent="0.2">
      <c r="A2721" s="5">
        <v>2660</v>
      </c>
      <c r="B2721" s="138">
        <f>'Expenditures 15-22'!F51</f>
        <v>14370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427300</v>
      </c>
      <c r="C2724" s="2" t="s">
        <v>573</v>
      </c>
      <c r="D2724" s="2" t="str">
        <f t="shared" si="41"/>
        <v>Error?</v>
      </c>
    </row>
    <row r="2725" spans="1:4" x14ac:dyDescent="0.2">
      <c r="A2725" s="5">
        <v>2664</v>
      </c>
      <c r="B2725" s="138">
        <f>'Expenditures 15-22'!D247</f>
        <v>10806</v>
      </c>
      <c r="D2725" s="2" t="str">
        <f t="shared" si="41"/>
        <v>Error?</v>
      </c>
    </row>
    <row r="2726" spans="1:4" x14ac:dyDescent="0.2">
      <c r="A2726" s="5">
        <v>2665</v>
      </c>
      <c r="B2726" s="138">
        <f>'Expenditures 15-22'!K247</f>
        <v>10806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442621</v>
      </c>
      <c r="C2789" s="2" t="s">
        <v>573</v>
      </c>
      <c r="D2789" s="2" t="str">
        <f t="shared" si="42"/>
        <v>Error?</v>
      </c>
    </row>
    <row r="2790" spans="1:4" x14ac:dyDescent="0.2">
      <c r="A2790" s="5">
        <v>2729</v>
      </c>
      <c r="B2790" s="138">
        <f>'Expenditures 15-22'!E102</f>
        <v>442621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100016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66546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436559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439681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50008</v>
      </c>
      <c r="D2908" s="2" t="str">
        <f t="shared" si="44"/>
        <v>Error?</v>
      </c>
    </row>
    <row r="2909" spans="1:4" x14ac:dyDescent="0.2">
      <c r="A2909" s="10">
        <v>2848</v>
      </c>
      <c r="D2909" s="2" t="str">
        <f t="shared" si="44"/>
        <v>OK</v>
      </c>
    </row>
    <row r="2910" spans="1:4" x14ac:dyDescent="0.2">
      <c r="A2910" s="5">
        <v>2849</v>
      </c>
      <c r="B2910" s="138">
        <f>'Assets-Liab 5-6'!I34</f>
        <v>50008</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386551</v>
      </c>
      <c r="D2912" s="2" t="str">
        <f t="shared" si="44"/>
        <v>Error?</v>
      </c>
    </row>
    <row r="2913" spans="1:4" x14ac:dyDescent="0.2">
      <c r="A2913" s="5">
        <v>2852</v>
      </c>
      <c r="B2913" s="138">
        <f>'Assets-Liab 5-6'!I41</f>
        <v>436559</v>
      </c>
      <c r="C2913" s="2" t="s">
        <v>573</v>
      </c>
      <c r="D2913" s="2" t="str">
        <f t="shared" si="44"/>
        <v>Error?</v>
      </c>
    </row>
    <row r="2914" spans="1:4" x14ac:dyDescent="0.2">
      <c r="A2914" s="5">
        <v>2853</v>
      </c>
      <c r="B2914" s="138">
        <f>'Assets-Liab 5-6'!L33</f>
        <v>439681</v>
      </c>
      <c r="D2914" s="2" t="str">
        <f t="shared" si="44"/>
        <v>Error?</v>
      </c>
    </row>
    <row r="2915" spans="1:4" x14ac:dyDescent="0.2">
      <c r="A2915" s="10">
        <v>2854</v>
      </c>
      <c r="D2915" s="2" t="str">
        <f t="shared" si="44"/>
        <v>OK</v>
      </c>
    </row>
    <row r="2916" spans="1:4" x14ac:dyDescent="0.2">
      <c r="A2916" s="5">
        <v>2855</v>
      </c>
      <c r="B2916" s="138">
        <f>'Assets-Liab 5-6'!L34</f>
        <v>439681</v>
      </c>
      <c r="C2916" s="2" t="s">
        <v>573</v>
      </c>
      <c r="D2916" s="2" t="str">
        <f t="shared" si="44"/>
        <v>Error?</v>
      </c>
    </row>
    <row r="2917" spans="1:4" x14ac:dyDescent="0.2">
      <c r="A2917" s="5">
        <v>2856</v>
      </c>
      <c r="B2917" s="138">
        <f>'Assets-Liab 5-6'!L41</f>
        <v>439681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329656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112965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329656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112965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370851</v>
      </c>
      <c r="D3055" s="2" t="str">
        <f t="shared" si="46"/>
        <v>Error?</v>
      </c>
    </row>
    <row r="3056" spans="1:4" x14ac:dyDescent="0.2">
      <c r="A3056" s="5">
        <v>2995</v>
      </c>
      <c r="B3056" s="138">
        <f>'Expenditures 15-22'!D10</f>
        <v>97985</v>
      </c>
      <c r="D3056" s="2" t="str">
        <f t="shared" si="46"/>
        <v>Error?</v>
      </c>
    </row>
    <row r="3057" spans="1:4" x14ac:dyDescent="0.2">
      <c r="A3057" s="5">
        <v>2996</v>
      </c>
      <c r="B3057" s="138">
        <f>'Expenditures 15-22'!E10</f>
        <v>133939</v>
      </c>
      <c r="D3057" s="2" t="str">
        <f t="shared" si="46"/>
        <v>Error?</v>
      </c>
    </row>
    <row r="3058" spans="1:4" x14ac:dyDescent="0.2">
      <c r="A3058" s="5">
        <v>2997</v>
      </c>
      <c r="B3058" s="138">
        <f>'Expenditures 15-22'!F10</f>
        <v>922193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1557223</v>
      </c>
      <c r="C3062" s="2" t="s">
        <v>573</v>
      </c>
      <c r="D3062" s="2" t="str">
        <f t="shared" si="46"/>
        <v>Error?</v>
      </c>
    </row>
    <row r="3063" spans="1:4" x14ac:dyDescent="0.2">
      <c r="A3063" s="10">
        <v>3002</v>
      </c>
      <c r="D3063" s="2" t="str">
        <f t="shared" si="46"/>
        <v>OK</v>
      </c>
    </row>
    <row r="3064" spans="1:4" x14ac:dyDescent="0.2">
      <c r="A3064" s="5">
        <v>3003</v>
      </c>
      <c r="B3064" s="138">
        <f>'Expenditures 15-22'!D219</f>
        <v>27860</v>
      </c>
      <c r="D3064" s="2" t="str">
        <f t="shared" si="46"/>
        <v>Error?</v>
      </c>
    </row>
    <row r="3065" spans="1:4" x14ac:dyDescent="0.2">
      <c r="A3065" s="5">
        <v>3004</v>
      </c>
      <c r="B3065" s="138">
        <f>'Expenditures 15-22'!K219</f>
        <v>27860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102026</v>
      </c>
      <c r="C3225" s="2" t="s">
        <v>573</v>
      </c>
      <c r="D3225" s="2" t="str">
        <f t="shared" si="49"/>
        <v>Error?</v>
      </c>
    </row>
    <row r="3226" spans="1:4" x14ac:dyDescent="0.2">
      <c r="A3226" s="5">
        <v>3165</v>
      </c>
      <c r="B3226" s="138">
        <f>'Acct Summary 7-8'!I8</f>
        <v>102026</v>
      </c>
      <c r="C3226" s="2" t="s">
        <v>573</v>
      </c>
      <c r="D3226" s="2" t="str">
        <f t="shared" si="49"/>
        <v>Error?</v>
      </c>
    </row>
    <row r="3227" spans="1:4" x14ac:dyDescent="0.2">
      <c r="A3227" s="5">
        <v>3166</v>
      </c>
      <c r="B3227" s="138">
        <f>'Acct Summary 7-8'!I20</f>
        <v>102026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37360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37360</v>
      </c>
      <c r="C3232" s="2" t="s">
        <v>573</v>
      </c>
      <c r="D3232" s="2" t="str">
        <f t="shared" si="49"/>
        <v>Error?</v>
      </c>
    </row>
    <row r="3233" spans="1:4" x14ac:dyDescent="0.2">
      <c r="A3233" s="5">
        <v>3172</v>
      </c>
      <c r="B3233" s="138">
        <f>'Acct Summary 7-8'!C78</f>
        <v>-1606064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7600</v>
      </c>
      <c r="C3235" s="2" t="s">
        <v>573</v>
      </c>
      <c r="D3235" s="2" t="str">
        <f t="shared" si="49"/>
        <v>Error?</v>
      </c>
    </row>
    <row r="3236" spans="1:4" x14ac:dyDescent="0.2">
      <c r="A3236" s="5">
        <v>3175</v>
      </c>
      <c r="B3236" s="138">
        <f>'Acct Summary 7-8'!D75</f>
        <v>11400000</v>
      </c>
      <c r="D3236" s="2" t="str">
        <f t="shared" si="49"/>
        <v>Error?</v>
      </c>
    </row>
    <row r="3237" spans="1:4" x14ac:dyDescent="0.2">
      <c r="A3237" s="5">
        <v>3176</v>
      </c>
      <c r="B3237" s="138">
        <f>'Acct Summary 7-8'!D76</f>
        <v>11400000</v>
      </c>
      <c r="C3237" s="2" t="s">
        <v>573</v>
      </c>
      <c r="D3237" s="2" t="str">
        <f t="shared" si="49"/>
        <v>Error?</v>
      </c>
    </row>
    <row r="3238" spans="1:4" x14ac:dyDescent="0.2">
      <c r="A3238" s="5">
        <v>3177</v>
      </c>
      <c r="B3238" s="138">
        <f>'Acct Summary 7-8'!D77</f>
        <v>-11392400</v>
      </c>
      <c r="C3238" s="2" t="s">
        <v>573</v>
      </c>
      <c r="D3238" s="2" t="str">
        <f t="shared" si="49"/>
        <v>Error?</v>
      </c>
    </row>
    <row r="3239" spans="1:4" x14ac:dyDescent="0.2">
      <c r="A3239" s="5">
        <v>3178</v>
      </c>
      <c r="B3239" s="138">
        <f>'Acct Summary 7-8'!D78</f>
        <v>-11220340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331265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271736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-133702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11400000</v>
      </c>
      <c r="D3295" s="2" t="str">
        <f t="shared" si="50"/>
        <v>Error?</v>
      </c>
    </row>
    <row r="3296" spans="1:4" x14ac:dyDescent="0.2">
      <c r="A3296" s="5">
        <v>3235</v>
      </c>
      <c r="B3296" s="138">
        <f>'Acct Summary 7-8'!H44</f>
        <v>11400000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11400000</v>
      </c>
      <c r="C3299" s="2" t="s">
        <v>573</v>
      </c>
      <c r="D3299" s="2" t="str">
        <f t="shared" si="50"/>
        <v>Error?</v>
      </c>
    </row>
    <row r="3300" spans="1:4" x14ac:dyDescent="0.2">
      <c r="A3300" s="5">
        <v>3239</v>
      </c>
      <c r="B3300" s="138">
        <f>'Acct Summary 7-8'!H78</f>
        <v>11080535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102026</v>
      </c>
      <c r="C3320" s="2" t="s">
        <v>573</v>
      </c>
      <c r="D3320" s="2" t="str">
        <f t="shared" si="50"/>
        <v>Error?</v>
      </c>
    </row>
    <row r="3321" spans="1:4" x14ac:dyDescent="0.2">
      <c r="A3321" s="5">
        <v>3260</v>
      </c>
      <c r="B3321" s="138">
        <f>'Acct Summary 7-8'!I79</f>
        <v>284525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386551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3083662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662449</v>
      </c>
      <c r="D3368" s="2" t="str">
        <f t="shared" si="51"/>
        <v>Error?</v>
      </c>
    </row>
    <row r="3369" spans="1:4" x14ac:dyDescent="0.2">
      <c r="A3369" s="5">
        <v>3308</v>
      </c>
      <c r="B3369" s="138">
        <f>'Expenditures 15-22'!D19</f>
        <v>37412</v>
      </c>
      <c r="D3369" s="2" t="str">
        <f t="shared" si="51"/>
        <v>Error?</v>
      </c>
    </row>
    <row r="3370" spans="1:4" x14ac:dyDescent="0.2">
      <c r="A3370" s="5">
        <v>3309</v>
      </c>
      <c r="B3370" s="138">
        <f>'Expenditures 15-22'!E8</f>
        <v>4728</v>
      </c>
      <c r="D3370" s="2" t="str">
        <f t="shared" si="51"/>
        <v>Error?</v>
      </c>
    </row>
    <row r="3371" spans="1:4" x14ac:dyDescent="0.2">
      <c r="A3371" s="5">
        <v>3310</v>
      </c>
      <c r="B3371" s="138">
        <f>'Expenditures 15-22'!E19</f>
        <v>260025</v>
      </c>
      <c r="D3371" s="2" t="str">
        <f t="shared" si="51"/>
        <v>Error?</v>
      </c>
    </row>
    <row r="3372" spans="1:4" x14ac:dyDescent="0.2">
      <c r="A3372" s="5">
        <v>3311</v>
      </c>
      <c r="B3372" s="138">
        <f>'Expenditures 15-22'!F8</f>
        <v>39789</v>
      </c>
      <c r="D3372" s="2" t="str">
        <f t="shared" si="51"/>
        <v>Error?</v>
      </c>
    </row>
    <row r="3373" spans="1:4" x14ac:dyDescent="0.2">
      <c r="A3373" s="5">
        <v>3312</v>
      </c>
      <c r="B3373" s="138">
        <f>'Expenditures 15-22'!F19</f>
        <v>9462</v>
      </c>
      <c r="D3373" s="2" t="str">
        <f t="shared" si="51"/>
        <v>Error?</v>
      </c>
    </row>
    <row r="3374" spans="1:4" x14ac:dyDescent="0.2">
      <c r="A3374" s="5">
        <v>3313</v>
      </c>
      <c r="B3374" s="138">
        <f>'Expenditures 15-22'!G8</f>
        <v>676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3799004</v>
      </c>
      <c r="C3380" s="2" t="s">
        <v>573</v>
      </c>
      <c r="D3380" s="2" t="str">
        <f t="shared" si="51"/>
        <v>Error?</v>
      </c>
    </row>
    <row r="3381" spans="1:4" x14ac:dyDescent="0.2">
      <c r="A3381" s="5">
        <v>3320</v>
      </c>
      <c r="B3381" s="138">
        <f>'Expenditures 15-22'!K19</f>
        <v>306899</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194673</v>
      </c>
      <c r="D3387" s="2" t="str">
        <f t="shared" si="51"/>
        <v>Error?</v>
      </c>
    </row>
    <row r="3388" spans="1:4" x14ac:dyDescent="0.2">
      <c r="A3388" s="5">
        <v>3327</v>
      </c>
      <c r="B3388" s="138">
        <f>'Expenditures 15-22'!D217</f>
        <v>181208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194673</v>
      </c>
      <c r="C3390" s="2" t="s">
        <v>573</v>
      </c>
      <c r="D3390" s="2" t="str">
        <f t="shared" si="51"/>
        <v>Error?</v>
      </c>
    </row>
    <row r="3391" spans="1:4" x14ac:dyDescent="0.2">
      <c r="A3391" s="5">
        <v>3330</v>
      </c>
      <c r="B3391" s="138">
        <f>'Expenditures 15-22'!K217</f>
        <v>181208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683506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276323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178602</v>
      </c>
      <c r="D3417" s="2" t="str">
        <f t="shared" si="52"/>
        <v>Error?</v>
      </c>
    </row>
    <row r="3418" spans="1:4" x14ac:dyDescent="0.2">
      <c r="A3418" s="10">
        <v>3357</v>
      </c>
      <c r="D3418" s="2" t="str">
        <f t="shared" si="52"/>
        <v>OK</v>
      </c>
    </row>
    <row r="3419" spans="1:4" x14ac:dyDescent="0.2">
      <c r="A3419" s="5">
        <v>3358</v>
      </c>
      <c r="B3419" s="138">
        <f>'Assets-Liab 5-6'!F4</f>
        <v>565853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1676317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1068982</v>
      </c>
      <c r="D3425" s="2" t="str">
        <f t="shared" si="52"/>
        <v>Error?</v>
      </c>
    </row>
    <row r="3426" spans="1:4" x14ac:dyDescent="0.2">
      <c r="A3426" s="10">
        <v>3365</v>
      </c>
      <c r="D3426" s="2" t="str">
        <f t="shared" si="52"/>
        <v>OK</v>
      </c>
    </row>
    <row r="3427" spans="1:4" x14ac:dyDescent="0.2">
      <c r="A3427" s="5">
        <v>3366</v>
      </c>
      <c r="B3427" s="138">
        <f>'Assets-Liab 5-6'!I4</f>
        <v>269997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439681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989582</v>
      </c>
      <c r="C3446" s="2" t="s">
        <v>573</v>
      </c>
      <c r="D3446" s="2" t="str">
        <f t="shared" si="52"/>
        <v>Error?</v>
      </c>
    </row>
    <row r="3447" spans="1:4" x14ac:dyDescent="0.2">
      <c r="A3447" s="5">
        <v>3386</v>
      </c>
      <c r="B3447" s="138">
        <f>'Tax Sched 23'!D16</f>
        <v>989582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990028</v>
      </c>
      <c r="C3449" s="2" t="s">
        <v>573</v>
      </c>
      <c r="D3449" s="2" t="str">
        <f t="shared" si="52"/>
        <v>Error?</v>
      </c>
    </row>
    <row r="3450" spans="1:4" x14ac:dyDescent="0.2">
      <c r="A3450" s="5">
        <v>3389</v>
      </c>
      <c r="B3450" s="138">
        <f>'Tax Sched 23'!E16</f>
        <v>990028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37360</v>
      </c>
      <c r="D3530" s="2" t="str">
        <f t="shared" si="54"/>
        <v>Error?</v>
      </c>
    </row>
    <row r="3531" spans="1:4" x14ac:dyDescent="0.2">
      <c r="A3531" s="5">
        <v>3470</v>
      </c>
      <c r="B3531" s="138">
        <f>'Acct Summary 7-8'!D36</f>
        <v>7600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296856</v>
      </c>
      <c r="D3546" s="2" t="str">
        <f t="shared" si="54"/>
        <v>Error?</v>
      </c>
    </row>
    <row r="3547" spans="1:4" x14ac:dyDescent="0.2">
      <c r="A3547" s="10">
        <v>3486</v>
      </c>
      <c r="D3547" s="2" t="str">
        <f t="shared" si="54"/>
        <v>OK</v>
      </c>
    </row>
    <row r="3548" spans="1:4" x14ac:dyDescent="0.2">
      <c r="A3548" s="5">
        <v>3487</v>
      </c>
      <c r="B3548" s="138">
        <f>'Assets-Liab 5-6'!K6</f>
        <v>150024</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446880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75012</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75012</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371868</v>
      </c>
      <c r="D3567" s="2" t="str">
        <f t="shared" si="54"/>
        <v>Error?</v>
      </c>
    </row>
    <row r="3568" spans="1:4" x14ac:dyDescent="0.2">
      <c r="A3568" s="5">
        <v>3507</v>
      </c>
      <c r="B3568" s="138">
        <f>'Assets-Liab 5-6'!K41</f>
        <v>446880</v>
      </c>
      <c r="C3568" s="2" t="s">
        <v>573</v>
      </c>
      <c r="D3568" s="2" t="str">
        <f t="shared" si="54"/>
        <v>Error?</v>
      </c>
    </row>
    <row r="3569" spans="1:4" x14ac:dyDescent="0.2">
      <c r="A3569" s="5">
        <v>3508</v>
      </c>
      <c r="B3569" s="138">
        <f>'Acct Summary 7-8'!K4</f>
        <v>152358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152358</v>
      </c>
      <c r="C3571" s="2" t="s">
        <v>573</v>
      </c>
      <c r="D3571" s="2" t="str">
        <f t="shared" si="54"/>
        <v>Error?</v>
      </c>
    </row>
    <row r="3572" spans="1:4" x14ac:dyDescent="0.2">
      <c r="A3572" s="5">
        <v>3511</v>
      </c>
      <c r="B3572" s="138">
        <f>'Acct Summary 7-8'!K13</f>
        <v>100979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100979</v>
      </c>
      <c r="C3575" s="2" t="s">
        <v>573</v>
      </c>
      <c r="D3575" s="2" t="str">
        <f t="shared" si="54"/>
        <v>Error?</v>
      </c>
    </row>
    <row r="3576" spans="1:4" x14ac:dyDescent="0.2">
      <c r="A3576" s="5">
        <v>3515</v>
      </c>
      <c r="B3576" s="138">
        <f>'Acct Summary 7-8'!K20</f>
        <v>51379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51379</v>
      </c>
      <c r="C3588" s="2" t="s">
        <v>573</v>
      </c>
      <c r="D3588" s="2" t="str">
        <f t="shared" si="55"/>
        <v>Error?</v>
      </c>
    </row>
    <row r="3589" spans="1:4" x14ac:dyDescent="0.2">
      <c r="A3589" s="5">
        <v>3528</v>
      </c>
      <c r="B3589" s="138">
        <f>'Acct Summary 7-8'!K79</f>
        <v>320489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371868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46937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46937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46937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54042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54042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54042</v>
      </c>
      <c r="C3649" s="2" t="s">
        <v>573</v>
      </c>
      <c r="D3649" s="2" t="str">
        <f t="shared" si="56"/>
        <v>Error?</v>
      </c>
    </row>
    <row r="3650" spans="1:4" x14ac:dyDescent="0.2">
      <c r="A3650" s="5">
        <v>3589</v>
      </c>
      <c r="B3650" s="138">
        <f>'Expenditures 15-22'!G367</f>
        <v>54042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100979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100979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100979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100979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51379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149960</v>
      </c>
      <c r="C3725" s="2" t="s">
        <v>573</v>
      </c>
      <c r="D3725" s="2" t="str">
        <f t="shared" si="57"/>
        <v>Error?</v>
      </c>
    </row>
    <row r="3726" spans="1:4" x14ac:dyDescent="0.2">
      <c r="A3726" s="5">
        <v>3665</v>
      </c>
      <c r="B3726" s="138">
        <f>'Tax Sched 23'!D13</f>
        <v>149960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150024</v>
      </c>
      <c r="C3728" s="2" t="s">
        <v>573</v>
      </c>
      <c r="D3728" s="2" t="str">
        <f t="shared" si="57"/>
        <v>Error?</v>
      </c>
    </row>
    <row r="3729" spans="1:4" x14ac:dyDescent="0.2">
      <c r="A3729" s="5">
        <v>3668</v>
      </c>
      <c r="B3729" s="138">
        <f>'Tax Sched 23'!E13</f>
        <v>150024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12491</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12491</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15540734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57996995</v>
      </c>
      <c r="C4122" s="2" t="s">
        <v>573</v>
      </c>
      <c r="D4122" s="2" t="str">
        <f t="shared" si="63"/>
        <v>Error?</v>
      </c>
    </row>
    <row r="4123" spans="1:4" x14ac:dyDescent="0.2">
      <c r="A4123" s="5">
        <v>4062</v>
      </c>
      <c r="B4123" s="138">
        <f>'Acct Summary 7-8'!D10</f>
        <v>4596862</v>
      </c>
      <c r="C4123" s="2" t="s">
        <v>573</v>
      </c>
      <c r="D4123" s="2" t="str">
        <f t="shared" si="63"/>
        <v>Error?</v>
      </c>
    </row>
    <row r="4124" spans="1:4" x14ac:dyDescent="0.2">
      <c r="A4124" s="5">
        <v>4063</v>
      </c>
      <c r="B4124" s="138">
        <f>'Acct Summary 7-8'!E10</f>
        <v>2699731</v>
      </c>
      <c r="C4124" s="2" t="s">
        <v>573</v>
      </c>
      <c r="D4124" s="2" t="str">
        <f t="shared" si="63"/>
        <v>Error?</v>
      </c>
    </row>
    <row r="4125" spans="1:4" x14ac:dyDescent="0.2">
      <c r="A4125" s="5">
        <v>4064</v>
      </c>
      <c r="B4125" s="138">
        <f>'Acct Summary 7-8'!F10</f>
        <v>3538897</v>
      </c>
      <c r="C4125" s="2" t="s">
        <v>573</v>
      </c>
      <c r="D4125" s="2" t="str">
        <f t="shared" si="63"/>
        <v>Error?</v>
      </c>
    </row>
    <row r="4126" spans="1:4" x14ac:dyDescent="0.2">
      <c r="A4126" s="5">
        <v>4065</v>
      </c>
      <c r="B4126" s="138">
        <f>'Acct Summary 7-8'!G10</f>
        <v>1854775</v>
      </c>
      <c r="C4126" s="2" t="s">
        <v>573</v>
      </c>
      <c r="D4126" s="2" t="str">
        <f t="shared" si="63"/>
        <v>Error?</v>
      </c>
    </row>
    <row r="4127" spans="1:4" x14ac:dyDescent="0.2">
      <c r="A4127" s="5">
        <v>4066</v>
      </c>
      <c r="B4127" s="138">
        <f>'Acct Summary 7-8'!H10</f>
        <v>21661</v>
      </c>
      <c r="C4127" s="2" t="s">
        <v>573</v>
      </c>
      <c r="D4127" s="2" t="str">
        <f t="shared" si="63"/>
        <v>Error?</v>
      </c>
    </row>
    <row r="4128" spans="1:4" x14ac:dyDescent="0.2">
      <c r="A4128" s="5">
        <v>4067</v>
      </c>
      <c r="B4128" s="138">
        <f>'Acct Summary 7-8'!I10</f>
        <v>102026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152358</v>
      </c>
      <c r="C4130" s="2" t="s">
        <v>573</v>
      </c>
      <c r="D4130" s="2" t="str">
        <f t="shared" si="63"/>
        <v>Error?</v>
      </c>
    </row>
    <row r="4131" spans="1:4" x14ac:dyDescent="0.2">
      <c r="A4131" s="5">
        <v>4070</v>
      </c>
      <c r="B4131" s="138">
        <f>'Acct Summary 7-8'!C18</f>
        <v>15540734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59640419</v>
      </c>
      <c r="C4136" s="2" t="s">
        <v>573</v>
      </c>
      <c r="D4136" s="2" t="str">
        <f t="shared" si="63"/>
        <v>Error?</v>
      </c>
    </row>
    <row r="4137" spans="1:4" x14ac:dyDescent="0.2">
      <c r="A4137" s="5">
        <v>4076</v>
      </c>
      <c r="B4137" s="138">
        <f>'Acct Summary 7-8'!D19</f>
        <v>4424802</v>
      </c>
      <c r="C4137" s="2" t="s">
        <v>573</v>
      </c>
      <c r="D4137" s="2" t="str">
        <f t="shared" si="63"/>
        <v>Error?</v>
      </c>
    </row>
    <row r="4138" spans="1:4" x14ac:dyDescent="0.2">
      <c r="A4138" s="5">
        <v>4077</v>
      </c>
      <c r="B4138" s="138">
        <f>'Acct Summary 7-8'!E19</f>
        <v>2833433</v>
      </c>
      <c r="C4138" s="2" t="s">
        <v>573</v>
      </c>
      <c r="D4138" s="2" t="str">
        <f t="shared" si="63"/>
        <v>Error?</v>
      </c>
    </row>
    <row r="4139" spans="1:4" x14ac:dyDescent="0.2">
      <c r="A4139" s="5">
        <v>4078</v>
      </c>
      <c r="B4139" s="138">
        <f>'Acct Summary 7-8'!F19</f>
        <v>3207632</v>
      </c>
      <c r="C4139" s="2" t="s">
        <v>573</v>
      </c>
      <c r="D4139" s="2" t="str">
        <f t="shared" si="63"/>
        <v>Error?</v>
      </c>
    </row>
    <row r="4140" spans="1:4" x14ac:dyDescent="0.2">
      <c r="A4140" s="5">
        <v>4079</v>
      </c>
      <c r="B4140" s="138">
        <f>'Acct Summary 7-8'!G19</f>
        <v>1583039</v>
      </c>
      <c r="C4140" s="2" t="s">
        <v>573</v>
      </c>
      <c r="D4140" s="2" t="str">
        <f t="shared" si="63"/>
        <v>Error?</v>
      </c>
    </row>
    <row r="4141" spans="1:4" x14ac:dyDescent="0.2">
      <c r="A4141" s="5">
        <v>4080</v>
      </c>
      <c r="B4141" s="138">
        <f>'Acct Summary 7-8'!H19</f>
        <v>341126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100979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27814883</v>
      </c>
      <c r="C4171" s="2" t="s">
        <v>573</v>
      </c>
      <c r="D4171" s="2" t="str">
        <f t="shared" si="64"/>
        <v>Error?</v>
      </c>
    </row>
    <row r="4172" spans="1:4" x14ac:dyDescent="0.2">
      <c r="A4172" s="5">
        <v>4111</v>
      </c>
      <c r="B4172" s="138">
        <f>'Short-Term Long-Term Debt 24'!J49</f>
        <v>25663775</v>
      </c>
      <c r="C4172" s="2" t="s">
        <v>573</v>
      </c>
      <c r="D4172" s="2" t="str">
        <f t="shared" si="64"/>
        <v>Error?</v>
      </c>
    </row>
    <row r="4173" spans="1:4" x14ac:dyDescent="0.2">
      <c r="A4173" s="5">
        <v>4112</v>
      </c>
      <c r="B4173" s="138">
        <f>'Short-Term Long-Term Debt 24'!H49</f>
        <v>994120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4047.92</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573.84</v>
      </c>
      <c r="C4267" s="2" t="s">
        <v>573</v>
      </c>
      <c r="D4267" s="2" t="str">
        <f t="shared" si="65"/>
        <v>Error?</v>
      </c>
      <c r="E4267" s="128"/>
    </row>
    <row r="4268" spans="1:5" x14ac:dyDescent="0.2">
      <c r="A4268" s="12">
        <v>4207</v>
      </c>
      <c r="B4268" s="138">
        <f>('FP Info 3'!J10)*100000</f>
        <v>5372</v>
      </c>
      <c r="C4268" s="2" t="s">
        <v>573</v>
      </c>
      <c r="D4268" s="2" t="str">
        <f t="shared" si="65"/>
        <v>Error?</v>
      </c>
    </row>
    <row r="4269" spans="1:5" x14ac:dyDescent="0.2">
      <c r="A4269" s="12">
        <v>4208</v>
      </c>
      <c r="B4269" s="138">
        <f>'FP Info 3'!J16</f>
        <v>12150536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2800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132458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330971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127825</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127825</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19382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237877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33.760000000000005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40000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233627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83465</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30970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296256002</v>
      </c>
      <c r="D4995" s="2" t="str">
        <f t="shared" si="77"/>
        <v>Error?</v>
      </c>
    </row>
    <row r="4996" spans="1:4" x14ac:dyDescent="0.2">
      <c r="A4996" s="12">
        <v>4935</v>
      </c>
      <c r="B4996" s="138">
        <f>'FP Info 3'!H31</f>
        <v>40883328.276000001</v>
      </c>
      <c r="D4996" s="2" t="str">
        <f t="shared" si="77"/>
        <v>Error?</v>
      </c>
    </row>
    <row r="4997" spans="1:4" x14ac:dyDescent="0.2">
      <c r="A4997" s="12">
        <v>4936</v>
      </c>
      <c r="B4997" s="138">
        <f>'FP Info 3'!H37</f>
        <v>27814883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149960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11894256</v>
      </c>
      <c r="D5061" s="2" t="str">
        <f t="shared" si="78"/>
        <v>Error?</v>
      </c>
    </row>
    <row r="5062" spans="1:4" x14ac:dyDescent="0.2">
      <c r="A5062" s="10">
        <v>5001</v>
      </c>
      <c r="D5062" s="2" t="str">
        <f t="shared" si="78"/>
        <v>OK</v>
      </c>
    </row>
    <row r="5063" spans="1:4" x14ac:dyDescent="0.2">
      <c r="A5063" s="5">
        <v>5002</v>
      </c>
      <c r="B5063" s="138">
        <f>'Revenues 9-14'!C7</f>
        <v>1999144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14043360</v>
      </c>
      <c r="C5066" s="2" t="s">
        <v>573</v>
      </c>
      <c r="D5066" s="2" t="str">
        <f t="shared" si="78"/>
        <v>Error?</v>
      </c>
    </row>
    <row r="5067" spans="1:4" x14ac:dyDescent="0.2">
      <c r="A5067" s="5">
        <v>5006</v>
      </c>
      <c r="B5067" s="138">
        <f>'Revenues 9-14'!C14</f>
        <v>27005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27005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5910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26208</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32118</v>
      </c>
      <c r="C5087" s="2" t="s">
        <v>573</v>
      </c>
      <c r="D5087" s="2" t="str">
        <f t="shared" si="78"/>
        <v>Error?</v>
      </c>
    </row>
    <row r="5088" spans="1:4" x14ac:dyDescent="0.2">
      <c r="A5088" s="5">
        <v>5027</v>
      </c>
      <c r="B5088" s="138">
        <f>'Revenues 9-14'!C65</f>
        <v>40164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40164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54716</v>
      </c>
      <c r="D5095" s="2" t="str">
        <f t="shared" si="78"/>
        <v>Error?</v>
      </c>
    </row>
    <row r="5096" spans="1:4" x14ac:dyDescent="0.2">
      <c r="A5096" s="5">
        <v>5035</v>
      </c>
      <c r="B5096" s="138">
        <f>'Revenues 9-14'!C75</f>
        <v>54716</v>
      </c>
      <c r="C5096" s="2" t="s">
        <v>573</v>
      </c>
      <c r="D5096" s="2" t="str">
        <f t="shared" si="78"/>
        <v>Error?</v>
      </c>
    </row>
    <row r="5097" spans="1:4" x14ac:dyDescent="0.2">
      <c r="A5097" s="5">
        <v>5036</v>
      </c>
      <c r="B5097" s="138">
        <f>'Revenues 9-14'!C77</f>
        <v>40823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40823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4000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4000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582</v>
      </c>
      <c r="D5114" s="2" t="str">
        <f t="shared" si="78"/>
        <v>Error?</v>
      </c>
    </row>
    <row r="5115" spans="1:4" x14ac:dyDescent="0.2">
      <c r="A5115" s="5">
        <v>5054</v>
      </c>
      <c r="B5115" s="138">
        <f>'Revenues 9-14'!C98</f>
        <v>47</v>
      </c>
      <c r="D5115" s="2" t="str">
        <f t="shared" si="78"/>
        <v>Error?</v>
      </c>
    </row>
    <row r="5116" spans="1:4" x14ac:dyDescent="0.2">
      <c r="A5116" s="5">
        <v>5055</v>
      </c>
      <c r="B5116" s="138">
        <f>'Revenues 9-14'!C99</f>
        <v>1442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19194</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99071</v>
      </c>
      <c r="C5120" s="2" t="s">
        <v>573</v>
      </c>
      <c r="D5120" s="2" t="str">
        <f t="shared" si="79"/>
        <v>Error?</v>
      </c>
    </row>
    <row r="5121" spans="1:4" x14ac:dyDescent="0.2">
      <c r="A5121" s="5">
        <v>5060</v>
      </c>
      <c r="B5121" s="138">
        <f>'Revenues 9-14'!C109</f>
        <v>14341257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20931524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20931524</v>
      </c>
      <c r="C5132" s="2" t="s">
        <v>573</v>
      </c>
      <c r="D5132" s="2" t="str">
        <f t="shared" si="79"/>
        <v>Error?</v>
      </c>
    </row>
    <row r="5133" spans="1:4" x14ac:dyDescent="0.2">
      <c r="A5133" s="5">
        <v>5072</v>
      </c>
      <c r="B5133" s="138">
        <f>'Revenues 9-14'!C125</f>
        <v>254785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138613</v>
      </c>
      <c r="D5137" s="2" t="str">
        <f t="shared" si="79"/>
        <v>Error?</v>
      </c>
    </row>
    <row r="5138" spans="1:4" x14ac:dyDescent="0.2">
      <c r="A5138" s="10">
        <v>5077</v>
      </c>
      <c r="D5138" s="2" t="str">
        <f t="shared" si="79"/>
        <v>OK</v>
      </c>
    </row>
    <row r="5139" spans="1:4" x14ac:dyDescent="0.2">
      <c r="A5139" s="5">
        <v>5078</v>
      </c>
      <c r="B5139" s="138">
        <f>'Revenues 9-14'!C129</f>
        <v>10058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403456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7628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16293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32346</v>
      </c>
      <c r="D5167" s="2" t="str">
        <f t="shared" si="79"/>
        <v>Error?</v>
      </c>
    </row>
    <row r="5168" spans="1:4" x14ac:dyDescent="0.2">
      <c r="A5168" s="5">
        <v>5107</v>
      </c>
      <c r="B5168" s="138">
        <f>'Revenues 9-14'!C148</f>
        <v>44108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447335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1177165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22108689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83465</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1319700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375388</v>
      </c>
      <c r="D5241" s="2" t="str">
        <f t="shared" si="80"/>
        <v>Error?</v>
      </c>
    </row>
    <row r="5242" spans="1:4" x14ac:dyDescent="0.2">
      <c r="A5242" s="5">
        <v>5181</v>
      </c>
      <c r="B5242" s="138">
        <f>'Revenues 9-14'!C194</f>
        <v>21543</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1716631</v>
      </c>
      <c r="C5246" s="2" t="s">
        <v>573</v>
      </c>
      <c r="D5246" s="2" t="str">
        <f t="shared" si="80"/>
        <v>Error?</v>
      </c>
    </row>
    <row r="5247" spans="1:4" x14ac:dyDescent="0.2">
      <c r="A5247" s="5">
        <v>5186</v>
      </c>
      <c r="B5247" s="138">
        <f>'Revenues 9-14'!C200</f>
        <v>1958016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1958016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43884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1121770</v>
      </c>
      <c r="D5278" s="2" t="str">
        <f t="shared" si="81"/>
        <v>Error?</v>
      </c>
    </row>
    <row r="5279" spans="1:4" x14ac:dyDescent="0.2">
      <c r="A5279" s="5">
        <v>5218</v>
      </c>
      <c r="B5279" s="138">
        <f>'Revenues 9-14'!C214</f>
        <v>199059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1364713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2800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1207</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5922850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6006315</v>
      </c>
      <c r="C5326" s="2" t="s">
        <v>573</v>
      </c>
      <c r="D5326" s="2" t="str">
        <f t="shared" si="82"/>
        <v>Error?</v>
      </c>
    </row>
    <row r="5327" spans="1:5" x14ac:dyDescent="0.2">
      <c r="A5327" s="5">
        <v>5266</v>
      </c>
      <c r="B5327" s="138">
        <f>'Revenues 9-14'!C268</f>
        <v>42456261</v>
      </c>
      <c r="C5327" s="2" t="s">
        <v>573</v>
      </c>
      <c r="D5327" s="2" t="str">
        <f t="shared" si="82"/>
        <v>Error?</v>
      </c>
    </row>
    <row r="5328" spans="1:5" x14ac:dyDescent="0.2">
      <c r="A5328" s="5">
        <v>5267</v>
      </c>
      <c r="B5328" s="138">
        <f>'Revenues 9-14'!D5</f>
        <v>2204117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2204117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1521936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1521936</v>
      </c>
      <c r="C5339" s="2" t="s">
        <v>573</v>
      </c>
      <c r="D5339" s="2" t="str">
        <f t="shared" si="82"/>
        <v>Error?</v>
      </c>
    </row>
    <row r="5340" spans="1:4" x14ac:dyDescent="0.2">
      <c r="A5340" s="5">
        <v>5279</v>
      </c>
      <c r="B5340" s="138">
        <f>'Revenues 9-14'!D65</f>
        <v>23918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23918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36408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205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46891</v>
      </c>
      <c r="C5355" s="2" t="s">
        <v>573</v>
      </c>
      <c r="D5355" s="2" t="str">
        <f t="shared" si="82"/>
        <v>Error?</v>
      </c>
    </row>
    <row r="5356" spans="1:4" x14ac:dyDescent="0.2">
      <c r="A5356" s="5">
        <v>5295</v>
      </c>
      <c r="B5356" s="138">
        <f>'Revenues 9-14'!D109</f>
        <v>3796862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4596862</v>
      </c>
      <c r="C5508" s="2" t="s">
        <v>573</v>
      </c>
      <c r="D5508" s="2" t="str">
        <f t="shared" si="85"/>
        <v>Error?</v>
      </c>
    </row>
    <row r="5509" spans="1:4" x14ac:dyDescent="0.2">
      <c r="A5509" s="5">
        <v>5448</v>
      </c>
      <c r="B5509" s="138">
        <f>'Revenues 9-14'!E5</f>
        <v>2684233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2684233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3238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3238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12260</v>
      </c>
      <c r="C5526" s="2" t="s">
        <v>573</v>
      </c>
      <c r="D5526" s="2" t="str">
        <f t="shared" si="85"/>
        <v>Error?</v>
      </c>
    </row>
    <row r="5527" spans="1:4" x14ac:dyDescent="0.2">
      <c r="A5527" s="5">
        <v>5466</v>
      </c>
      <c r="B5527" s="138">
        <f>'Revenues 9-14'!E109</f>
        <v>2699731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2699731</v>
      </c>
      <c r="C5552" s="2" t="s">
        <v>573</v>
      </c>
      <c r="D5552" s="2" t="str">
        <f t="shared" si="85"/>
        <v>Error?</v>
      </c>
    </row>
    <row r="5553" spans="1:4" x14ac:dyDescent="0.2">
      <c r="A5553" s="5">
        <v>5492</v>
      </c>
      <c r="B5553" s="138">
        <f>'Revenues 9-14'!F5</f>
        <v>1699293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1699293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510275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135587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10888</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656750</v>
      </c>
      <c r="C5579" s="2" t="s">
        <v>573</v>
      </c>
      <c r="D5579" s="2" t="str">
        <f t="shared" si="86"/>
        <v>Error?</v>
      </c>
    </row>
    <row r="5580" spans="1:4" x14ac:dyDescent="0.2">
      <c r="A5580" s="5">
        <v>5519</v>
      </c>
      <c r="B5580" s="138">
        <f>'Revenues 9-14'!F65</f>
        <v>40510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40510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1815</v>
      </c>
      <c r="D5586" s="2" t="str">
        <f t="shared" si="86"/>
        <v>Error?</v>
      </c>
    </row>
    <row r="5587" spans="1:4" x14ac:dyDescent="0.2">
      <c r="A5587" s="5">
        <v>5526</v>
      </c>
      <c r="B5587" s="138">
        <f>'Revenues 9-14'!F108</f>
        <v>9800</v>
      </c>
      <c r="C5587" s="2" t="s">
        <v>573</v>
      </c>
      <c r="D5587" s="2" t="str">
        <f t="shared" si="86"/>
        <v>Error?</v>
      </c>
    </row>
    <row r="5588" spans="1:4" x14ac:dyDescent="0.2">
      <c r="A5588" s="5">
        <v>5527</v>
      </c>
      <c r="B5588" s="138">
        <f>'Revenues 9-14'!F109</f>
        <v>2406353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596231</v>
      </c>
      <c r="D5615" s="2" t="str">
        <f t="shared" si="86"/>
        <v>Error?</v>
      </c>
    </row>
    <row r="5616" spans="1:4" x14ac:dyDescent="0.2">
      <c r="A5616" s="10">
        <v>5555</v>
      </c>
      <c r="D5616" s="2" t="str">
        <f t="shared" si="86"/>
        <v>OK</v>
      </c>
    </row>
    <row r="5617" spans="1:5" x14ac:dyDescent="0.2">
      <c r="A5617" s="5">
        <v>5556</v>
      </c>
      <c r="B5617" s="138">
        <f>'Revenues 9-14'!F153</f>
        <v>496313</v>
      </c>
      <c r="D5617" s="2" t="str">
        <f t="shared" si="86"/>
        <v>Error?</v>
      </c>
    </row>
    <row r="5618" spans="1:5" x14ac:dyDescent="0.2">
      <c r="A5618" s="5">
        <v>5557</v>
      </c>
      <c r="B5618" s="138">
        <f>'Revenues 9-14'!F155</f>
        <v>1092544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1092544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1092544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40000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40000</v>
      </c>
      <c r="C5719" s="2" t="s">
        <v>573</v>
      </c>
      <c r="D5719" s="2" t="str">
        <f t="shared" si="88"/>
        <v>Error?</v>
      </c>
    </row>
    <row r="5720" spans="1:4" x14ac:dyDescent="0.2">
      <c r="A5720" s="5">
        <v>5659</v>
      </c>
      <c r="B5720" s="138">
        <f>'Revenues 9-14'!F268</f>
        <v>3538897</v>
      </c>
      <c r="C5720" s="2" t="s">
        <v>573</v>
      </c>
      <c r="D5720" s="2" t="str">
        <f t="shared" si="88"/>
        <v>Error?</v>
      </c>
    </row>
    <row r="5721" spans="1:4" x14ac:dyDescent="0.2">
      <c r="A5721" s="5">
        <v>5660</v>
      </c>
      <c r="B5721" s="138">
        <f>'Revenues 9-14'!G5</f>
        <v>739680</v>
      </c>
      <c r="D5721" s="2" t="str">
        <f t="shared" si="88"/>
        <v>Error?</v>
      </c>
    </row>
    <row r="5722" spans="1:4" x14ac:dyDescent="0.2">
      <c r="A5722" s="5">
        <v>5661</v>
      </c>
      <c r="B5722" s="138">
        <f>'Revenues 9-14'!G7</f>
        <v>0</v>
      </c>
      <c r="D5722" s="2" t="str">
        <f t="shared" si="88"/>
        <v>Error?</v>
      </c>
    </row>
    <row r="5723" spans="1:4" x14ac:dyDescent="0.2">
      <c r="A5723" s="5">
        <v>5662</v>
      </c>
      <c r="B5723" s="138">
        <f>'Revenues 9-14'!G8</f>
        <v>989582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1729262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104602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104602</v>
      </c>
      <c r="C5730" s="2" t="s">
        <v>573</v>
      </c>
      <c r="D5730" s="2" t="str">
        <f t="shared" si="88"/>
        <v>Error?</v>
      </c>
    </row>
    <row r="5731" spans="1:4" x14ac:dyDescent="0.2">
      <c r="A5731" s="5">
        <v>5670</v>
      </c>
      <c r="B5731" s="138">
        <f>'Revenues 9-14'!G65</f>
        <v>12785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12785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8126</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1854775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21661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21661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21661</v>
      </c>
      <c r="C5915" s="2" t="s">
        <v>573</v>
      </c>
      <c r="D5915" s="2" t="str">
        <f t="shared" si="91"/>
        <v>Error?</v>
      </c>
    </row>
    <row r="5916" spans="1:4" x14ac:dyDescent="0.2">
      <c r="A5916" s="5">
        <v>5855</v>
      </c>
      <c r="B5916" s="138">
        <f>'Revenues 9-14'!I5</f>
        <v>99966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99966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1590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1590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470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102026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149960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149960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1693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1693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705</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152358</v>
      </c>
      <c r="C6023" s="2" t="s">
        <v>573</v>
      </c>
      <c r="D6023" s="2" t="str">
        <f t="shared" si="93"/>
        <v>Error?</v>
      </c>
    </row>
    <row r="6024" spans="1:5" x14ac:dyDescent="0.2">
      <c r="A6024" s="5">
        <v>5963</v>
      </c>
      <c r="B6024" s="138">
        <f>'Revenues 9-14'!G109</f>
        <v>1854775</v>
      </c>
      <c r="C6024" s="2" t="s">
        <v>573</v>
      </c>
      <c r="D6024" s="2" t="str">
        <f t="shared" si="93"/>
        <v>Error?</v>
      </c>
    </row>
    <row r="6025" spans="1:5" x14ac:dyDescent="0.2">
      <c r="A6025" s="5">
        <v>5964</v>
      </c>
      <c r="B6025" s="138">
        <f>'Revenues 9-14'!H109</f>
        <v>21661</v>
      </c>
      <c r="C6025" s="2" t="s">
        <v>573</v>
      </c>
      <c r="D6025" s="2" t="str">
        <f t="shared" si="93"/>
        <v>Error?</v>
      </c>
    </row>
    <row r="6026" spans="1:5" x14ac:dyDescent="0.2">
      <c r="A6026" s="5">
        <v>5965</v>
      </c>
      <c r="B6026" s="138">
        <f>'Revenues 9-14'!I109</f>
        <v>102026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152358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151246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3456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1950000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1923351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641771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19170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177</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592219</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1249849</v>
      </c>
      <c r="D6124" s="2" t="str">
        <f t="shared" si="94"/>
        <v>Error?</v>
      </c>
      <c r="E6124" s="2" t="s">
        <v>190</v>
      </c>
    </row>
    <row r="6125" spans="1:5" x14ac:dyDescent="0.2">
      <c r="A6125">
        <v>6064</v>
      </c>
      <c r="B6125" s="138">
        <f>'Assets-Liab 5-6'!C25</f>
        <v>1950000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2562018</v>
      </c>
      <c r="D6142" s="2" t="str">
        <f t="shared" si="94"/>
        <v>Error?</v>
      </c>
      <c r="E6142" s="2" t="s">
        <v>190</v>
      </c>
    </row>
    <row r="6143" spans="1:5" x14ac:dyDescent="0.2">
      <c r="A6143">
        <v>6082</v>
      </c>
      <c r="B6143" s="138">
        <f>'Assets-Liab 5-6'!D27</f>
        <v>198794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183972</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2884410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4831</v>
      </c>
      <c r="D6172" s="2" t="str">
        <f t="shared" si="95"/>
        <v>Error?</v>
      </c>
      <c r="E6172" s="2" t="s">
        <v>190</v>
      </c>
    </row>
    <row r="6173" spans="1:5" x14ac:dyDescent="0.2">
      <c r="A6173">
        <v>6112</v>
      </c>
      <c r="B6173" s="138">
        <f>'Assets-Liab 5-6'!G30</f>
        <v>84885</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355004</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355004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894845</v>
      </c>
      <c r="D6215" s="2" t="str">
        <f t="shared" si="96"/>
        <v>Error?</v>
      </c>
      <c r="E6215" s="2" t="s">
        <v>190</v>
      </c>
    </row>
    <row r="6216" spans="1:5" x14ac:dyDescent="0.2">
      <c r="A6216">
        <v>6155</v>
      </c>
      <c r="B6216" s="138">
        <f>'Assets-Liab 5-6'!J41</f>
        <v>1249849</v>
      </c>
      <c r="D6216" s="2" t="str">
        <f t="shared" si="96"/>
        <v>Error?</v>
      </c>
      <c r="E6216" s="2" t="s">
        <v>190</v>
      </c>
    </row>
    <row r="6217" spans="1:5" x14ac:dyDescent="0.2">
      <c r="A6217">
        <v>6156</v>
      </c>
      <c r="B6217" s="138">
        <f>'Assets-Liab 5-6'!J4</f>
        <v>539842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710007</v>
      </c>
      <c r="D6219" s="2" t="str">
        <f t="shared" si="96"/>
        <v>Error?</v>
      </c>
      <c r="E6219" s="2" t="s">
        <v>190</v>
      </c>
    </row>
    <row r="6220" spans="1:5" x14ac:dyDescent="0.2">
      <c r="A6220">
        <v>6159</v>
      </c>
      <c r="B6220" s="138">
        <f>'Acct Summary 7-8'!J4</f>
        <v>716328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716328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716328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490670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490670</v>
      </c>
      <c r="D6229" s="2" t="str">
        <f t="shared" si="96"/>
        <v>Error?</v>
      </c>
      <c r="E6229" s="2" t="s">
        <v>190</v>
      </c>
    </row>
    <row r="6230" spans="1:5" x14ac:dyDescent="0.2">
      <c r="A6230">
        <v>6169</v>
      </c>
      <c r="B6230" s="138">
        <f>'Acct Summary 7-8'!J20</f>
        <v>225658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225658</v>
      </c>
      <c r="D6263" s="2" t="str">
        <f t="shared" si="96"/>
        <v>Error?</v>
      </c>
      <c r="E6263" s="2" t="s">
        <v>190</v>
      </c>
    </row>
    <row r="6264" spans="1:5" x14ac:dyDescent="0.2">
      <c r="A6264">
        <v>6203</v>
      </c>
      <c r="B6264" s="138">
        <f>'Acct Summary 7-8'!J79</f>
        <v>669187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894845</v>
      </c>
      <c r="D6266" s="2" t="str">
        <f t="shared" si="96"/>
        <v>Error?</v>
      </c>
      <c r="E6266" s="2" t="s">
        <v>190</v>
      </c>
    </row>
    <row r="6267" spans="1:5" x14ac:dyDescent="0.2">
      <c r="A6267">
        <v>6206</v>
      </c>
      <c r="B6267" s="138">
        <f>'Acct Summary 7-8'!C82</f>
        <v>-1836152</v>
      </c>
      <c r="D6267" s="2" t="str">
        <f t="shared" si="96"/>
        <v>Error?</v>
      </c>
      <c r="E6267" s="2" t="s">
        <v>190</v>
      </c>
    </row>
    <row r="6268" spans="1:5" x14ac:dyDescent="0.2">
      <c r="A6268">
        <v>6207</v>
      </c>
      <c r="B6268" s="138">
        <f>'Acct Summary 7-8'!D82</f>
        <v>-11220340</v>
      </c>
      <c r="D6268" s="2" t="str">
        <f t="shared" si="96"/>
        <v>Error?</v>
      </c>
      <c r="E6268" s="2" t="s">
        <v>190</v>
      </c>
    </row>
    <row r="6269" spans="1:5" x14ac:dyDescent="0.2">
      <c r="A6269">
        <v>6208</v>
      </c>
      <c r="B6269" s="138">
        <f>'Acct Summary 7-8'!E82</f>
        <v>-133702</v>
      </c>
      <c r="D6269" s="2" t="str">
        <f t="shared" si="96"/>
        <v>Error?</v>
      </c>
      <c r="E6269" s="2" t="s">
        <v>190</v>
      </c>
    </row>
    <row r="6270" spans="1:5" x14ac:dyDescent="0.2">
      <c r="A6270">
        <v>6209</v>
      </c>
      <c r="B6270" s="138">
        <f>'Acct Summary 7-8'!F82</f>
        <v>331265</v>
      </c>
      <c r="D6270" s="2" t="str">
        <f t="shared" si="96"/>
        <v>Error?</v>
      </c>
      <c r="E6270" s="2" t="s">
        <v>190</v>
      </c>
    </row>
    <row r="6271" spans="1:5" x14ac:dyDescent="0.2">
      <c r="A6271">
        <v>6210</v>
      </c>
      <c r="B6271" s="138">
        <f>'Acct Summary 7-8'!G82</f>
        <v>271736</v>
      </c>
      <c r="D6271" s="2" t="str">
        <f t="shared" ref="D6271:D6334" si="97">IF(ISBLANK(B6271),"OK",IF(A6271-B6271=0,"OK","Error?"))</f>
        <v>Error?</v>
      </c>
      <c r="E6271" s="2" t="s">
        <v>190</v>
      </c>
    </row>
    <row r="6272" spans="1:5" x14ac:dyDescent="0.2">
      <c r="A6272">
        <v>6211</v>
      </c>
      <c r="B6272" s="138">
        <f>'Acct Summary 7-8'!H82</f>
        <v>11080535</v>
      </c>
      <c r="D6272" s="2" t="str">
        <f t="shared" si="97"/>
        <v>Error?</v>
      </c>
      <c r="E6272" s="2" t="s">
        <v>190</v>
      </c>
    </row>
    <row r="6273" spans="1:5" x14ac:dyDescent="0.2">
      <c r="A6273">
        <v>6212</v>
      </c>
      <c r="B6273" s="138">
        <f>'Acct Summary 7-8'!I82</f>
        <v>102026</v>
      </c>
      <c r="D6273" s="2" t="str">
        <f t="shared" si="97"/>
        <v>Error?</v>
      </c>
      <c r="E6273" s="2" t="s">
        <v>190</v>
      </c>
    </row>
    <row r="6274" spans="1:5" x14ac:dyDescent="0.2">
      <c r="A6274">
        <v>6213</v>
      </c>
      <c r="B6274" s="138">
        <f>'Acct Summary 7-8'!J82</f>
        <v>225658</v>
      </c>
      <c r="D6274" s="2" t="str">
        <f t="shared" si="97"/>
        <v>Error?</v>
      </c>
      <c r="E6274" s="2" t="s">
        <v>190</v>
      </c>
    </row>
    <row r="6275" spans="1:5" x14ac:dyDescent="0.2">
      <c r="A6275">
        <v>6214</v>
      </c>
      <c r="B6275" s="138">
        <f>'Acct Summary 7-8'!K82</f>
        <v>51379</v>
      </c>
      <c r="D6275" s="2" t="str">
        <f t="shared" si="97"/>
        <v>Error?</v>
      </c>
      <c r="E6275" s="2" t="s">
        <v>190</v>
      </c>
    </row>
    <row r="6276" spans="1:5" x14ac:dyDescent="0.2">
      <c r="A6276">
        <v>6215</v>
      </c>
      <c r="B6276" s="138">
        <f>'Acct Summary 7-8'!C83</f>
        <v>-0.47208367838953602</v>
      </c>
      <c r="D6276" s="2" t="str">
        <f t="shared" si="97"/>
        <v>Error?</v>
      </c>
      <c r="E6276" s="2" t="s">
        <v>190</v>
      </c>
    </row>
    <row r="6277" spans="1:5" x14ac:dyDescent="0.2">
      <c r="A6277">
        <v>6216</v>
      </c>
      <c r="B6277" s="138">
        <f>'Acct Summary 7-8'!D83</f>
        <v>-3.255865240281087</v>
      </c>
      <c r="D6277" s="2" t="str">
        <f t="shared" si="97"/>
        <v>Error?</v>
      </c>
      <c r="E6277" s="2" t="s">
        <v>190</v>
      </c>
    </row>
    <row r="6278" spans="1:5" x14ac:dyDescent="0.2">
      <c r="A6278">
        <v>6217</v>
      </c>
      <c r="B6278" s="138">
        <f>'Acct Summary 7-8'!E83</f>
        <v>-6.2154945265416706E-2</v>
      </c>
      <c r="D6278" s="2" t="str">
        <f t="shared" si="97"/>
        <v>Error?</v>
      </c>
      <c r="E6278" s="2" t="s">
        <v>190</v>
      </c>
    </row>
    <row r="6279" spans="1:5" x14ac:dyDescent="0.2">
      <c r="A6279">
        <v>6218</v>
      </c>
      <c r="B6279" s="138">
        <f>'Acct Summary 7-8'!F83</f>
        <v>7.4805869211614584E-2</v>
      </c>
      <c r="D6279" s="2" t="str">
        <f t="shared" si="97"/>
        <v>Error?</v>
      </c>
      <c r="E6279" s="2" t="s">
        <v>190</v>
      </c>
    </row>
    <row r="6280" spans="1:5" x14ac:dyDescent="0.2">
      <c r="A6280">
        <v>6219</v>
      </c>
      <c r="B6280" s="138">
        <f>'Acct Summary 7-8'!G83</f>
        <v>0.11062120006269197</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0.26393929908343272</v>
      </c>
      <c r="D6282" s="2" t="str">
        <f t="shared" si="97"/>
        <v>Error?</v>
      </c>
      <c r="E6282" s="2" t="s">
        <v>190</v>
      </c>
    </row>
    <row r="6283" spans="1:5" x14ac:dyDescent="0.2">
      <c r="A6283">
        <v>6222</v>
      </c>
      <c r="B6283" s="138">
        <f>'Acct Summary 7-8'!J83</f>
        <v>0.25217551643021974</v>
      </c>
      <c r="D6283" s="2" t="str">
        <f t="shared" si="97"/>
        <v>Error?</v>
      </c>
      <c r="E6283" s="2" t="s">
        <v>190</v>
      </c>
    </row>
    <row r="6284" spans="1:5" x14ac:dyDescent="0.2">
      <c r="A6284">
        <v>6223</v>
      </c>
      <c r="B6284" s="138">
        <f>'Acct Summary 7-8'!K83</f>
        <v>0.13816461755246484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709711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709711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3282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3282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65555</v>
      </c>
      <c r="D6330" s="2" t="str">
        <f t="shared" si="97"/>
        <v>Error?</v>
      </c>
      <c r="E6330" s="2" t="s">
        <v>190</v>
      </c>
    </row>
    <row r="6331" spans="1:5" x14ac:dyDescent="0.2">
      <c r="A6331">
        <v>6270</v>
      </c>
      <c r="B6331" s="138">
        <f>'Revenues 9-14'!D100</f>
        <v>10278</v>
      </c>
      <c r="D6331" s="2" t="str">
        <f t="shared" si="97"/>
        <v>Error?</v>
      </c>
      <c r="E6331" s="2" t="s">
        <v>190</v>
      </c>
    </row>
    <row r="6332" spans="1:5" x14ac:dyDescent="0.2">
      <c r="A6332">
        <v>6271</v>
      </c>
      <c r="B6332" s="138">
        <f>'Revenues 9-14'!E100</f>
        <v>12260</v>
      </c>
      <c r="D6332" s="2" t="str">
        <f t="shared" si="97"/>
        <v>Error?</v>
      </c>
      <c r="E6332" s="2" t="s">
        <v>190</v>
      </c>
    </row>
    <row r="6333" spans="1:5" x14ac:dyDescent="0.2">
      <c r="A6333">
        <v>6272</v>
      </c>
      <c r="B6333" s="138">
        <f>'Revenues 9-14'!F100</f>
        <v>7985</v>
      </c>
      <c r="D6333" s="2" t="str">
        <f t="shared" si="97"/>
        <v>Error?</v>
      </c>
      <c r="E6333" s="2" t="s">
        <v>190</v>
      </c>
    </row>
    <row r="6334" spans="1:5" x14ac:dyDescent="0.2">
      <c r="A6334">
        <v>6273</v>
      </c>
      <c r="B6334" s="138">
        <f>'Revenues 9-14'!G100</f>
        <v>8126</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470</v>
      </c>
      <c r="D6336" s="2" t="str">
        <f t="shared" si="98"/>
        <v>Error?</v>
      </c>
      <c r="E6336" s="2" t="s">
        <v>190</v>
      </c>
    </row>
    <row r="6337" spans="1:5" x14ac:dyDescent="0.2">
      <c r="A6337">
        <v>6276</v>
      </c>
      <c r="B6337" s="138">
        <f>'Revenues 9-14'!J100</f>
        <v>3335</v>
      </c>
      <c r="D6337" s="2" t="str">
        <f t="shared" si="98"/>
        <v>Error?</v>
      </c>
      <c r="E6337" s="2" t="s">
        <v>190</v>
      </c>
    </row>
    <row r="6338" spans="1:5" x14ac:dyDescent="0.2">
      <c r="A6338">
        <v>6277</v>
      </c>
      <c r="B6338" s="138">
        <f>'Revenues 9-14'!K100</f>
        <v>705</v>
      </c>
      <c r="D6338" s="2" t="str">
        <f t="shared" si="98"/>
        <v>Error?</v>
      </c>
      <c r="E6338" s="2" t="s">
        <v>190</v>
      </c>
    </row>
    <row r="6339" spans="1:5" x14ac:dyDescent="0.2">
      <c r="A6339">
        <v>6278</v>
      </c>
      <c r="B6339" s="138">
        <f>'Revenues 9-14'!C101</f>
        <v>10455</v>
      </c>
      <c r="D6339" s="2" t="str">
        <f t="shared" si="98"/>
        <v>Error?</v>
      </c>
      <c r="E6339" s="2" t="s">
        <v>190</v>
      </c>
    </row>
    <row r="6340" spans="1:5" x14ac:dyDescent="0.2">
      <c r="A6340">
        <v>6279</v>
      </c>
      <c r="B6340" s="138">
        <f>'Revenues 9-14'!C102</f>
        <v>1796</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3335</v>
      </c>
      <c r="D6351" s="2" t="str">
        <f t="shared" si="98"/>
        <v>Error?</v>
      </c>
      <c r="E6351" s="2" t="s">
        <v>190</v>
      </c>
    </row>
    <row r="6352" spans="1:5" x14ac:dyDescent="0.2">
      <c r="A6352">
        <v>6291</v>
      </c>
      <c r="B6352" s="138">
        <f>'Revenues 9-14'!J109</f>
        <v>716328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8665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479443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66038</v>
      </c>
      <c r="D6844" s="2" t="str">
        <f t="shared" si="105"/>
        <v>Error?</v>
      </c>
    </row>
    <row r="6845" spans="1:5" x14ac:dyDescent="0.2">
      <c r="A6845">
        <v>6784</v>
      </c>
      <c r="B6845" s="138">
        <f>'Expenditures 15-22'!J5</f>
        <v>2758</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624247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7700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36683</v>
      </c>
      <c r="D6853" s="2" t="str">
        <f t="shared" si="106"/>
        <v>Error?</v>
      </c>
    </row>
    <row r="6854" spans="1:4" x14ac:dyDescent="0.2">
      <c r="A6854">
        <v>6793</v>
      </c>
      <c r="B6854" s="138">
        <f>'Expenditures 15-22'!I10</f>
        <v>32255</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155518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1276922</v>
      </c>
      <c r="D6880" s="2" t="str">
        <f t="shared" si="106"/>
        <v>Error?</v>
      </c>
    </row>
    <row r="6881" spans="1:4" x14ac:dyDescent="0.2">
      <c r="A6881">
        <v>6820</v>
      </c>
      <c r="B6881" s="138">
        <f>'Expenditures 15-22'!K22</f>
        <v>1276922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10000</v>
      </c>
      <c r="D6884" s="2" t="str">
        <f t="shared" si="106"/>
        <v>Error?</v>
      </c>
    </row>
    <row r="6885" spans="1:4" x14ac:dyDescent="0.2">
      <c r="A6885">
        <v>6824</v>
      </c>
      <c r="B6885" s="138">
        <f>'Expenditures 15-22'!K24</f>
        <v>10000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9491</v>
      </c>
      <c r="D6898" s="2" t="str">
        <f t="shared" si="106"/>
        <v>Error?</v>
      </c>
    </row>
    <row r="6899" spans="1:4" x14ac:dyDescent="0.2">
      <c r="A6899">
        <v>6838</v>
      </c>
      <c r="B6899" s="138">
        <f>'Expenditures 15-22'!K31</f>
        <v>9491</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98293</v>
      </c>
      <c r="D6902" s="2" t="str">
        <f t="shared" si="106"/>
        <v>Error?</v>
      </c>
    </row>
    <row r="6903" spans="1:4" x14ac:dyDescent="0.2">
      <c r="A6903">
        <v>6842</v>
      </c>
      <c r="B6903" s="138">
        <f>'Expenditures 15-22'!J33</f>
        <v>10458</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319991</v>
      </c>
      <c r="D6920" s="2" t="str">
        <f t="shared" si="107"/>
        <v>Error?</v>
      </c>
    </row>
    <row r="6921" spans="1:4" x14ac:dyDescent="0.2">
      <c r="A6921">
        <v>6860</v>
      </c>
      <c r="B6921" s="138">
        <f>'Expenditures 15-22'!J45</f>
        <v>691</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319991</v>
      </c>
      <c r="D6924" s="2" t="str">
        <f t="shared" si="107"/>
        <v>Error?</v>
      </c>
    </row>
    <row r="6925" spans="1:4" x14ac:dyDescent="0.2">
      <c r="A6925">
        <v>6864</v>
      </c>
      <c r="B6925" s="138">
        <f>'Expenditures 15-22'!J47</f>
        <v>691</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5429</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5429</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21150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9840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30990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10650</v>
      </c>
      <c r="D6976" s="2" t="str">
        <f t="shared" si="108"/>
        <v>Error?</v>
      </c>
    </row>
    <row r="6977" spans="1:4" x14ac:dyDescent="0.2">
      <c r="A6977">
        <v>6916</v>
      </c>
      <c r="B6977" s="138">
        <f>'Expenditures 15-22'!I74</f>
        <v>319991</v>
      </c>
      <c r="D6977" s="2" t="str">
        <f t="shared" si="108"/>
        <v>Error?</v>
      </c>
    </row>
    <row r="6978" spans="1:4" x14ac:dyDescent="0.2">
      <c r="A6978">
        <v>6917</v>
      </c>
      <c r="B6978" s="138">
        <f>'Expenditures 15-22'!J74</f>
        <v>47760</v>
      </c>
      <c r="D6978" s="2" t="str">
        <f t="shared" si="108"/>
        <v>Error?</v>
      </c>
    </row>
    <row r="6979" spans="1:4" x14ac:dyDescent="0.2">
      <c r="A6979">
        <v>6918</v>
      </c>
      <c r="B6979" s="138">
        <f>'Expenditures 15-22'!I75</f>
        <v>649</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15329</v>
      </c>
      <c r="D6981" s="2" t="str">
        <f t="shared" si="108"/>
        <v>Error?</v>
      </c>
    </row>
    <row r="6982" spans="1:4" x14ac:dyDescent="0.2">
      <c r="A6982">
        <v>6921</v>
      </c>
      <c r="B6982" s="138">
        <f>'Expenditures 15-22'!K85</f>
        <v>15329</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182791</v>
      </c>
      <c r="D6987" s="2" t="str">
        <f t="shared" si="108"/>
        <v>Error?</v>
      </c>
    </row>
    <row r="6988" spans="1:4" x14ac:dyDescent="0.2">
      <c r="A6988">
        <v>6927</v>
      </c>
      <c r="B6988" s="138">
        <f>'Expenditures 15-22'!K88</f>
        <v>182791</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198120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418933</v>
      </c>
      <c r="D7020" s="2" t="str">
        <f t="shared" si="108"/>
        <v>Error?</v>
      </c>
    </row>
    <row r="7021" spans="1:4" x14ac:dyDescent="0.2">
      <c r="A7021">
        <v>6960</v>
      </c>
      <c r="B7021" s="138">
        <f>'Expenditures 15-22'!J114</f>
        <v>58218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1034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1034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1034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490670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1034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716328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865</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865</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865</v>
      </c>
      <c r="D7072" s="2" t="str">
        <f t="shared" si="109"/>
        <v>Error?</v>
      </c>
    </row>
    <row r="7073" spans="1:4" x14ac:dyDescent="0.2">
      <c r="A7073">
        <v>7012</v>
      </c>
      <c r="B7073" s="138">
        <f>'Expenditures 15-22'!D216</f>
        <v>22063</v>
      </c>
      <c r="D7073" s="2" t="str">
        <f t="shared" si="109"/>
        <v>Error?</v>
      </c>
    </row>
    <row r="7074" spans="1:4" x14ac:dyDescent="0.2">
      <c r="A7074">
        <v>7013</v>
      </c>
      <c r="B7074" s="138">
        <f>'Expenditures 15-22'!K216</f>
        <v>22063</v>
      </c>
      <c r="D7074" s="2" t="str">
        <f t="shared" si="109"/>
        <v>Error?</v>
      </c>
    </row>
    <row r="7075" spans="1:4" x14ac:dyDescent="0.2">
      <c r="A7075">
        <v>7014</v>
      </c>
      <c r="B7075" s="138">
        <f>'Expenditures 15-22'!D218</f>
        <v>4247</v>
      </c>
      <c r="D7075" s="2" t="str">
        <f t="shared" si="109"/>
        <v>Error?</v>
      </c>
    </row>
    <row r="7076" spans="1:4" x14ac:dyDescent="0.2">
      <c r="A7076">
        <v>7015</v>
      </c>
      <c r="B7076" s="138">
        <f>'Expenditures 15-22'!K218</f>
        <v>4247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1436</v>
      </c>
      <c r="D7079" s="2" t="str">
        <f t="shared" si="109"/>
        <v>Error?</v>
      </c>
    </row>
    <row r="7080" spans="1:4" x14ac:dyDescent="0.2">
      <c r="A7080">
        <v>7019</v>
      </c>
      <c r="B7080" s="138">
        <f>'Expenditures 15-22'!K226</f>
        <v>1436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225018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225018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5194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5194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53692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53692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48891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48891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490670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490670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490670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490670</v>
      </c>
      <c r="D7224" s="2" t="str">
        <f t="shared" si="111"/>
        <v>Error?</v>
      </c>
    </row>
    <row r="7225" spans="1:4" x14ac:dyDescent="0.2">
      <c r="A7225">
        <v>7164</v>
      </c>
      <c r="B7225" s="138">
        <f>'Expenditures 15-22'!K343</f>
        <v>225658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124613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14656</v>
      </c>
      <c r="D7248" s="2" t="str">
        <f t="shared" si="112"/>
        <v>Error?</v>
      </c>
    </row>
    <row r="7249" spans="1:4" x14ac:dyDescent="0.2">
      <c r="A7249">
        <f t="shared" si="113"/>
        <v>7188</v>
      </c>
      <c r="B7249" s="138">
        <f>'Expenditures 15-22'!G7</f>
        <v>5535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29689</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6994</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117315</v>
      </c>
      <c r="D7263" s="2" t="str">
        <f t="shared" si="112"/>
        <v>Error?</v>
      </c>
    </row>
    <row r="7264" spans="1:4" x14ac:dyDescent="0.2">
      <c r="A7264">
        <f t="shared" si="113"/>
        <v>7203</v>
      </c>
      <c r="B7264" s="138">
        <f>'Expenditures 15-22'!D17</f>
        <v>36902</v>
      </c>
      <c r="D7264" s="2" t="str">
        <f t="shared" si="112"/>
        <v>Error?</v>
      </c>
    </row>
    <row r="7265" spans="1:5" x14ac:dyDescent="0.2">
      <c r="A7265">
        <f t="shared" si="113"/>
        <v>7204</v>
      </c>
      <c r="B7265" s="138">
        <f>'Expenditures 15-22'!E17</f>
        <v>290</v>
      </c>
      <c r="D7265" s="2" t="str">
        <f t="shared" si="112"/>
        <v>Error?</v>
      </c>
    </row>
    <row r="7266" spans="1:5" x14ac:dyDescent="0.2">
      <c r="A7266">
        <f t="shared" si="113"/>
        <v>7205</v>
      </c>
      <c r="B7266" s="138">
        <f>'Expenditures 15-22'!F17</f>
        <v>1011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419967</v>
      </c>
      <c r="D7624" s="2" t="str">
        <f t="shared" si="124"/>
        <v>Error?</v>
      </c>
      <c r="E7624" s="2" t="s">
        <v>19</v>
      </c>
    </row>
    <row r="7625" spans="1:5" x14ac:dyDescent="0.2">
      <c r="A7625">
        <f t="shared" si="123"/>
        <v>7564</v>
      </c>
      <c r="B7625" s="138">
        <f>'Cap Outlay Deprec 26'!I17</f>
        <v>41996.7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1476905.7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157875</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157875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818</v>
      </c>
      <c r="D7711" s="2" t="str">
        <f t="shared" si="126"/>
        <v>Error?</v>
      </c>
      <c r="E7711" s="2" t="s">
        <v>827</v>
      </c>
    </row>
    <row r="7712" spans="1:5" x14ac:dyDescent="0.2">
      <c r="A7712">
        <v>7651</v>
      </c>
      <c r="B7712" s="138">
        <f>'Rest Tax Levies-Tort Im 25'!K7</f>
        <v>10455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44108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55381</v>
      </c>
      <c r="D7719" s="2" t="str">
        <f t="shared" si="126"/>
        <v>Error?</v>
      </c>
      <c r="E7719" s="2" t="s">
        <v>827</v>
      </c>
    </row>
    <row r="7720" spans="1:6" x14ac:dyDescent="0.2">
      <c r="A7720">
        <v>7659</v>
      </c>
      <c r="B7720" s="138">
        <f>'Rest Tax Levies-Tort Im 25'!H14</f>
        <v>2002131</v>
      </c>
      <c r="D7720" s="2" t="str">
        <f t="shared" si="126"/>
        <v>Error?</v>
      </c>
      <c r="E7720" s="2" t="s">
        <v>827</v>
      </c>
    </row>
    <row r="7721" spans="1:6" x14ac:dyDescent="0.2">
      <c r="A7721">
        <v>7660</v>
      </c>
      <c r="B7721" s="138">
        <f>'Rest Tax Levies-Tort Im 25'!K14</f>
        <v>55381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125022</v>
      </c>
      <c r="D7759" s="2" t="str">
        <f t="shared" si="127"/>
        <v>Error?</v>
      </c>
      <c r="E7759" s="4" t="s">
        <v>1333</v>
      </c>
    </row>
    <row r="7760" spans="1:6" x14ac:dyDescent="0.2">
      <c r="A7760">
        <v>7699</v>
      </c>
      <c r="B7760" s="138">
        <f>'Aud Quest 2'!J90</f>
        <v>125023</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0</v>
      </c>
      <c r="D7797" s="2" t="str">
        <f t="shared" si="127"/>
        <v>Error?</v>
      </c>
      <c r="E7797" s="4" t="s">
        <v>1902</v>
      </c>
    </row>
    <row r="7798" spans="1:5" x14ac:dyDescent="0.2">
      <c r="A7798">
        <v>7737</v>
      </c>
      <c r="B7798" s="138">
        <f>'Contracts Paid in CY 29'!F141</f>
        <v>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B43" sqref="B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1987</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0" t="str">
        <f>COVER!A17</f>
        <v>Freeport SD 145</v>
      </c>
      <c r="B7" s="2411"/>
      <c r="C7" s="2411"/>
      <c r="D7" s="2412"/>
      <c r="E7" s="2413">
        <f>COVER!A13</f>
        <v>8089145022</v>
      </c>
      <c r="F7" s="2414"/>
      <c r="G7" s="2420" t="str">
        <f>COVER!T23</f>
        <v>066-004023</v>
      </c>
      <c r="H7" s="2421"/>
      <c r="I7" s="2421"/>
      <c r="J7" s="2421"/>
      <c r="K7" s="2421"/>
      <c r="L7" s="242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3"/>
      <c r="B9" s="2424"/>
      <c r="C9" s="2424"/>
      <c r="D9" s="2424"/>
      <c r="E9" s="2424"/>
      <c r="F9" s="2425"/>
      <c r="G9" s="2394" t="str">
        <f>COVER!T13</f>
        <v>WIPFLI LLP</v>
      </c>
      <c r="H9" s="2426"/>
      <c r="I9" s="2426"/>
      <c r="J9" s="2426"/>
      <c r="K9" s="2426"/>
      <c r="L9" s="2427"/>
    </row>
    <row r="10" spans="1:29" ht="13.5" customHeight="1" x14ac:dyDescent="0.2">
      <c r="A10" s="2400" t="str">
        <f>COVER!A38</f>
        <v>Patrick McDermott</v>
      </c>
      <c r="B10" s="2401"/>
      <c r="C10" s="2401"/>
      <c r="D10" s="2401"/>
      <c r="E10" s="2401"/>
      <c r="F10" s="2402"/>
      <c r="G10" s="2394" t="str">
        <f>COVER!T17</f>
        <v>403 East 3rd Street</v>
      </c>
      <c r="H10" s="2395"/>
      <c r="I10" s="2395"/>
      <c r="J10" s="2395"/>
      <c r="K10" s="2395"/>
      <c r="L10" s="2396"/>
    </row>
    <row r="11" spans="1:29" ht="13.5" customHeight="1" x14ac:dyDescent="0.2">
      <c r="A11" s="1184" t="s">
        <v>1519</v>
      </c>
      <c r="B11" s="1185"/>
      <c r="C11" s="1186"/>
      <c r="D11" s="1191"/>
      <c r="E11" s="1186"/>
      <c r="F11" s="1190"/>
      <c r="G11" s="2394" t="str">
        <f>COVER!T19</f>
        <v>Sterling</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mschueler@wipfli.com</v>
      </c>
      <c r="J13" s="2407"/>
      <c r="K13" s="2407"/>
      <c r="L13" s="2408"/>
    </row>
    <row r="14" spans="1:29" ht="13.5" customHeight="1" x14ac:dyDescent="0.2">
      <c r="A14" s="2394" t="str">
        <f>COVER!A19</f>
        <v>501 E. SOUTH STREET</v>
      </c>
      <c r="B14" s="2395"/>
      <c r="C14" s="2395"/>
      <c r="D14" s="2395"/>
      <c r="E14" s="2395"/>
      <c r="F14" s="2396"/>
      <c r="G14" s="1195" t="s">
        <v>1185</v>
      </c>
      <c r="H14" s="1193"/>
      <c r="I14" s="1193"/>
      <c r="J14" s="1193"/>
      <c r="K14" s="1193"/>
      <c r="L14" s="1194"/>
    </row>
    <row r="15" spans="1:29" ht="13.5" customHeight="1" x14ac:dyDescent="0.2">
      <c r="A15" s="2394" t="str">
        <f>COVER!A21</f>
        <v xml:space="preserve">FREEPORT  </v>
      </c>
      <c r="B15" s="2395"/>
      <c r="C15" s="2395"/>
      <c r="D15" s="2395"/>
      <c r="E15" s="2395"/>
      <c r="F15" s="2396"/>
      <c r="G15" s="2391" t="str">
        <f>COVER!T15</f>
        <v>MATTHEW J. SCHUELER</v>
      </c>
      <c r="H15" s="2392"/>
      <c r="I15" s="2392"/>
      <c r="J15" s="2392"/>
      <c r="K15" s="2392"/>
      <c r="L15" s="2393"/>
    </row>
    <row r="16" spans="1:29" ht="12.2" customHeight="1" x14ac:dyDescent="0.2">
      <c r="A16" s="2416">
        <f>COVER!A25</f>
        <v>61032</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1184</v>
      </c>
      <c r="H17" s="1193"/>
      <c r="I17" s="1193"/>
      <c r="J17" s="1193"/>
      <c r="K17" s="1197" t="s">
        <v>1183</v>
      </c>
      <c r="L17" s="1190"/>
      <c r="M17" s="1183"/>
    </row>
    <row r="18" spans="1:13" ht="12.2" customHeight="1" x14ac:dyDescent="0.2">
      <c r="A18" s="2400"/>
      <c r="B18" s="2401"/>
      <c r="C18" s="2401"/>
      <c r="D18" s="2401"/>
      <c r="E18" s="2401"/>
      <c r="F18" s="2402"/>
      <c r="G18" s="2410" t="str">
        <f>COVER!T21</f>
        <v>815-626-1277</v>
      </c>
      <c r="H18" s="2411"/>
      <c r="I18" s="2411"/>
      <c r="J18" s="2411"/>
      <c r="K18" s="2410" t="str">
        <f>COVER!X21</f>
        <v>815-626-9118</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2070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2070</v>
      </c>
      <c r="C26" s="1202" t="s">
        <v>1699</v>
      </c>
    </row>
    <row r="27" spans="1:13" s="1198" customFormat="1" ht="9" customHeight="1" x14ac:dyDescent="0.2">
      <c r="B27" s="1203"/>
      <c r="C27" s="1202"/>
    </row>
    <row r="28" spans="1:13" s="1198" customFormat="1" ht="12.2" customHeight="1" x14ac:dyDescent="0.2">
      <c r="A28" s="1205"/>
      <c r="B28" s="1201" t="s">
        <v>2070</v>
      </c>
      <c r="C28" s="1202" t="s">
        <v>1700</v>
      </c>
    </row>
    <row r="29" spans="1:13" s="1198" customFormat="1" ht="9" customHeight="1" x14ac:dyDescent="0.2">
      <c r="A29" s="1205"/>
      <c r="B29" s="1203"/>
      <c r="C29" s="1202"/>
    </row>
    <row r="30" spans="1:13" s="1198" customFormat="1" ht="12.2" customHeight="1" x14ac:dyDescent="0.2">
      <c r="B30" s="1201" t="s">
        <v>2070</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2070</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2070</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2070</v>
      </c>
      <c r="C38" s="1202" t="s">
        <v>1566</v>
      </c>
    </row>
    <row r="39" spans="1:8" ht="9" customHeight="1" x14ac:dyDescent="0.2">
      <c r="B39" s="1203"/>
      <c r="C39" s="1206"/>
    </row>
    <row r="40" spans="1:8" s="1198" customFormat="1" ht="13.5" customHeight="1" x14ac:dyDescent="0.2">
      <c r="B40" s="1201" t="s">
        <v>2070</v>
      </c>
      <c r="C40" s="1202" t="s">
        <v>1567</v>
      </c>
    </row>
    <row r="41" spans="1:8" ht="9" customHeight="1" x14ac:dyDescent="0.2">
      <c r="A41" s="1207"/>
      <c r="B41" s="1203"/>
      <c r="C41" s="1206"/>
    </row>
    <row r="42" spans="1:8" s="1198" customFormat="1" ht="13.5" customHeight="1" x14ac:dyDescent="0.2">
      <c r="B42" s="1201" t="s">
        <v>2070</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5" zoomScale="125" zoomScaleNormal="125" workbookViewId="0">
      <selection activeCell="B128" sqref="B128"/>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Freeport SD 145</v>
      </c>
      <c r="B1" s="2409"/>
      <c r="C1" s="2409"/>
      <c r="D1" s="2409"/>
    </row>
    <row r="2" spans="1:11" s="1212" customFormat="1" ht="12.75" x14ac:dyDescent="0.2">
      <c r="A2" s="2433">
        <f>'Single Audit Cover'!E7</f>
        <v>8089145022</v>
      </c>
      <c r="B2" s="2434"/>
      <c r="C2" s="2434"/>
      <c r="D2" s="2434"/>
    </row>
    <row r="3" spans="1:11" s="1212" customFormat="1" ht="12.75" x14ac:dyDescent="0.2">
      <c r="A3" s="2432" t="s">
        <v>1513</v>
      </c>
      <c r="B3" s="2409"/>
      <c r="C3" s="2409"/>
      <c r="D3" s="240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2070</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2070</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2070</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2070</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2070</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2070</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2070</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2070</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2070</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2070</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2070</v>
      </c>
      <c r="C42" s="1229">
        <v>11</v>
      </c>
      <c r="D42" s="1240" t="s">
        <v>1574</v>
      </c>
      <c r="E42" s="312"/>
    </row>
    <row r="43" spans="1:5" ht="3" customHeight="1" x14ac:dyDescent="0.2">
      <c r="A43" s="1219"/>
      <c r="B43" s="1236"/>
      <c r="C43" s="1237"/>
      <c r="D43" s="1218"/>
    </row>
    <row r="44" spans="1:5" x14ac:dyDescent="0.2">
      <c r="A44" s="1219"/>
      <c r="B44" s="1222" t="s">
        <v>2070</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2070</v>
      </c>
      <c r="C48" s="1223">
        <f>C44+1</f>
        <v>13</v>
      </c>
      <c r="D48" s="1234" t="s">
        <v>1575</v>
      </c>
    </row>
    <row r="49" spans="1:4" ht="3" customHeight="1" x14ac:dyDescent="0.2">
      <c r="A49" s="1219"/>
      <c r="B49" s="1226"/>
      <c r="C49" s="1223"/>
      <c r="D49" s="1234"/>
    </row>
    <row r="50" spans="1:4" x14ac:dyDescent="0.2">
      <c r="A50" s="1219"/>
      <c r="B50" s="1222" t="s">
        <v>2070</v>
      </c>
      <c r="C50" s="1223">
        <f>C48+1</f>
        <v>14</v>
      </c>
      <c r="D50" s="1234" t="s">
        <v>1212</v>
      </c>
    </row>
    <row r="51" spans="1:4" ht="3" customHeight="1" x14ac:dyDescent="0.2">
      <c r="A51" s="1219"/>
      <c r="B51" s="1226"/>
      <c r="C51" s="1223"/>
      <c r="D51" s="1234"/>
    </row>
    <row r="52" spans="1:4" x14ac:dyDescent="0.2">
      <c r="A52" s="1219"/>
      <c r="B52" s="1222" t="s">
        <v>2070</v>
      </c>
      <c r="C52" s="1223">
        <f>C50+1</f>
        <v>15</v>
      </c>
      <c r="D52" s="1234" t="s">
        <v>1211</v>
      </c>
    </row>
    <row r="53" spans="1:4" ht="3" customHeight="1" x14ac:dyDescent="0.2">
      <c r="A53" s="1219"/>
      <c r="B53" s="1226"/>
      <c r="C53" s="1223"/>
      <c r="D53" s="1234"/>
    </row>
    <row r="54" spans="1:4" x14ac:dyDescent="0.2">
      <c r="A54" s="1219"/>
      <c r="B54" s="1222" t="s">
        <v>2070</v>
      </c>
      <c r="C54" s="1223">
        <f>C52+1</f>
        <v>16</v>
      </c>
      <c r="D54" s="1234" t="s">
        <v>1210</v>
      </c>
    </row>
    <row r="55" spans="1:4" ht="3" customHeight="1" x14ac:dyDescent="0.2">
      <c r="A55" s="1219"/>
      <c r="B55" s="1226"/>
      <c r="C55" s="1223"/>
      <c r="D55" s="1234"/>
    </row>
    <row r="56" spans="1:4" x14ac:dyDescent="0.2">
      <c r="A56" s="1219"/>
      <c r="B56" s="1222" t="s">
        <v>2070</v>
      </c>
      <c r="C56" s="1223">
        <f>C54+1</f>
        <v>17</v>
      </c>
      <c r="D56" s="1218" t="s">
        <v>1708</v>
      </c>
    </row>
    <row r="57" spans="1:4" ht="10.5" customHeight="1" x14ac:dyDescent="0.2">
      <c r="A57" s="1219"/>
      <c r="D57" s="1234" t="s">
        <v>1709</v>
      </c>
    </row>
    <row r="58" spans="1:4" x14ac:dyDescent="0.2">
      <c r="A58" s="1219"/>
      <c r="C58" s="1241" t="s">
        <v>2070</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2070</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2070</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2070</v>
      </c>
      <c r="D69" s="1234" t="s">
        <v>1713</v>
      </c>
    </row>
    <row r="70" spans="1:4" x14ac:dyDescent="0.2">
      <c r="A70" s="1219"/>
      <c r="D70" s="1243" t="s">
        <v>1206</v>
      </c>
    </row>
    <row r="71" spans="1:4" ht="3" customHeight="1" x14ac:dyDescent="0.2">
      <c r="A71" s="1219"/>
      <c r="D71" s="1218"/>
    </row>
    <row r="72" spans="1:4" x14ac:dyDescent="0.2">
      <c r="A72" s="1219"/>
      <c r="B72" s="1222" t="s">
        <v>2070</v>
      </c>
      <c r="C72" s="1223">
        <f>C56+1</f>
        <v>18</v>
      </c>
      <c r="D72" s="1244" t="s">
        <v>1714</v>
      </c>
    </row>
    <row r="73" spans="1:4" ht="3" customHeight="1" x14ac:dyDescent="0.2">
      <c r="A73" s="1219"/>
      <c r="B73" s="1226"/>
      <c r="C73" s="1223"/>
      <c r="D73" s="1244"/>
    </row>
    <row r="74" spans="1:4" x14ac:dyDescent="0.2">
      <c r="A74" s="1219"/>
      <c r="B74" s="1222" t="s">
        <v>2070</v>
      </c>
      <c r="C74" s="1223">
        <f>C72+1</f>
        <v>19</v>
      </c>
      <c r="D74" s="1234" t="s">
        <v>1205</v>
      </c>
    </row>
    <row r="75" spans="1:4" ht="3" customHeight="1" x14ac:dyDescent="0.2">
      <c r="A75" s="1219"/>
      <c r="B75" s="1226"/>
      <c r="C75" s="1223"/>
      <c r="D75" s="1234"/>
    </row>
    <row r="76" spans="1:4" x14ac:dyDescent="0.2">
      <c r="A76" s="1219"/>
      <c r="B76" s="1222" t="s">
        <v>2070</v>
      </c>
      <c r="C76" s="1223">
        <f>C74+1</f>
        <v>20</v>
      </c>
      <c r="D76" s="1245" t="s">
        <v>1715</v>
      </c>
    </row>
    <row r="77" spans="1:4" ht="3" customHeight="1" x14ac:dyDescent="0.2">
      <c r="A77" s="1219"/>
      <c r="B77" s="1226"/>
      <c r="C77" s="1223"/>
      <c r="D77" s="1245"/>
    </row>
    <row r="78" spans="1:4" x14ac:dyDescent="0.2">
      <c r="A78" s="1219"/>
      <c r="B78" s="1222" t="s">
        <v>2070</v>
      </c>
      <c r="C78" s="1223">
        <f>C76+1</f>
        <v>21</v>
      </c>
      <c r="D78" s="1218" t="s">
        <v>1716</v>
      </c>
    </row>
    <row r="79" spans="1:4" ht="3" customHeight="1" x14ac:dyDescent="0.2">
      <c r="A79" s="1219"/>
      <c r="B79" s="1226"/>
      <c r="C79" s="1223"/>
      <c r="D79" s="1218"/>
    </row>
    <row r="80" spans="1:4" x14ac:dyDescent="0.2">
      <c r="A80" s="1219"/>
      <c r="B80" s="1222" t="s">
        <v>2070</v>
      </c>
      <c r="C80" s="1223">
        <f>C78+1</f>
        <v>22</v>
      </c>
      <c r="D80" s="1246" t="s">
        <v>1717</v>
      </c>
    </row>
    <row r="81" spans="1:4" ht="3" customHeight="1" x14ac:dyDescent="0.2">
      <c r="A81" s="1219"/>
      <c r="B81" s="1226"/>
      <c r="C81" s="1223"/>
      <c r="D81" s="1246"/>
    </row>
    <row r="82" spans="1:4" x14ac:dyDescent="0.2">
      <c r="A82" s="1219"/>
      <c r="B82" s="1222" t="s">
        <v>2070</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2070</v>
      </c>
      <c r="C85" s="1223">
        <f>C82+1</f>
        <v>24</v>
      </c>
      <c r="D85" s="1234" t="s">
        <v>1203</v>
      </c>
    </row>
    <row r="86" spans="1:4" ht="3" customHeight="1" x14ac:dyDescent="0.2">
      <c r="A86" s="1219"/>
      <c r="B86" s="1226"/>
      <c r="C86" s="1223"/>
      <c r="D86" s="1234"/>
    </row>
    <row r="87" spans="1:4" x14ac:dyDescent="0.2">
      <c r="A87" s="1219"/>
      <c r="B87" s="1222" t="s">
        <v>2070</v>
      </c>
      <c r="C87" s="1223">
        <f>C85+1</f>
        <v>25</v>
      </c>
      <c r="D87" s="1234" t="s">
        <v>1202</v>
      </c>
    </row>
    <row r="88" spans="1:4" ht="3" customHeight="1" x14ac:dyDescent="0.2">
      <c r="A88" s="1219"/>
      <c r="B88" s="1226"/>
      <c r="C88" s="1223"/>
      <c r="D88" s="1234"/>
    </row>
    <row r="89" spans="1:4" x14ac:dyDescent="0.2">
      <c r="A89" s="1219"/>
      <c r="B89" s="1222" t="s">
        <v>2070</v>
      </c>
      <c r="C89" s="1223">
        <f>C87+1</f>
        <v>26</v>
      </c>
      <c r="D89" s="1234" t="s">
        <v>1201</v>
      </c>
    </row>
    <row r="90" spans="1:4" ht="3" customHeight="1" x14ac:dyDescent="0.2">
      <c r="A90" s="1219"/>
      <c r="B90" s="1226"/>
      <c r="C90" s="1223"/>
      <c r="D90" s="1234"/>
    </row>
    <row r="91" spans="1:4" x14ac:dyDescent="0.2">
      <c r="A91" s="1219"/>
      <c r="B91" s="1222" t="s">
        <v>2070</v>
      </c>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2070</v>
      </c>
      <c r="C96" s="1223">
        <f>C91+1</f>
        <v>28</v>
      </c>
      <c r="D96" s="1234" t="s">
        <v>1720</v>
      </c>
    </row>
    <row r="97" spans="1:4" ht="3" customHeight="1" x14ac:dyDescent="0.2">
      <c r="A97" s="1219"/>
      <c r="B97" s="1226"/>
      <c r="C97" s="1223"/>
      <c r="D97" s="1234"/>
    </row>
    <row r="98" spans="1:4" x14ac:dyDescent="0.2">
      <c r="A98" s="1219"/>
      <c r="B98" s="1222" t="s">
        <v>2070</v>
      </c>
      <c r="C98" s="1223">
        <f>C96+1</f>
        <v>29</v>
      </c>
      <c r="D98" s="1248" t="s">
        <v>1721</v>
      </c>
    </row>
    <row r="99" spans="1:4" ht="3" customHeight="1" x14ac:dyDescent="0.2">
      <c r="A99" s="1219"/>
      <c r="B99" s="1226"/>
      <c r="C99" s="1223"/>
      <c r="D99" s="1248"/>
    </row>
    <row r="100" spans="1:4" x14ac:dyDescent="0.2">
      <c r="A100" s="1219"/>
      <c r="B100" s="1222" t="s">
        <v>2070</v>
      </c>
      <c r="C100" s="1223">
        <f>C98+1</f>
        <v>30</v>
      </c>
      <c r="D100" s="1234" t="s">
        <v>1722</v>
      </c>
    </row>
    <row r="101" spans="1:4" ht="3" customHeight="1" x14ac:dyDescent="0.2">
      <c r="A101" s="1219"/>
      <c r="B101" s="1226"/>
      <c r="C101" s="1223"/>
      <c r="D101" s="1249"/>
    </row>
    <row r="102" spans="1:4" x14ac:dyDescent="0.2">
      <c r="A102" s="1219"/>
      <c r="B102" s="1222" t="s">
        <v>2070</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2070</v>
      </c>
      <c r="C106" s="1223">
        <f>C102+1</f>
        <v>32</v>
      </c>
      <c r="D106" s="1218" t="s">
        <v>1580</v>
      </c>
    </row>
    <row r="107" spans="1:4" ht="3" customHeight="1" x14ac:dyDescent="0.2">
      <c r="A107" s="1219"/>
      <c r="B107" s="1226"/>
      <c r="C107" s="1223"/>
      <c r="D107" s="1218"/>
    </row>
    <row r="108" spans="1:4" x14ac:dyDescent="0.2">
      <c r="A108" s="1219"/>
      <c r="B108" s="1222" t="s">
        <v>2070</v>
      </c>
      <c r="C108" s="1223">
        <v>33</v>
      </c>
      <c r="D108" s="1218" t="s">
        <v>1723</v>
      </c>
    </row>
    <row r="109" spans="1:4" ht="3" customHeight="1" x14ac:dyDescent="0.2">
      <c r="A109" s="1219"/>
      <c r="B109" s="1226"/>
      <c r="C109" s="1223"/>
      <c r="D109" s="1218"/>
    </row>
    <row r="110" spans="1:4" x14ac:dyDescent="0.2">
      <c r="A110" s="1219"/>
      <c r="B110" s="1222" t="s">
        <v>2070</v>
      </c>
      <c r="C110" s="1223">
        <f>C108+1</f>
        <v>34</v>
      </c>
      <c r="D110" s="1218" t="s">
        <v>1198</v>
      </c>
    </row>
    <row r="111" spans="1:4" ht="3" customHeight="1" x14ac:dyDescent="0.2">
      <c r="A111" s="1219"/>
      <c r="B111" s="1226"/>
      <c r="C111" s="1223"/>
      <c r="D111" s="1218"/>
    </row>
    <row r="112" spans="1:4" x14ac:dyDescent="0.2">
      <c r="A112" s="1219"/>
      <c r="B112" s="1222" t="s">
        <v>2070</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2070</v>
      </c>
      <c r="C115" s="1223">
        <f>C112+1</f>
        <v>36</v>
      </c>
      <c r="D115" s="1234" t="s">
        <v>1195</v>
      </c>
    </row>
    <row r="116" spans="1:4" ht="3" customHeight="1" x14ac:dyDescent="0.2">
      <c r="A116" s="1219"/>
      <c r="B116" s="1226"/>
      <c r="C116" s="1223"/>
      <c r="D116" s="1234"/>
    </row>
    <row r="117" spans="1:4" x14ac:dyDescent="0.2">
      <c r="A117" s="1219"/>
      <c r="B117" s="1222" t="s">
        <v>2070</v>
      </c>
      <c r="C117" s="1223">
        <f>C115+1</f>
        <v>37</v>
      </c>
      <c r="D117" s="1234" t="s">
        <v>1724</v>
      </c>
    </row>
    <row r="118" spans="1:4" ht="3" customHeight="1" x14ac:dyDescent="0.2">
      <c r="A118" s="1219"/>
      <c r="B118" s="1226"/>
      <c r="C118" s="1223"/>
      <c r="D118" s="1234"/>
    </row>
    <row r="119" spans="1:4" x14ac:dyDescent="0.2">
      <c r="A119" s="1219"/>
      <c r="B119" s="1222" t="s">
        <v>2070</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2070</v>
      </c>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41" sqref="D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Freeport SD 145</v>
      </c>
      <c r="B1" s="2436"/>
      <c r="C1" s="2436"/>
      <c r="D1" s="2436"/>
      <c r="E1" s="2436"/>
    </row>
    <row r="2" spans="1:5" x14ac:dyDescent="0.2">
      <c r="A2" s="2437">
        <f>'Single Audit Cover'!E7</f>
        <v>8089145022</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6046315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151246</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-370971</v>
      </c>
    </row>
    <row r="19" spans="1:4" ht="13.5" thickBot="1" x14ac:dyDescent="0.25">
      <c r="A19" s="1262" t="s">
        <v>1235</v>
      </c>
      <c r="D19" s="1263">
        <f>SUM(D10:D17)</f>
        <v>5826590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5826590</v>
      </c>
    </row>
    <row r="33" spans="1:4" x14ac:dyDescent="0.2">
      <c r="D33" s="1266"/>
    </row>
    <row r="34" spans="1:4" x14ac:dyDescent="0.2">
      <c r="A34" s="317" t="s">
        <v>1232</v>
      </c>
    </row>
    <row r="35" spans="1:4" x14ac:dyDescent="0.2">
      <c r="A35" s="317" t="s">
        <v>1231</v>
      </c>
      <c r="B35" s="1255" t="s">
        <v>1230</v>
      </c>
      <c r="D35" s="1267">
        <v>5800970</v>
      </c>
    </row>
    <row r="37" spans="1:4" x14ac:dyDescent="0.2">
      <c r="A37" s="1257" t="s">
        <v>1229</v>
      </c>
    </row>
    <row r="39" spans="1:4" ht="13.35" customHeight="1" x14ac:dyDescent="0.2">
      <c r="A39" s="1264" t="s">
        <v>1228</v>
      </c>
    </row>
    <row r="40" spans="1:4" x14ac:dyDescent="0.2">
      <c r="A40" s="2435" t="s">
        <v>2202</v>
      </c>
      <c r="B40" s="2435"/>
      <c r="D40" s="1265">
        <v>25620</v>
      </c>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5826590</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Freeport SD 145</v>
      </c>
      <c r="C1" s="2440"/>
      <c r="D1" s="2440"/>
      <c r="E1" s="2440"/>
      <c r="F1" s="2440"/>
      <c r="G1" s="2440"/>
      <c r="H1" s="2440"/>
      <c r="I1" s="2440"/>
      <c r="J1" s="2440"/>
      <c r="K1" s="2440"/>
      <c r="L1" s="2440"/>
      <c r="M1" s="2440"/>
    </row>
    <row r="2" spans="2:14" ht="15" x14ac:dyDescent="0.2">
      <c r="B2" s="2441">
        <f>'Single Audit Cover'!E7</f>
        <v>8089145022</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2087</v>
      </c>
      <c r="C11" s="1335"/>
      <c r="D11" s="1336"/>
      <c r="E11" s="1337"/>
      <c r="F11" s="1337"/>
      <c r="G11" s="1337"/>
      <c r="H11" s="1337"/>
      <c r="I11" s="1337"/>
      <c r="J11" s="1337"/>
      <c r="K11" s="1337"/>
      <c r="L11" s="1337">
        <f>+G11+I11+K11</f>
        <v>0</v>
      </c>
      <c r="M11" s="1337"/>
    </row>
    <row r="12" spans="2:14" ht="20.100000000000001" customHeight="1" x14ac:dyDescent="0.2">
      <c r="B12" s="1334" t="s">
        <v>2088</v>
      </c>
      <c r="C12" s="1338"/>
      <c r="D12" s="1339"/>
      <c r="E12" s="1340"/>
      <c r="F12" s="1340"/>
      <c r="G12" s="1340"/>
      <c r="H12" s="1340"/>
      <c r="I12" s="1340"/>
      <c r="J12" s="1340"/>
      <c r="K12" s="1340"/>
      <c r="L12" s="1337">
        <f t="shared" ref="L12:L27" si="0">+G12+I12+K12</f>
        <v>0</v>
      </c>
      <c r="M12" s="1340"/>
    </row>
    <row r="13" spans="2:14" ht="20.100000000000001" customHeight="1" x14ac:dyDescent="0.2">
      <c r="B13" s="1334" t="s">
        <v>2089</v>
      </c>
      <c r="C13" s="1338">
        <v>10.555</v>
      </c>
      <c r="D13" s="1339">
        <v>2018</v>
      </c>
      <c r="E13" s="1340">
        <v>24214</v>
      </c>
      <c r="F13" s="1340"/>
      <c r="G13" s="1340">
        <v>24214</v>
      </c>
      <c r="H13" s="1340"/>
      <c r="I13" s="1340"/>
      <c r="J13" s="1340"/>
      <c r="K13" s="1340"/>
      <c r="L13" s="1337">
        <f t="shared" si="0"/>
        <v>24214</v>
      </c>
      <c r="M13" s="1340" t="s">
        <v>2112</v>
      </c>
    </row>
    <row r="14" spans="2:14" ht="20.100000000000001" customHeight="1" x14ac:dyDescent="0.2">
      <c r="B14" s="1334" t="s">
        <v>2089</v>
      </c>
      <c r="C14" s="1338">
        <v>10.555</v>
      </c>
      <c r="D14" s="1339">
        <v>2019</v>
      </c>
      <c r="E14" s="1340"/>
      <c r="F14" s="1340">
        <v>54406</v>
      </c>
      <c r="G14" s="1340"/>
      <c r="H14" s="1340"/>
      <c r="I14" s="1340">
        <v>54406</v>
      </c>
      <c r="J14" s="1340"/>
      <c r="K14" s="1340"/>
      <c r="L14" s="1337">
        <f t="shared" si="0"/>
        <v>54406</v>
      </c>
      <c r="M14" s="1340" t="s">
        <v>2112</v>
      </c>
    </row>
    <row r="15" spans="2:14" ht="20.100000000000001" customHeight="1" x14ac:dyDescent="0.2">
      <c r="B15" s="1334" t="s">
        <v>2090</v>
      </c>
      <c r="C15" s="1338">
        <v>10.555</v>
      </c>
      <c r="D15" s="1339">
        <v>2018</v>
      </c>
      <c r="E15" s="1340">
        <v>71393</v>
      </c>
      <c r="F15" s="1340"/>
      <c r="G15" s="1340">
        <v>71393</v>
      </c>
      <c r="H15" s="1340"/>
      <c r="I15" s="1340"/>
      <c r="J15" s="1340"/>
      <c r="K15" s="1340"/>
      <c r="L15" s="1337">
        <f t="shared" si="0"/>
        <v>71393</v>
      </c>
      <c r="M15" s="1340" t="s">
        <v>2112</v>
      </c>
    </row>
    <row r="16" spans="2:14" ht="20.100000000000001" customHeight="1" x14ac:dyDescent="0.2">
      <c r="B16" s="1334" t="s">
        <v>2090</v>
      </c>
      <c r="C16" s="1338">
        <v>10.555</v>
      </c>
      <c r="D16" s="1339">
        <v>2019</v>
      </c>
      <c r="E16" s="1340"/>
      <c r="F16" s="1340">
        <v>96840</v>
      </c>
      <c r="G16" s="1340"/>
      <c r="H16" s="1340"/>
      <c r="I16" s="1340">
        <v>96840</v>
      </c>
      <c r="J16" s="1340"/>
      <c r="K16" s="1340"/>
      <c r="L16" s="1337">
        <f t="shared" si="0"/>
        <v>96840</v>
      </c>
      <c r="M16" s="1340" t="s">
        <v>2112</v>
      </c>
    </row>
    <row r="17" spans="2:14" ht="20.100000000000001" customHeight="1" x14ac:dyDescent="0.2">
      <c r="B17" s="1334" t="s">
        <v>2091</v>
      </c>
      <c r="C17" s="1338">
        <v>10.555</v>
      </c>
      <c r="D17" s="1339" t="s">
        <v>2096</v>
      </c>
      <c r="E17" s="1340">
        <v>208333</v>
      </c>
      <c r="F17" s="1340"/>
      <c r="G17" s="1340">
        <v>208333</v>
      </c>
      <c r="H17" s="1340"/>
      <c r="I17" s="1340"/>
      <c r="J17" s="1340"/>
      <c r="K17" s="1340"/>
      <c r="L17" s="1337">
        <f t="shared" si="0"/>
        <v>208333</v>
      </c>
      <c r="M17" s="1340" t="s">
        <v>2112</v>
      </c>
    </row>
    <row r="18" spans="2:14" ht="20.100000000000001" customHeight="1" x14ac:dyDescent="0.2">
      <c r="B18" s="1334" t="s">
        <v>2091</v>
      </c>
      <c r="C18" s="1338">
        <v>10.555</v>
      </c>
      <c r="D18" s="1339" t="s">
        <v>2097</v>
      </c>
      <c r="E18" s="1340">
        <v>1121470</v>
      </c>
      <c r="F18" s="1340">
        <v>192544</v>
      </c>
      <c r="G18" s="1340">
        <v>1121470</v>
      </c>
      <c r="H18" s="1340"/>
      <c r="I18" s="1340">
        <v>192544</v>
      </c>
      <c r="J18" s="1340"/>
      <c r="K18" s="1340"/>
      <c r="L18" s="1337">
        <f t="shared" si="0"/>
        <v>1314014</v>
      </c>
      <c r="M18" s="1340" t="s">
        <v>2112</v>
      </c>
    </row>
    <row r="19" spans="2:14" ht="20.100000000000001" customHeight="1" x14ac:dyDescent="0.2">
      <c r="B19" s="1334" t="s">
        <v>2091</v>
      </c>
      <c r="C19" s="1338">
        <v>10.555</v>
      </c>
      <c r="D19" s="1339" t="s">
        <v>2098</v>
      </c>
      <c r="E19" s="1340"/>
      <c r="F19" s="1340">
        <v>1127156</v>
      </c>
      <c r="G19" s="1340"/>
      <c r="H19" s="1340"/>
      <c r="I19" s="1340">
        <v>1127156</v>
      </c>
      <c r="J19" s="1340"/>
      <c r="K19" s="1340"/>
      <c r="L19" s="1337">
        <f t="shared" si="0"/>
        <v>1127156</v>
      </c>
      <c r="M19" s="1340" t="s">
        <v>2112</v>
      </c>
    </row>
    <row r="20" spans="2:14" ht="20.100000000000001" customHeight="1" x14ac:dyDescent="0.2">
      <c r="B20" s="1334" t="s">
        <v>2092</v>
      </c>
      <c r="C20" s="1338">
        <v>10.553000000000001</v>
      </c>
      <c r="D20" s="1339" t="s">
        <v>2099</v>
      </c>
      <c r="E20" s="1340">
        <v>58724</v>
      </c>
      <c r="F20" s="1340"/>
      <c r="G20" s="1340">
        <v>58724</v>
      </c>
      <c r="H20" s="1340"/>
      <c r="I20" s="1340"/>
      <c r="J20" s="1340"/>
      <c r="K20" s="1340"/>
      <c r="L20" s="1337">
        <f t="shared" si="0"/>
        <v>58724</v>
      </c>
      <c r="M20" s="1340" t="s">
        <v>2112</v>
      </c>
    </row>
    <row r="21" spans="2:14" ht="20.100000000000001" customHeight="1" x14ac:dyDescent="0.2">
      <c r="B21" s="1334" t="s">
        <v>2092</v>
      </c>
      <c r="C21" s="1338">
        <v>10.553000000000001</v>
      </c>
      <c r="D21" s="1339" t="s">
        <v>2100</v>
      </c>
      <c r="E21" s="1340">
        <v>313867</v>
      </c>
      <c r="F21" s="1340">
        <v>64435</v>
      </c>
      <c r="G21" s="1340">
        <v>313867</v>
      </c>
      <c r="H21" s="1340"/>
      <c r="I21" s="1340">
        <v>64435</v>
      </c>
      <c r="J21" s="1340"/>
      <c r="K21" s="1340"/>
      <c r="L21" s="1337">
        <f t="shared" si="0"/>
        <v>378302</v>
      </c>
      <c r="M21" s="1340" t="s">
        <v>2112</v>
      </c>
    </row>
    <row r="22" spans="2:14" ht="20.100000000000001" customHeight="1" x14ac:dyDescent="0.2">
      <c r="B22" s="1334" t="s">
        <v>2092</v>
      </c>
      <c r="C22" s="1338">
        <v>10.553000000000001</v>
      </c>
      <c r="D22" s="1339" t="s">
        <v>2111</v>
      </c>
      <c r="E22" s="1340"/>
      <c r="F22" s="1340">
        <v>310953</v>
      </c>
      <c r="G22" s="1340"/>
      <c r="H22" s="1340"/>
      <c r="I22" s="1340">
        <v>310953</v>
      </c>
      <c r="J22" s="1340"/>
      <c r="K22" s="1340"/>
      <c r="L22" s="1337">
        <f t="shared" si="0"/>
        <v>310953</v>
      </c>
      <c r="M22" s="1340" t="s">
        <v>2112</v>
      </c>
    </row>
    <row r="23" spans="2:14" ht="20.100000000000001" customHeight="1" x14ac:dyDescent="0.2">
      <c r="B23" s="1334" t="s">
        <v>2093</v>
      </c>
      <c r="C23" s="1338">
        <v>10.555</v>
      </c>
      <c r="D23" s="1339" t="s">
        <v>2101</v>
      </c>
      <c r="E23" s="1340"/>
      <c r="F23" s="1340"/>
      <c r="G23" s="1340"/>
      <c r="H23" s="1340"/>
      <c r="I23" s="1340"/>
      <c r="J23" s="1340"/>
      <c r="K23" s="1340"/>
      <c r="L23" s="1337">
        <f t="shared" si="0"/>
        <v>0</v>
      </c>
      <c r="M23" s="1340"/>
    </row>
    <row r="24" spans="2:14" ht="20.100000000000001" customHeight="1" x14ac:dyDescent="0.2">
      <c r="B24" s="1334" t="s">
        <v>2093</v>
      </c>
      <c r="C24" s="1338">
        <v>10.555</v>
      </c>
      <c r="D24" s="1339" t="s">
        <v>2102</v>
      </c>
      <c r="E24" s="1340">
        <v>23766</v>
      </c>
      <c r="F24" s="1340"/>
      <c r="G24" s="1340">
        <v>23766</v>
      </c>
      <c r="H24" s="1340"/>
      <c r="I24" s="1340"/>
      <c r="J24" s="1340"/>
      <c r="K24" s="1340"/>
      <c r="L24" s="1337">
        <f t="shared" si="0"/>
        <v>23766</v>
      </c>
      <c r="M24" s="1340" t="s">
        <v>2112</v>
      </c>
    </row>
    <row r="25" spans="2:14" ht="20.100000000000001" customHeight="1" x14ac:dyDescent="0.2">
      <c r="B25" s="1334" t="s">
        <v>2093</v>
      </c>
      <c r="C25" s="1338">
        <v>10.555</v>
      </c>
      <c r="D25" s="1339" t="s">
        <v>2103</v>
      </c>
      <c r="E25" s="1340"/>
      <c r="F25" s="1340">
        <v>21543</v>
      </c>
      <c r="G25" s="1340"/>
      <c r="H25" s="1340"/>
      <c r="I25" s="1340">
        <v>21543</v>
      </c>
      <c r="J25" s="1340"/>
      <c r="K25" s="1340"/>
      <c r="L25" s="1337">
        <f t="shared" si="0"/>
        <v>21543</v>
      </c>
      <c r="M25" s="1340" t="s">
        <v>2112</v>
      </c>
    </row>
    <row r="26" spans="2:14" ht="20.100000000000001" customHeight="1" x14ac:dyDescent="0.2">
      <c r="B26" s="1334" t="s">
        <v>2094</v>
      </c>
      <c r="C26" s="1338"/>
      <c r="D26" s="1339"/>
      <c r="E26" s="1340">
        <v>1821767</v>
      </c>
      <c r="F26" s="1340">
        <v>1867877</v>
      </c>
      <c r="G26" s="1340">
        <v>1821767</v>
      </c>
      <c r="H26" s="1340"/>
      <c r="I26" s="1340">
        <v>1867877</v>
      </c>
      <c r="J26" s="1340"/>
      <c r="K26" s="1340"/>
      <c r="L26" s="1337">
        <f t="shared" si="0"/>
        <v>3689644</v>
      </c>
      <c r="M26" s="1340"/>
    </row>
    <row r="27" spans="2:14" ht="20.100000000000001" customHeight="1" x14ac:dyDescent="0.2">
      <c r="B27" s="1334" t="s">
        <v>2095</v>
      </c>
      <c r="C27" s="1338"/>
      <c r="D27" s="1339"/>
      <c r="E27" s="1340">
        <v>1821767</v>
      </c>
      <c r="F27" s="1340">
        <v>1867877</v>
      </c>
      <c r="G27" s="1340">
        <v>1821767</v>
      </c>
      <c r="H27" s="1340"/>
      <c r="I27" s="1340">
        <v>1867877</v>
      </c>
      <c r="J27" s="1340"/>
      <c r="K27" s="1340"/>
      <c r="L27" s="1337">
        <f t="shared" si="0"/>
        <v>3689644</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8CFE2-6D90-451A-8807-B0ABD1C44847}">
  <sheetPr>
    <tabColor rgb="FF92D050"/>
    <pageSetUpPr fitToPage="1"/>
  </sheetPr>
  <dimension ref="B1:N152"/>
  <sheetViews>
    <sheetView showGridLines="0" topLeftCell="A4" zoomScaleNormal="100" workbookViewId="0">
      <selection activeCell="F18" sqref="F18:F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Freeport SD 145</v>
      </c>
      <c r="C1" s="2440"/>
      <c r="D1" s="2440"/>
      <c r="E1" s="2440"/>
      <c r="F1" s="2440"/>
      <c r="G1" s="2440"/>
      <c r="H1" s="2440"/>
      <c r="I1" s="2440"/>
      <c r="J1" s="2440"/>
      <c r="K1" s="2440"/>
      <c r="L1" s="2440"/>
      <c r="M1" s="2440"/>
    </row>
    <row r="2" spans="2:14" ht="15" x14ac:dyDescent="0.2">
      <c r="B2" s="2441">
        <f>'Single Audit Cover'!E7</f>
        <v>8089145022</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2104</v>
      </c>
      <c r="C11" s="1335"/>
      <c r="D11" s="1336"/>
      <c r="E11" s="1337"/>
      <c r="F11" s="1337"/>
      <c r="G11" s="1337"/>
      <c r="H11" s="1337"/>
      <c r="I11" s="1337"/>
      <c r="J11" s="1337"/>
      <c r="K11" s="1337"/>
      <c r="L11" s="1337">
        <f>+G11+I11+K11</f>
        <v>0</v>
      </c>
      <c r="M11" s="1337"/>
    </row>
    <row r="12" spans="2:14" ht="20.100000000000001" customHeight="1" x14ac:dyDescent="0.2">
      <c r="B12" s="1334" t="s">
        <v>2105</v>
      </c>
      <c r="C12" s="1338">
        <v>12.3</v>
      </c>
      <c r="D12" s="1339" t="s">
        <v>2118</v>
      </c>
      <c r="E12" s="1340">
        <v>74970</v>
      </c>
      <c r="F12" s="1340"/>
      <c r="G12" s="1340">
        <v>74970</v>
      </c>
      <c r="H12" s="1340"/>
      <c r="I12" s="1340"/>
      <c r="J12" s="1340"/>
      <c r="K12" s="1340"/>
      <c r="L12" s="1337">
        <f t="shared" ref="L12:L27" si="0">+G12+I12+K12</f>
        <v>74970</v>
      </c>
      <c r="M12" s="1340" t="s">
        <v>2112</v>
      </c>
    </row>
    <row r="13" spans="2:14" ht="20.100000000000001" customHeight="1" x14ac:dyDescent="0.2">
      <c r="B13" s="1334" t="s">
        <v>2105</v>
      </c>
      <c r="C13" s="1338">
        <v>12.3</v>
      </c>
      <c r="D13" s="1339" t="s">
        <v>2119</v>
      </c>
      <c r="E13" s="1340"/>
      <c r="F13" s="1340">
        <v>83465</v>
      </c>
      <c r="G13" s="1340"/>
      <c r="H13" s="1340"/>
      <c r="I13" s="1340">
        <v>83465</v>
      </c>
      <c r="J13" s="1340"/>
      <c r="K13" s="1340"/>
      <c r="L13" s="1337">
        <f t="shared" si="0"/>
        <v>83465</v>
      </c>
      <c r="M13" s="1340" t="s">
        <v>2112</v>
      </c>
    </row>
    <row r="14" spans="2:14" ht="20.100000000000001" customHeight="1" x14ac:dyDescent="0.2">
      <c r="B14" s="1334" t="s">
        <v>2106</v>
      </c>
      <c r="C14" s="1338"/>
      <c r="D14" s="1339"/>
      <c r="E14" s="1340">
        <v>74970</v>
      </c>
      <c r="F14" s="1340"/>
      <c r="G14" s="1340">
        <v>74970</v>
      </c>
      <c r="H14" s="1340"/>
      <c r="I14" s="1340"/>
      <c r="J14" s="1340"/>
      <c r="K14" s="1340"/>
      <c r="L14" s="1337">
        <f t="shared" si="0"/>
        <v>74970</v>
      </c>
      <c r="M14" s="1340"/>
    </row>
    <row r="15" spans="2:14" ht="20.100000000000001" customHeight="1" x14ac:dyDescent="0.2">
      <c r="B15" s="1334" t="s">
        <v>2107</v>
      </c>
      <c r="C15" s="1338"/>
      <c r="D15" s="1339"/>
      <c r="E15" s="1340"/>
      <c r="F15" s="1340"/>
      <c r="G15" s="1340"/>
      <c r="H15" s="1340"/>
      <c r="I15" s="1340"/>
      <c r="J15" s="1340"/>
      <c r="K15" s="1340"/>
      <c r="L15" s="1337">
        <f t="shared" si="0"/>
        <v>0</v>
      </c>
      <c r="M15" s="1340"/>
    </row>
    <row r="16" spans="2:14" ht="20.100000000000001" customHeight="1" x14ac:dyDescent="0.2">
      <c r="B16" s="1334" t="s">
        <v>2108</v>
      </c>
      <c r="C16" s="1338"/>
      <c r="D16" s="1339"/>
      <c r="E16" s="1340"/>
      <c r="F16" s="1340"/>
      <c r="G16" s="1340"/>
      <c r="H16" s="1340"/>
      <c r="I16" s="1340"/>
      <c r="J16" s="1340"/>
      <c r="K16" s="1340"/>
      <c r="L16" s="1337">
        <f t="shared" si="0"/>
        <v>0</v>
      </c>
      <c r="M16" s="1340"/>
    </row>
    <row r="17" spans="2:14" ht="20.100000000000001" customHeight="1" x14ac:dyDescent="0.2">
      <c r="B17" s="1334" t="s">
        <v>2113</v>
      </c>
      <c r="C17" s="1338" t="s">
        <v>2110</v>
      </c>
      <c r="D17" s="1339" t="s">
        <v>2120</v>
      </c>
      <c r="E17" s="1340">
        <v>491711</v>
      </c>
      <c r="F17" s="1340"/>
      <c r="G17" s="1340">
        <v>491711</v>
      </c>
      <c r="H17" s="1340"/>
      <c r="I17" s="1340"/>
      <c r="J17" s="1340"/>
      <c r="K17" s="1340"/>
      <c r="L17" s="1337">
        <f t="shared" si="0"/>
        <v>491711</v>
      </c>
      <c r="M17" s="1340"/>
    </row>
    <row r="18" spans="2:14" ht="20.100000000000001" customHeight="1" x14ac:dyDescent="0.2">
      <c r="B18" s="1334" t="s">
        <v>2113</v>
      </c>
      <c r="C18" s="1338" t="s">
        <v>2110</v>
      </c>
      <c r="D18" s="1339" t="s">
        <v>2121</v>
      </c>
      <c r="E18" s="1340">
        <v>1506567</v>
      </c>
      <c r="F18" s="1340">
        <v>241663</v>
      </c>
      <c r="G18" s="1340">
        <v>1428032</v>
      </c>
      <c r="H18" s="1340"/>
      <c r="I18" s="1340">
        <v>320198</v>
      </c>
      <c r="J18" s="1340"/>
      <c r="K18" s="1340"/>
      <c r="L18" s="1337">
        <f t="shared" si="0"/>
        <v>1748230</v>
      </c>
      <c r="M18" s="1340">
        <v>1790251</v>
      </c>
    </row>
    <row r="19" spans="2:14" ht="20.100000000000001" customHeight="1" x14ac:dyDescent="0.2">
      <c r="B19" s="1334" t="s">
        <v>2113</v>
      </c>
      <c r="C19" s="1338" t="s">
        <v>2110</v>
      </c>
      <c r="D19" s="1339" t="s">
        <v>2122</v>
      </c>
      <c r="E19" s="1340"/>
      <c r="F19" s="1340">
        <v>1589322</v>
      </c>
      <c r="G19" s="1340"/>
      <c r="H19" s="1340"/>
      <c r="I19" s="1340">
        <v>1529552</v>
      </c>
      <c r="J19" s="1340"/>
      <c r="K19" s="1340">
        <v>126954</v>
      </c>
      <c r="L19" s="1337">
        <f t="shared" si="0"/>
        <v>1656506</v>
      </c>
      <c r="M19" s="1340">
        <v>2024998</v>
      </c>
    </row>
    <row r="20" spans="2:14" ht="20.100000000000001" customHeight="1" x14ac:dyDescent="0.2">
      <c r="B20" s="1334" t="s">
        <v>2114</v>
      </c>
      <c r="C20" s="1338" t="s">
        <v>2110</v>
      </c>
      <c r="D20" s="1339" t="s">
        <v>2123</v>
      </c>
      <c r="E20" s="1340"/>
      <c r="F20" s="1340">
        <v>127031</v>
      </c>
      <c r="G20" s="1340"/>
      <c r="H20" s="1340"/>
      <c r="I20" s="1340">
        <v>127031</v>
      </c>
      <c r="J20" s="1340"/>
      <c r="K20" s="1340">
        <v>2877</v>
      </c>
      <c r="L20" s="1337">
        <f t="shared" si="0"/>
        <v>129908</v>
      </c>
      <c r="M20" s="1340">
        <v>521231</v>
      </c>
    </row>
    <row r="21" spans="2:14" ht="20.100000000000001" customHeight="1" x14ac:dyDescent="0.2">
      <c r="B21" s="1334" t="s">
        <v>2115</v>
      </c>
      <c r="C21" s="1338"/>
      <c r="D21" s="1339"/>
      <c r="E21" s="1340">
        <v>1998278</v>
      </c>
      <c r="F21" s="1340">
        <v>1958016</v>
      </c>
      <c r="G21" s="1340">
        <v>1919743</v>
      </c>
      <c r="H21" s="1340"/>
      <c r="I21" s="1340">
        <v>1976781</v>
      </c>
      <c r="J21" s="1340"/>
      <c r="K21" s="1340"/>
      <c r="L21" s="1337">
        <f t="shared" si="0"/>
        <v>3896524</v>
      </c>
      <c r="M21" s="1340"/>
    </row>
    <row r="22" spans="2:14" ht="20.100000000000001" customHeight="1" x14ac:dyDescent="0.2">
      <c r="B22" s="1334" t="s">
        <v>2109</v>
      </c>
      <c r="C22" s="1338" t="s">
        <v>2117</v>
      </c>
      <c r="D22" s="1339" t="s">
        <v>2124</v>
      </c>
      <c r="E22" s="1340">
        <v>1601</v>
      </c>
      <c r="F22" s="1340"/>
      <c r="G22" s="1340">
        <v>1601</v>
      </c>
      <c r="H22" s="1340"/>
      <c r="I22" s="1340"/>
      <c r="J22" s="1340"/>
      <c r="K22" s="1340"/>
      <c r="L22" s="1337">
        <f t="shared" si="0"/>
        <v>1601</v>
      </c>
      <c r="M22" s="1340"/>
    </row>
    <row r="23" spans="2:14" ht="20.100000000000001" customHeight="1" x14ac:dyDescent="0.2">
      <c r="B23" s="1334" t="s">
        <v>2109</v>
      </c>
      <c r="C23" s="1338" t="s">
        <v>2117</v>
      </c>
      <c r="D23" s="1339" t="s">
        <v>2125</v>
      </c>
      <c r="E23" s="1340">
        <v>191483</v>
      </c>
      <c r="F23" s="1340">
        <v>13298</v>
      </c>
      <c r="G23" s="1340">
        <v>172915</v>
      </c>
      <c r="H23" s="1340"/>
      <c r="I23" s="1340">
        <v>31866</v>
      </c>
      <c r="J23" s="1340"/>
      <c r="K23" s="1340"/>
      <c r="L23" s="1337">
        <f t="shared" si="0"/>
        <v>204781</v>
      </c>
      <c r="M23" s="1340">
        <v>243224</v>
      </c>
    </row>
    <row r="24" spans="2:14" ht="20.100000000000001" customHeight="1" x14ac:dyDescent="0.2">
      <c r="B24" s="1334" t="s">
        <v>2109</v>
      </c>
      <c r="C24" s="1338" t="s">
        <v>2117</v>
      </c>
      <c r="D24" s="1339" t="s">
        <v>2126</v>
      </c>
      <c r="E24" s="1340"/>
      <c r="F24" s="1340">
        <v>224579</v>
      </c>
      <c r="G24" s="1340"/>
      <c r="H24" s="1340"/>
      <c r="I24" s="1340">
        <v>210058</v>
      </c>
      <c r="J24" s="1340"/>
      <c r="K24" s="1340">
        <v>15031</v>
      </c>
      <c r="L24" s="1337">
        <f t="shared" si="0"/>
        <v>225089</v>
      </c>
      <c r="M24" s="1340">
        <v>281633</v>
      </c>
    </row>
    <row r="25" spans="2:14" ht="20.100000000000001" customHeight="1" x14ac:dyDescent="0.2">
      <c r="B25" s="1334" t="s">
        <v>2116</v>
      </c>
      <c r="C25" s="1338"/>
      <c r="D25" s="1339"/>
      <c r="E25" s="1340">
        <v>193084</v>
      </c>
      <c r="F25" s="1340">
        <v>237877</v>
      </c>
      <c r="G25" s="1340">
        <v>174516</v>
      </c>
      <c r="H25" s="1340"/>
      <c r="I25" s="1340">
        <v>241924</v>
      </c>
      <c r="J25" s="1340"/>
      <c r="K25" s="1340"/>
      <c r="L25" s="1337">
        <f t="shared" si="0"/>
        <v>416440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1" colorId="8" zoomScale="110" zoomScaleNormal="110" workbookViewId="0">
      <selection activeCell="D131" sqref="D1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2070</v>
      </c>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2218</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v>125022</v>
      </c>
      <c r="H88" s="276"/>
      <c r="I88" s="276"/>
      <c r="J88" s="277">
        <f>SUM(E88:I88)</f>
        <v>125022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125023</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2062</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t="s">
        <v>2224</v>
      </c>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DA05D-B58A-499B-9B63-EF0BB4834B61}">
  <sheetPr>
    <tabColor rgb="FF92D050"/>
    <pageSetUpPr fitToPage="1"/>
  </sheetPr>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Freeport SD 145</v>
      </c>
      <c r="C1" s="2440"/>
      <c r="D1" s="2440"/>
      <c r="E1" s="2440"/>
      <c r="F1" s="2440"/>
      <c r="G1" s="2440"/>
      <c r="H1" s="2440"/>
      <c r="I1" s="2440"/>
      <c r="J1" s="2440"/>
      <c r="K1" s="2440"/>
      <c r="L1" s="2440"/>
      <c r="M1" s="2440"/>
    </row>
    <row r="2" spans="2:14" ht="15" x14ac:dyDescent="0.2">
      <c r="B2" s="2441">
        <f>'Single Audit Cover'!E7</f>
        <v>8089145022</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2127</v>
      </c>
      <c r="C11" s="1335"/>
      <c r="D11" s="1336"/>
      <c r="E11" s="1337"/>
      <c r="F11" s="1337"/>
      <c r="G11" s="1337"/>
      <c r="H11" s="1337"/>
      <c r="I11" s="1337"/>
      <c r="J11" s="1337"/>
      <c r="K11" s="1337"/>
      <c r="L11" s="1337">
        <f>+G11+I11+K11</f>
        <v>0</v>
      </c>
      <c r="M11" s="1337"/>
    </row>
    <row r="12" spans="2:14" ht="20.100000000000001" customHeight="1" x14ac:dyDescent="0.2">
      <c r="B12" s="1334" t="s">
        <v>2128</v>
      </c>
      <c r="C12" s="1338"/>
      <c r="D12" s="1339"/>
      <c r="E12" s="1340"/>
      <c r="F12" s="1340"/>
      <c r="G12" s="1340"/>
      <c r="H12" s="1340"/>
      <c r="I12" s="1340"/>
      <c r="J12" s="1340"/>
      <c r="K12" s="1340"/>
      <c r="L12" s="1337">
        <f t="shared" ref="L12:L27" si="0">+G12+I12+K12</f>
        <v>0</v>
      </c>
      <c r="M12" s="1340"/>
    </row>
    <row r="13" spans="2:14" ht="20.100000000000001" customHeight="1" x14ac:dyDescent="0.2">
      <c r="B13" s="1334" t="s">
        <v>2129</v>
      </c>
      <c r="C13" s="1338" t="s">
        <v>2130</v>
      </c>
      <c r="D13" s="1339" t="s">
        <v>2131</v>
      </c>
      <c r="E13" s="1340"/>
      <c r="F13" s="1340">
        <v>127825</v>
      </c>
      <c r="G13" s="1340"/>
      <c r="H13" s="1340"/>
      <c r="I13" s="1340">
        <v>127825</v>
      </c>
      <c r="J13" s="1340"/>
      <c r="K13" s="1340">
        <v>8220</v>
      </c>
      <c r="L13" s="1337">
        <f t="shared" si="0"/>
        <v>136045</v>
      </c>
      <c r="M13" s="1340">
        <v>139196</v>
      </c>
    </row>
    <row r="14" spans="2:14" ht="20.100000000000001" customHeight="1" x14ac:dyDescent="0.2">
      <c r="B14" s="1334" t="s">
        <v>2132</v>
      </c>
      <c r="C14" s="1338" t="s">
        <v>2133</v>
      </c>
      <c r="D14" s="1339" t="s">
        <v>2134</v>
      </c>
      <c r="E14" s="1340">
        <v>6914</v>
      </c>
      <c r="F14" s="1340">
        <v>7401</v>
      </c>
      <c r="G14" s="1340">
        <v>6914</v>
      </c>
      <c r="H14" s="1340"/>
      <c r="I14" s="1340">
        <v>7401</v>
      </c>
      <c r="J14" s="1340"/>
      <c r="K14" s="1340"/>
      <c r="L14" s="1337">
        <f t="shared" si="0"/>
        <v>14315</v>
      </c>
      <c r="M14" s="1340">
        <v>23892</v>
      </c>
    </row>
    <row r="15" spans="2:14" ht="20.100000000000001" customHeight="1" x14ac:dyDescent="0.2">
      <c r="B15" s="1334" t="s">
        <v>2132</v>
      </c>
      <c r="C15" s="1338" t="s">
        <v>2133</v>
      </c>
      <c r="D15" s="1339" t="s">
        <v>2138</v>
      </c>
      <c r="E15" s="1340"/>
      <c r="F15" s="1340">
        <v>11786</v>
      </c>
      <c r="G15" s="1340"/>
      <c r="H15" s="1340"/>
      <c r="I15" s="1340">
        <v>11786</v>
      </c>
      <c r="J15" s="1340"/>
      <c r="K15" s="1340">
        <v>3921</v>
      </c>
      <c r="L15" s="1337">
        <f t="shared" si="0"/>
        <v>15707</v>
      </c>
      <c r="M15" s="1340">
        <v>27177</v>
      </c>
    </row>
    <row r="16" spans="2:14" ht="20.100000000000001" customHeight="1" x14ac:dyDescent="0.2">
      <c r="B16" s="1334" t="s">
        <v>2135</v>
      </c>
      <c r="C16" s="1338" t="s">
        <v>2133</v>
      </c>
      <c r="D16" s="1339" t="s">
        <v>2136</v>
      </c>
      <c r="E16" s="1340"/>
      <c r="F16" s="1340">
        <v>1207</v>
      </c>
      <c r="G16" s="1340"/>
      <c r="H16" s="1340"/>
      <c r="I16" s="1340">
        <v>1207</v>
      </c>
      <c r="J16" s="1340"/>
      <c r="K16" s="1340"/>
      <c r="L16" s="1337">
        <f t="shared" si="0"/>
        <v>1207</v>
      </c>
      <c r="M16" s="1340">
        <v>3074</v>
      </c>
    </row>
    <row r="17" spans="2:14" ht="20.100000000000001" customHeight="1" x14ac:dyDescent="0.2">
      <c r="B17" s="1334" t="s">
        <v>2135</v>
      </c>
      <c r="C17" s="1338" t="s">
        <v>2133</v>
      </c>
      <c r="D17" s="1339" t="s">
        <v>2137</v>
      </c>
      <c r="E17" s="1340"/>
      <c r="F17" s="1340">
        <v>195</v>
      </c>
      <c r="G17" s="1340"/>
      <c r="H17" s="1340"/>
      <c r="I17" s="1340">
        <v>195</v>
      </c>
      <c r="J17" s="1340"/>
      <c r="K17" s="1340">
        <v>4200</v>
      </c>
      <c r="L17" s="1337">
        <f t="shared" si="0"/>
        <v>4395</v>
      </c>
      <c r="M17" s="1340">
        <v>6067</v>
      </c>
    </row>
    <row r="18" spans="2:14" ht="20.100000000000001" customHeight="1" x14ac:dyDescent="0.2">
      <c r="B18" s="1334" t="s">
        <v>2139</v>
      </c>
      <c r="C18" s="1338" t="s">
        <v>2141</v>
      </c>
      <c r="D18" s="1339" t="s">
        <v>2142</v>
      </c>
      <c r="E18" s="1340">
        <v>13005</v>
      </c>
      <c r="F18" s="1340"/>
      <c r="G18" s="1340">
        <v>13005</v>
      </c>
      <c r="H18" s="1340"/>
      <c r="I18" s="1340"/>
      <c r="J18" s="1340"/>
      <c r="K18" s="1340"/>
      <c r="L18" s="1337">
        <f t="shared" si="0"/>
        <v>13005</v>
      </c>
      <c r="M18" s="1340" t="s">
        <v>2112</v>
      </c>
    </row>
    <row r="19" spans="2:14" ht="20.100000000000001" customHeight="1" x14ac:dyDescent="0.2">
      <c r="B19" s="1334" t="s">
        <v>2139</v>
      </c>
      <c r="C19" s="1338" t="s">
        <v>2141</v>
      </c>
      <c r="D19" s="1339" t="s">
        <v>2143</v>
      </c>
      <c r="E19" s="1340">
        <v>84438</v>
      </c>
      <c r="F19" s="1340">
        <v>86880</v>
      </c>
      <c r="G19" s="1340">
        <v>84438</v>
      </c>
      <c r="H19" s="1340"/>
      <c r="I19" s="1340">
        <v>86880</v>
      </c>
      <c r="J19" s="1340"/>
      <c r="K19" s="1340"/>
      <c r="L19" s="1337">
        <f t="shared" si="0"/>
        <v>171318</v>
      </c>
      <c r="M19" s="1340" t="s">
        <v>2112</v>
      </c>
    </row>
    <row r="20" spans="2:14" ht="20.100000000000001" customHeight="1" x14ac:dyDescent="0.2">
      <c r="B20" s="1334" t="s">
        <v>2139</v>
      </c>
      <c r="C20" s="1338" t="s">
        <v>2141</v>
      </c>
      <c r="D20" s="1339" t="s">
        <v>2144</v>
      </c>
      <c r="E20" s="1340"/>
      <c r="F20" s="1340">
        <v>112179</v>
      </c>
      <c r="G20" s="1340"/>
      <c r="H20" s="1340"/>
      <c r="I20" s="1340">
        <v>112179</v>
      </c>
      <c r="J20" s="1340"/>
      <c r="K20" s="1340"/>
      <c r="L20" s="1337">
        <f t="shared" si="0"/>
        <v>112179</v>
      </c>
      <c r="M20" s="1340" t="s">
        <v>2112</v>
      </c>
    </row>
    <row r="21" spans="2:14" ht="20.100000000000001" customHeight="1" x14ac:dyDescent="0.2">
      <c r="B21" s="1334" t="s">
        <v>2140</v>
      </c>
      <c r="C21" s="1338" t="s">
        <v>2145</v>
      </c>
      <c r="D21" s="1339" t="s">
        <v>2146</v>
      </c>
      <c r="E21" s="1340">
        <v>32497</v>
      </c>
      <c r="F21" s="1340"/>
      <c r="G21" s="1340">
        <v>31219</v>
      </c>
      <c r="H21" s="1340"/>
      <c r="I21" s="1340">
        <v>1278</v>
      </c>
      <c r="J21" s="1340"/>
      <c r="K21" s="1340"/>
      <c r="L21" s="1337">
        <f t="shared" si="0"/>
        <v>32497</v>
      </c>
      <c r="M21" s="1340">
        <v>46820</v>
      </c>
    </row>
    <row r="22" spans="2:14" ht="20.100000000000001" customHeight="1" x14ac:dyDescent="0.2">
      <c r="B22" s="1334" t="s">
        <v>2140</v>
      </c>
      <c r="C22" s="1338" t="s">
        <v>2145</v>
      </c>
      <c r="D22" s="1339" t="s">
        <v>2147</v>
      </c>
      <c r="E22" s="1340"/>
      <c r="F22" s="1340">
        <v>43884</v>
      </c>
      <c r="G22" s="1340"/>
      <c r="H22" s="1340"/>
      <c r="I22" s="1340">
        <v>43704</v>
      </c>
      <c r="J22" s="1340"/>
      <c r="K22" s="1340">
        <v>180</v>
      </c>
      <c r="L22" s="1337">
        <f t="shared" si="0"/>
        <v>43884</v>
      </c>
      <c r="M22" s="1340">
        <v>53650</v>
      </c>
    </row>
    <row r="23" spans="2:14" ht="20.100000000000001" customHeight="1" x14ac:dyDescent="0.2">
      <c r="B23" s="1334" t="s">
        <v>2148</v>
      </c>
      <c r="C23" s="1338" t="s">
        <v>2141</v>
      </c>
      <c r="D23" s="1339" t="s">
        <v>2149</v>
      </c>
      <c r="E23" s="1340">
        <v>1111620</v>
      </c>
      <c r="F23" s="1340"/>
      <c r="G23" s="1340">
        <v>1105055</v>
      </c>
      <c r="H23" s="1340"/>
      <c r="I23" s="1340">
        <v>6565</v>
      </c>
      <c r="J23" s="1340"/>
      <c r="K23" s="1340"/>
      <c r="L23" s="1337">
        <f t="shared" si="0"/>
        <v>1111620</v>
      </c>
      <c r="M23" s="1340">
        <v>1259451</v>
      </c>
    </row>
    <row r="24" spans="2:14" ht="20.100000000000001" customHeight="1" x14ac:dyDescent="0.2">
      <c r="B24" s="1334" t="s">
        <v>2148</v>
      </c>
      <c r="C24" s="1338" t="s">
        <v>2141</v>
      </c>
      <c r="D24" s="1339" t="s">
        <v>2150</v>
      </c>
      <c r="E24" s="1340"/>
      <c r="F24" s="1340">
        <v>1121770</v>
      </c>
      <c r="G24" s="1340"/>
      <c r="H24" s="1340"/>
      <c r="I24" s="1340">
        <v>1120623</v>
      </c>
      <c r="J24" s="1340"/>
      <c r="K24" s="1340">
        <v>1147</v>
      </c>
      <c r="L24" s="1337">
        <f t="shared" si="0"/>
        <v>1121770</v>
      </c>
      <c r="M24" s="1340">
        <v>1215986</v>
      </c>
    </row>
    <row r="25" spans="2:14" ht="20.100000000000001" customHeight="1" x14ac:dyDescent="0.2">
      <c r="B25" s="1334" t="s">
        <v>2151</v>
      </c>
      <c r="C25" s="1338"/>
      <c r="D25" s="1339"/>
      <c r="E25" s="1340">
        <v>1241560</v>
      </c>
      <c r="F25" s="1340">
        <v>1364713</v>
      </c>
      <c r="G25" s="1340">
        <v>1233717</v>
      </c>
      <c r="H25" s="1340"/>
      <c r="I25" s="1340">
        <v>1371229</v>
      </c>
      <c r="J25" s="1340"/>
      <c r="K25" s="1340"/>
      <c r="L25" s="1337">
        <f t="shared" si="0"/>
        <v>2604946</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02BB-D7D4-4E62-91EB-A027A0298683}">
  <sheetPr>
    <tabColor rgb="FF92D050"/>
    <pageSetUpPr fitToPage="1"/>
  </sheetPr>
  <dimension ref="B1:N152"/>
  <sheetViews>
    <sheetView showGridLines="0" topLeftCell="A7"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Freeport SD 145</v>
      </c>
      <c r="C1" s="2440"/>
      <c r="D1" s="2440"/>
      <c r="E1" s="2440"/>
      <c r="F1" s="2440"/>
      <c r="G1" s="2440"/>
      <c r="H1" s="2440"/>
      <c r="I1" s="2440"/>
      <c r="J1" s="2440"/>
      <c r="K1" s="2440"/>
      <c r="L1" s="2440"/>
      <c r="M1" s="2440"/>
    </row>
    <row r="2" spans="2:14" ht="15" x14ac:dyDescent="0.2">
      <c r="B2" s="2441">
        <f>'Single Audit Cover'!E7</f>
        <v>8089145022</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2107</v>
      </c>
      <c r="C11" s="1335"/>
      <c r="D11" s="1336"/>
      <c r="E11" s="1337"/>
      <c r="F11" s="1337"/>
      <c r="G11" s="1337"/>
      <c r="H11" s="1337"/>
      <c r="I11" s="1337"/>
      <c r="J11" s="1337"/>
      <c r="K11" s="1337"/>
      <c r="L11" s="1337">
        <f>+G11+I11+K11</f>
        <v>0</v>
      </c>
      <c r="M11" s="1337"/>
    </row>
    <row r="12" spans="2:14" ht="20.100000000000001" customHeight="1" x14ac:dyDescent="0.2">
      <c r="B12" s="1334" t="s">
        <v>2152</v>
      </c>
      <c r="C12" s="1338"/>
      <c r="D12" s="1339"/>
      <c r="E12" s="1340"/>
      <c r="F12" s="1340"/>
      <c r="G12" s="1340"/>
      <c r="H12" s="1340"/>
      <c r="I12" s="1340"/>
      <c r="J12" s="1340"/>
      <c r="K12" s="1340"/>
      <c r="L12" s="1337">
        <f t="shared" ref="L12:L27" si="0">+G12+I12+K12</f>
        <v>0</v>
      </c>
      <c r="M12" s="1340"/>
    </row>
    <row r="13" spans="2:14" ht="20.100000000000001" customHeight="1" x14ac:dyDescent="0.2">
      <c r="B13" s="1334" t="s">
        <v>2155</v>
      </c>
      <c r="C13" s="1338" t="s">
        <v>2153</v>
      </c>
      <c r="D13" s="1339" t="s">
        <v>2154</v>
      </c>
      <c r="E13" s="1340">
        <v>2131</v>
      </c>
      <c r="F13" s="1340"/>
      <c r="G13" s="1340">
        <v>211</v>
      </c>
      <c r="H13" s="1340"/>
      <c r="I13" s="1340">
        <v>1920</v>
      </c>
      <c r="J13" s="1340"/>
      <c r="K13" s="1340"/>
      <c r="L13" s="1337">
        <f t="shared" si="0"/>
        <v>2131</v>
      </c>
      <c r="M13" s="1340" t="s">
        <v>2112</v>
      </c>
    </row>
    <row r="14" spans="2:14" ht="20.100000000000001" customHeight="1" x14ac:dyDescent="0.2">
      <c r="B14" s="1334" t="s">
        <v>2155</v>
      </c>
      <c r="C14" s="1338" t="s">
        <v>2153</v>
      </c>
      <c r="D14" s="1339" t="s">
        <v>2156</v>
      </c>
      <c r="E14" s="1340"/>
      <c r="F14" s="1340">
        <v>2800</v>
      </c>
      <c r="G14" s="1340"/>
      <c r="H14" s="1340"/>
      <c r="I14" s="1340">
        <v>2800</v>
      </c>
      <c r="J14" s="1340"/>
      <c r="K14" s="1340"/>
      <c r="L14" s="1337">
        <f t="shared" si="0"/>
        <v>2800</v>
      </c>
      <c r="M14" s="1340" t="s">
        <v>2112</v>
      </c>
    </row>
    <row r="15" spans="2:14" ht="20.100000000000001" customHeight="1" x14ac:dyDescent="0.2">
      <c r="B15" s="1334" t="s">
        <v>2157</v>
      </c>
      <c r="C15" s="1338"/>
      <c r="D15" s="1339"/>
      <c r="E15" s="1340"/>
      <c r="F15" s="1340"/>
      <c r="G15" s="1340"/>
      <c r="H15" s="1340"/>
      <c r="I15" s="1340"/>
      <c r="J15" s="1340"/>
      <c r="K15" s="1340"/>
      <c r="L15" s="1337">
        <f t="shared" si="0"/>
        <v>0</v>
      </c>
      <c r="M15" s="1340"/>
    </row>
    <row r="16" spans="2:14" ht="20.100000000000001" customHeight="1" x14ac:dyDescent="0.2">
      <c r="B16" s="1334" t="s">
        <v>2158</v>
      </c>
      <c r="C16" s="1338">
        <v>84.126000000000005</v>
      </c>
      <c r="D16" s="1339" t="s">
        <v>2159</v>
      </c>
      <c r="E16" s="1340">
        <v>26545</v>
      </c>
      <c r="F16" s="1340"/>
      <c r="G16" s="1340">
        <v>26545</v>
      </c>
      <c r="H16" s="1340"/>
      <c r="I16" s="1340"/>
      <c r="J16" s="1340"/>
      <c r="K16" s="1340"/>
      <c r="L16" s="1337">
        <f t="shared" si="0"/>
        <v>26545</v>
      </c>
      <c r="M16" s="1340" t="s">
        <v>2112</v>
      </c>
    </row>
    <row r="17" spans="2:14" ht="20.100000000000001" customHeight="1" x14ac:dyDescent="0.2">
      <c r="B17" s="1334" t="s">
        <v>2158</v>
      </c>
      <c r="C17" s="1338">
        <v>84.126000000000005</v>
      </c>
      <c r="D17" s="1339" t="s">
        <v>2160</v>
      </c>
      <c r="E17" s="1340"/>
      <c r="F17" s="1340">
        <v>30970</v>
      </c>
      <c r="G17" s="1340"/>
      <c r="H17" s="1340"/>
      <c r="I17" s="1340">
        <v>30970</v>
      </c>
      <c r="J17" s="1340"/>
      <c r="K17" s="1340"/>
      <c r="L17" s="1337">
        <f t="shared" si="0"/>
        <v>30970</v>
      </c>
      <c r="M17" s="1340" t="s">
        <v>2112</v>
      </c>
    </row>
    <row r="18" spans="2:14" ht="20.100000000000001" customHeight="1" x14ac:dyDescent="0.2">
      <c r="B18" s="1334" t="s">
        <v>2161</v>
      </c>
      <c r="C18" s="1338"/>
      <c r="D18" s="1339"/>
      <c r="E18" s="1340">
        <v>3468512</v>
      </c>
      <c r="F18" s="1340">
        <v>3744595</v>
      </c>
      <c r="G18" s="1340">
        <v>3361646</v>
      </c>
      <c r="H18" s="1340"/>
      <c r="I18" s="1340">
        <v>3776038</v>
      </c>
      <c r="J18" s="1340"/>
      <c r="K18" s="1340"/>
      <c r="L18" s="1337">
        <f t="shared" si="0"/>
        <v>7137684</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2162</v>
      </c>
      <c r="C20" s="1338"/>
      <c r="D20" s="1339"/>
      <c r="E20" s="1340"/>
      <c r="F20" s="1340"/>
      <c r="G20" s="1340"/>
      <c r="H20" s="1340"/>
      <c r="I20" s="1340"/>
      <c r="J20" s="1340"/>
      <c r="K20" s="1340"/>
      <c r="L20" s="1337">
        <f t="shared" si="0"/>
        <v>0</v>
      </c>
      <c r="M20" s="1340"/>
    </row>
    <row r="21" spans="2:14" ht="20.100000000000001" customHeight="1" x14ac:dyDescent="0.2">
      <c r="B21" s="1334" t="s">
        <v>2163</v>
      </c>
      <c r="C21" s="1338"/>
      <c r="D21" s="1339"/>
      <c r="E21" s="1340"/>
      <c r="F21" s="1340"/>
      <c r="G21" s="1340"/>
      <c r="H21" s="1340"/>
      <c r="I21" s="1340"/>
      <c r="J21" s="1340"/>
      <c r="K21" s="1340"/>
      <c r="L21" s="1337">
        <f t="shared" si="0"/>
        <v>0</v>
      </c>
      <c r="M21" s="1340"/>
    </row>
    <row r="22" spans="2:14" ht="20.100000000000001" customHeight="1" x14ac:dyDescent="0.2">
      <c r="B22" s="1334" t="s">
        <v>2164</v>
      </c>
      <c r="C22" s="1338"/>
      <c r="D22" s="1339"/>
      <c r="E22" s="1340"/>
      <c r="F22" s="1340"/>
      <c r="G22" s="1340"/>
      <c r="H22" s="1340"/>
      <c r="I22" s="1340"/>
      <c r="J22" s="1340"/>
      <c r="K22" s="1340"/>
      <c r="L22" s="1337">
        <f t="shared" si="0"/>
        <v>0</v>
      </c>
      <c r="M22" s="1340"/>
    </row>
    <row r="23" spans="2:14" ht="20.100000000000001" customHeight="1" x14ac:dyDescent="0.2">
      <c r="B23" s="1334" t="s">
        <v>2165</v>
      </c>
      <c r="C23" s="1338"/>
      <c r="D23" s="1339"/>
      <c r="E23" s="1340"/>
      <c r="F23" s="1340"/>
      <c r="G23" s="1340"/>
      <c r="H23" s="1340"/>
      <c r="I23" s="1340"/>
      <c r="J23" s="1340"/>
      <c r="K23" s="1340"/>
      <c r="L23" s="1337">
        <f t="shared" si="0"/>
        <v>0</v>
      </c>
      <c r="M23" s="1340"/>
    </row>
    <row r="24" spans="2:14" ht="20.100000000000001" customHeight="1" x14ac:dyDescent="0.2">
      <c r="B24" s="1334" t="s">
        <v>2166</v>
      </c>
      <c r="C24" s="1338">
        <v>93.778000000000006</v>
      </c>
      <c r="D24" s="1339" t="s">
        <v>2169</v>
      </c>
      <c r="E24" s="1340">
        <v>100302</v>
      </c>
      <c r="F24" s="1340"/>
      <c r="G24" s="1340">
        <v>100302</v>
      </c>
      <c r="H24" s="1340"/>
      <c r="I24" s="1340"/>
      <c r="J24" s="1340"/>
      <c r="K24" s="1340"/>
      <c r="L24" s="1337">
        <f t="shared" si="0"/>
        <v>100302</v>
      </c>
      <c r="M24" s="1340" t="s">
        <v>2112</v>
      </c>
    </row>
    <row r="25" spans="2:14" ht="20.100000000000001" customHeight="1" x14ac:dyDescent="0.2">
      <c r="B25" s="1334" t="s">
        <v>2166</v>
      </c>
      <c r="C25" s="1338">
        <v>93.778000000000006</v>
      </c>
      <c r="D25" s="1339" t="s">
        <v>2170</v>
      </c>
      <c r="E25" s="1340"/>
      <c r="F25" s="1340">
        <v>106838</v>
      </c>
      <c r="G25" s="1340"/>
      <c r="H25" s="1340"/>
      <c r="I25" s="1340">
        <v>106838</v>
      </c>
      <c r="J25" s="1340"/>
      <c r="K25" s="1340"/>
      <c r="L25" s="1337">
        <f t="shared" si="0"/>
        <v>106838</v>
      </c>
      <c r="M25" s="1340" t="s">
        <v>2112</v>
      </c>
    </row>
    <row r="26" spans="2:14" ht="20.100000000000001" customHeight="1" x14ac:dyDescent="0.2">
      <c r="B26" s="1334" t="s">
        <v>2167</v>
      </c>
      <c r="C26" s="1338"/>
      <c r="D26" s="1339"/>
      <c r="E26" s="1340">
        <v>100302</v>
      </c>
      <c r="F26" s="1340">
        <v>106838</v>
      </c>
      <c r="G26" s="1340">
        <v>100302</v>
      </c>
      <c r="H26" s="1340"/>
      <c r="I26" s="1340">
        <v>106838</v>
      </c>
      <c r="J26" s="1340"/>
      <c r="K26" s="1340"/>
      <c r="L26" s="1337">
        <f t="shared" si="0"/>
        <v>207140</v>
      </c>
      <c r="M26" s="1340"/>
    </row>
    <row r="27" spans="2:14" ht="20.100000000000001" customHeight="1" x14ac:dyDescent="0.2">
      <c r="B27" s="1334" t="s">
        <v>2168</v>
      </c>
      <c r="C27" s="1338"/>
      <c r="D27" s="1339"/>
      <c r="E27" s="1340">
        <v>5465551</v>
      </c>
      <c r="F27" s="1340">
        <v>5800970</v>
      </c>
      <c r="G27" s="1340">
        <v>5358685</v>
      </c>
      <c r="H27" s="1340"/>
      <c r="I27" s="1340">
        <v>5832218</v>
      </c>
      <c r="J27" s="1340"/>
      <c r="K27" s="1340"/>
      <c r="L27" s="1337">
        <f t="shared" si="0"/>
        <v>11190903</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2"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Freeport SD 145</v>
      </c>
      <c r="B1" s="2453"/>
      <c r="C1" s="2453"/>
      <c r="D1" s="2453"/>
      <c r="E1" s="2453"/>
      <c r="F1" s="2453"/>
    </row>
    <row r="2" spans="1:7" ht="13.5" customHeight="1" x14ac:dyDescent="0.2">
      <c r="A2" s="2441">
        <f>'Single Audit Cover'!E7</f>
        <v>8089145022</v>
      </c>
      <c r="B2" s="2441"/>
      <c r="C2" s="2441"/>
      <c r="D2" s="2441"/>
      <c r="E2" s="2441"/>
      <c r="F2" s="2441"/>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1728</v>
      </c>
      <c r="C6" s="317"/>
      <c r="D6" s="317"/>
    </row>
    <row r="7" spans="1:7" ht="60.95" customHeight="1" x14ac:dyDescent="0.2">
      <c r="A7" s="2452" t="s">
        <v>2171</v>
      </c>
      <c r="B7" s="2452"/>
      <c r="C7" s="2452"/>
      <c r="D7" s="2452"/>
      <c r="E7" s="2452"/>
      <c r="F7" s="245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2" t="s">
        <v>1730</v>
      </c>
      <c r="B13" s="2452"/>
      <c r="C13" s="2452"/>
      <c r="D13" s="2452"/>
      <c r="E13" s="2452"/>
      <c r="F13" s="2452"/>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t="s">
        <v>2172</v>
      </c>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2222</v>
      </c>
      <c r="B32" s="2446"/>
      <c r="C32" s="2446"/>
      <c r="D32" s="2446"/>
      <c r="E32" s="2446"/>
      <c r="F32" s="2446"/>
    </row>
    <row r="33" spans="1:6" ht="13.5" customHeight="1" x14ac:dyDescent="0.2">
      <c r="A33" s="328" t="s">
        <v>1434</v>
      </c>
      <c r="B33" s="328"/>
      <c r="C33" s="1285">
        <v>96840</v>
      </c>
      <c r="D33" s="1903"/>
      <c r="E33" s="1283"/>
    </row>
    <row r="34" spans="1:6" ht="13.5" customHeight="1" x14ac:dyDescent="0.2">
      <c r="A34" s="328" t="s">
        <v>1836</v>
      </c>
      <c r="B34" s="328"/>
      <c r="C34" s="1286">
        <v>54406</v>
      </c>
      <c r="D34" s="1903" t="s">
        <v>1589</v>
      </c>
      <c r="E34" s="2447">
        <f>+C33+C34</f>
        <v>151246</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2173</v>
      </c>
      <c r="D38" s="1903"/>
      <c r="E38" s="1283"/>
    </row>
    <row r="39" spans="1:6" ht="14.25" customHeight="1" x14ac:dyDescent="0.2">
      <c r="A39" s="328"/>
      <c r="B39" s="328" t="s">
        <v>1436</v>
      </c>
      <c r="C39" s="1289" t="s">
        <v>2173</v>
      </c>
      <c r="D39" s="1903"/>
      <c r="E39" s="1283"/>
    </row>
    <row r="40" spans="1:6" ht="14.25" customHeight="1" x14ac:dyDescent="0.2">
      <c r="A40" s="328"/>
      <c r="B40" s="328" t="s">
        <v>1437</v>
      </c>
      <c r="C40" s="1289" t="s">
        <v>2173</v>
      </c>
      <c r="D40" s="1903"/>
      <c r="E40" s="1283"/>
    </row>
    <row r="41" spans="1:6" ht="14.25" customHeight="1" x14ac:dyDescent="0.2">
      <c r="A41" s="328"/>
      <c r="B41" s="328" t="s">
        <v>1438</v>
      </c>
      <c r="C41" s="1289" t="s">
        <v>2173</v>
      </c>
      <c r="D41" s="1903"/>
      <c r="E41" s="1283"/>
    </row>
    <row r="42" spans="1:6" ht="14.25" customHeight="1" x14ac:dyDescent="0.2">
      <c r="A42" s="328" t="s">
        <v>1439</v>
      </c>
      <c r="B42" s="328"/>
      <c r="C42" s="1901" t="s">
        <v>2173</v>
      </c>
      <c r="D42" s="1903"/>
      <c r="E42" s="1283"/>
    </row>
    <row r="43" spans="1:6" ht="14.25" customHeight="1" x14ac:dyDescent="0.2">
      <c r="A43" s="328" t="s">
        <v>1440</v>
      </c>
      <c r="B43" s="328"/>
      <c r="C43" s="1290" t="s">
        <v>2173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25"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Freeport SD 145</v>
      </c>
      <c r="C1" s="2468"/>
      <c r="D1" s="2468"/>
      <c r="E1" s="2468"/>
      <c r="F1" s="2468"/>
      <c r="G1" s="2468"/>
      <c r="H1" s="2468"/>
      <c r="I1" s="2468"/>
      <c r="J1" s="1406"/>
    </row>
    <row r="2" spans="2:10" s="317" customFormat="1" ht="12.75" customHeight="1" x14ac:dyDescent="0.2">
      <c r="B2" s="2469">
        <f>'Single Audit Cover'!E7</f>
        <v>8089145022</v>
      </c>
      <c r="C2" s="2470"/>
      <c r="D2" s="2470"/>
      <c r="E2" s="2470"/>
      <c r="F2" s="2470"/>
      <c r="G2" s="2470"/>
      <c r="H2" s="2470"/>
      <c r="I2" s="2470"/>
      <c r="J2" s="1406"/>
    </row>
    <row r="3" spans="2:10" s="317" customFormat="1" ht="12.75" customHeight="1" x14ac:dyDescent="0.2">
      <c r="B3" s="2471" t="s">
        <v>1285</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1284</v>
      </c>
      <c r="C7" s="2472"/>
      <c r="D7" s="2472"/>
      <c r="E7" s="2472"/>
      <c r="F7" s="2472"/>
      <c r="G7" s="2472"/>
      <c r="H7" s="2472"/>
      <c r="I7" s="247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3" t="s">
        <v>2174</v>
      </c>
      <c r="D11" s="247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2070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2070</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4" t="s">
        <v>2174</v>
      </c>
      <c r="E29" s="2474"/>
      <c r="F29" s="2474"/>
      <c r="G29" s="2474"/>
      <c r="H29" s="2474"/>
      <c r="I29" s="2474"/>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2070</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5" t="s">
        <v>1749</v>
      </c>
      <c r="D37" s="2476"/>
      <c r="E37" s="2476"/>
      <c r="F37" s="2477"/>
      <c r="G37" s="2475" t="s">
        <v>1592</v>
      </c>
      <c r="H37" s="2476"/>
      <c r="I37" s="2477"/>
    </row>
    <row r="38" spans="2:9" ht="16.5" customHeight="1" x14ac:dyDescent="0.2">
      <c r="B38" s="1428" t="s">
        <v>2110</v>
      </c>
      <c r="C38" s="2463" t="s">
        <v>2175</v>
      </c>
      <c r="D38" s="2464"/>
      <c r="E38" s="2464"/>
      <c r="F38" s="2465"/>
      <c r="G38" s="2478">
        <v>1976781</v>
      </c>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1593</v>
      </c>
      <c r="D43" s="2457"/>
      <c r="E43" s="2457"/>
      <c r="F43" s="2458"/>
      <c r="G43" s="2459">
        <f>SUM(G38:I42)</f>
        <v>1976781</v>
      </c>
      <c r="H43" s="2459"/>
      <c r="I43" s="2459"/>
    </row>
    <row r="44" spans="2:9" ht="12.75" customHeight="1" x14ac:dyDescent="0.2"/>
    <row r="45" spans="2:9" ht="12.75" customHeight="1" x14ac:dyDescent="0.2">
      <c r="B45" s="1419" t="s">
        <v>1839</v>
      </c>
      <c r="D45" s="2460">
        <v>5832218</v>
      </c>
      <c r="E45" s="2461"/>
    </row>
    <row r="46" spans="2:9" ht="5.25" customHeight="1" x14ac:dyDescent="0.2">
      <c r="B46" s="1429"/>
      <c r="D46" s="1430"/>
      <c r="E46" s="1431"/>
    </row>
    <row r="47" spans="2:9" ht="12.75" customHeight="1" x14ac:dyDescent="0.2">
      <c r="B47" s="1297" t="s">
        <v>1594</v>
      </c>
      <c r="C47" s="1297"/>
      <c r="D47" s="1432">
        <f>+G43/D45</f>
        <v>0.33894154848121244</v>
      </c>
      <c r="E47" s="1433"/>
      <c r="F47" s="1434"/>
      <c r="I47" s="1435"/>
    </row>
    <row r="48" spans="2:9" ht="9.9499999999999993" customHeight="1" x14ac:dyDescent="0.2"/>
    <row r="49" spans="1:9" x14ac:dyDescent="0.2">
      <c r="B49" s="1365" t="s">
        <v>1273</v>
      </c>
      <c r="C49" s="1279"/>
      <c r="D49" s="1279"/>
      <c r="E49" s="2462">
        <v>750000</v>
      </c>
      <c r="F49" s="2462"/>
      <c r="G49" s="2462"/>
      <c r="H49" s="322"/>
    </row>
    <row r="51" spans="1:9" ht="13.5" customHeight="1" x14ac:dyDescent="0.2">
      <c r="B51" s="1365" t="s">
        <v>1272</v>
      </c>
      <c r="C51" s="1279"/>
      <c r="E51" s="1422" t="s">
        <v>2070</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E56A6-7D40-4E8F-B387-3C7511EE18DB}">
  <sheetPr>
    <tabColor rgb="FF92D050"/>
  </sheetPr>
  <dimension ref="A1:M41"/>
  <sheetViews>
    <sheetView showGridLines="0" zoomScale="110" zoomScaleNormal="110" workbookViewId="0">
      <selection activeCell="J33" sqref="J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Freeport SD 145</v>
      </c>
      <c r="C1" s="2467"/>
      <c r="D1" s="2467"/>
      <c r="E1" s="2467"/>
      <c r="F1" s="2467"/>
      <c r="G1" s="2467"/>
      <c r="H1" s="2467"/>
      <c r="I1" s="2467"/>
      <c r="J1" s="2467"/>
      <c r="K1" s="2467"/>
      <c r="L1" s="1371"/>
      <c r="M1" s="1371"/>
    </row>
    <row r="2" spans="1:13" ht="12" customHeight="1" x14ac:dyDescent="0.2">
      <c r="B2" s="2469">
        <f>'Single Audit Cover'!E7</f>
        <v>8089145022</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943"/>
      <c r="M3" s="1943"/>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v>1</v>
      </c>
      <c r="E10" s="322"/>
      <c r="F10" s="1384" t="s">
        <v>1295</v>
      </c>
      <c r="G10" s="1385"/>
      <c r="H10" s="1386" t="s">
        <v>1294</v>
      </c>
      <c r="I10" s="1385" t="s">
        <v>2070</v>
      </c>
      <c r="J10" s="1387" t="s">
        <v>1293</v>
      </c>
      <c r="K10" s="322"/>
      <c r="L10" s="1378"/>
    </row>
    <row r="11" spans="1:13" ht="13.5" customHeight="1" x14ac:dyDescent="0.2">
      <c r="B11" s="322"/>
      <c r="C11" s="322"/>
      <c r="D11" s="322"/>
      <c r="E11" s="322"/>
      <c r="F11" s="322"/>
      <c r="G11" s="1380"/>
      <c r="H11" s="322"/>
      <c r="I11" s="1388" t="s">
        <v>1292</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2176</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2177</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6" t="s">
        <v>2178</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2179</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2180</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2181</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1" t="s">
        <v>2182</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33" sqref="D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Freeport SD 145</v>
      </c>
      <c r="C1" s="2467"/>
      <c r="D1" s="2467"/>
      <c r="E1" s="2467"/>
      <c r="F1" s="2467"/>
      <c r="G1" s="2467"/>
      <c r="H1" s="2467"/>
      <c r="I1" s="2467"/>
      <c r="J1" s="2467"/>
      <c r="K1" s="2467"/>
      <c r="L1" s="1371"/>
      <c r="M1" s="1371"/>
    </row>
    <row r="2" spans="1:13" ht="12" customHeight="1" x14ac:dyDescent="0.2">
      <c r="B2" s="2469">
        <f>'Single Audit Cover'!E7</f>
        <v>8089145022</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v>2</v>
      </c>
      <c r="E10" s="322"/>
      <c r="F10" s="1384" t="s">
        <v>1295</v>
      </c>
      <c r="G10" s="1385"/>
      <c r="H10" s="1386" t="s">
        <v>1294</v>
      </c>
      <c r="I10" s="1385" t="s">
        <v>2070</v>
      </c>
      <c r="J10" s="1387" t="s">
        <v>1293</v>
      </c>
      <c r="K10" s="322"/>
      <c r="L10" s="1378"/>
    </row>
    <row r="11" spans="1:13" ht="13.5" customHeight="1" x14ac:dyDescent="0.2">
      <c r="B11" s="322"/>
      <c r="C11" s="322"/>
      <c r="D11" s="322"/>
      <c r="E11" s="322"/>
      <c r="F11" s="322"/>
      <c r="G11" s="1380"/>
      <c r="H11" s="322"/>
      <c r="I11" s="1388" t="s">
        <v>1292</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2183</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2184</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6" t="s">
        <v>2184</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2185</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2186</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2187</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1" t="s">
        <v>2188</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EF40A-6B8A-4A7A-A544-1886A6A9C31F}">
  <sheetPr>
    <tabColor rgb="FF92D050"/>
  </sheetPr>
  <dimension ref="A1:M41"/>
  <sheetViews>
    <sheetView showGridLines="0" topLeftCell="A1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Freeport SD 145</v>
      </c>
      <c r="C1" s="2467"/>
      <c r="D1" s="2467"/>
      <c r="E1" s="2467"/>
      <c r="F1" s="2467"/>
      <c r="G1" s="2467"/>
      <c r="H1" s="2467"/>
      <c r="I1" s="2467"/>
      <c r="J1" s="2467"/>
      <c r="K1" s="2467"/>
      <c r="L1" s="1371"/>
      <c r="M1" s="1371"/>
    </row>
    <row r="2" spans="1:13" ht="12" customHeight="1" x14ac:dyDescent="0.2">
      <c r="B2" s="2469">
        <f>'Single Audit Cover'!E7</f>
        <v>8089145022</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944"/>
      <c r="M3" s="194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v>3</v>
      </c>
      <c r="E10" s="322"/>
      <c r="F10" s="1384" t="s">
        <v>1295</v>
      </c>
      <c r="G10" s="1385"/>
      <c r="H10" s="1386" t="s">
        <v>1294</v>
      </c>
      <c r="I10" s="1385" t="s">
        <v>2070</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2204</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2205</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6" t="s">
        <v>2205</v>
      </c>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2206</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2207</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2208</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1" t="s">
        <v>2209</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F13" sqref="F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Freeport SD 145</v>
      </c>
      <c r="C1" s="2490"/>
      <c r="D1" s="2490"/>
      <c r="E1" s="2490"/>
      <c r="F1" s="2490"/>
      <c r="G1" s="2490"/>
      <c r="H1" s="2490"/>
      <c r="I1" s="2490"/>
      <c r="J1" s="2490"/>
      <c r="K1" s="2490"/>
      <c r="L1" s="1449"/>
    </row>
    <row r="2" spans="1:12" ht="12.75" customHeight="1" x14ac:dyDescent="0.2">
      <c r="B2" s="2491">
        <f>'Single Audit Cover'!E7</f>
        <v>8089145022</v>
      </c>
      <c r="C2" s="2491"/>
      <c r="D2" s="2491"/>
      <c r="E2" s="2491"/>
      <c r="F2" s="2491"/>
      <c r="G2" s="2491"/>
      <c r="H2" s="2491"/>
      <c r="I2" s="2491"/>
      <c r="J2" s="2491"/>
      <c r="K2" s="2491"/>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4" t="s">
        <v>2189</v>
      </c>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C18" sqref="C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Freeport SD 145</v>
      </c>
      <c r="C1" s="2467"/>
      <c r="D1" s="2467"/>
      <c r="E1" s="1469"/>
    </row>
    <row r="2" spans="2:5" s="1279" customFormat="1" ht="12.75" customHeight="1" x14ac:dyDescent="0.2">
      <c r="B2" s="2469">
        <f>'Single Audit Cover'!E7</f>
        <v>8089145022</v>
      </c>
      <c r="C2" s="2469"/>
      <c r="D2" s="2469"/>
      <c r="E2" s="1470"/>
    </row>
    <row r="3" spans="2:5" ht="12.75" customHeight="1" x14ac:dyDescent="0.2">
      <c r="B3" s="2483" t="s">
        <v>1764</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t="s">
        <v>2190</v>
      </c>
      <c r="C8" s="324" t="s">
        <v>2191</v>
      </c>
      <c r="D8" s="324" t="s">
        <v>2192</v>
      </c>
      <c r="E8" s="324"/>
    </row>
    <row r="9" spans="2:5" ht="13.5" customHeight="1" x14ac:dyDescent="0.2">
      <c r="B9" s="1475"/>
      <c r="C9" s="323"/>
      <c r="D9" s="323"/>
      <c r="E9" s="323"/>
    </row>
    <row r="10" spans="2:5" ht="13.5" customHeight="1" x14ac:dyDescent="0.2">
      <c r="B10" s="1474" t="s">
        <v>2193</v>
      </c>
      <c r="C10" s="323" t="s">
        <v>2184</v>
      </c>
      <c r="D10" s="323" t="s">
        <v>2194</v>
      </c>
      <c r="E10" s="323"/>
    </row>
    <row r="11" spans="2:5" ht="13.5" customHeight="1" x14ac:dyDescent="0.2">
      <c r="B11" s="1474"/>
      <c r="C11" s="323"/>
      <c r="D11" s="323"/>
      <c r="E11" s="323"/>
    </row>
    <row r="12" spans="2:5" ht="13.5" customHeight="1" x14ac:dyDescent="0.2">
      <c r="B12" s="1474" t="s">
        <v>2195</v>
      </c>
      <c r="C12" s="323" t="s">
        <v>2196</v>
      </c>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t="s">
        <v>2197</v>
      </c>
      <c r="C15" s="323" t="s">
        <v>2191</v>
      </c>
      <c r="D15" s="323" t="s">
        <v>2199</v>
      </c>
      <c r="E15" s="323"/>
    </row>
    <row r="16" spans="2:5" ht="13.5" customHeight="1" x14ac:dyDescent="0.2">
      <c r="B16" s="1474"/>
      <c r="C16" s="323"/>
      <c r="D16" s="323"/>
      <c r="E16" s="323"/>
    </row>
    <row r="17" spans="2:5" ht="13.5" customHeight="1" x14ac:dyDescent="0.2">
      <c r="B17" s="1474" t="s">
        <v>2198</v>
      </c>
      <c r="C17" s="323" t="s">
        <v>2201</v>
      </c>
      <c r="D17" s="323" t="s">
        <v>2200</v>
      </c>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M32" sqref="M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296256002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4.04792E-2</v>
      </c>
      <c r="E10" s="356" t="s">
        <v>1005</v>
      </c>
      <c r="F10" s="355">
        <v>7.4999999999999997E-3</v>
      </c>
      <c r="G10" s="356" t="s">
        <v>1005</v>
      </c>
      <c r="H10" s="355">
        <v>5.7384000000000003E-3</v>
      </c>
      <c r="I10" s="356" t="s">
        <v>1006</v>
      </c>
      <c r="J10" s="1732">
        <f>ROUND(D10+F10+H10,5)</f>
        <v>5.3719999999999997E-2</v>
      </c>
      <c r="K10" s="222"/>
      <c r="L10" s="355">
        <v>3.3760000000000002E-4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50694046</v>
      </c>
      <c r="E16" s="356"/>
      <c r="F16" s="1733">
        <f>SUM('Acct Summary 7-8'!C17,'Acct Summary 7-8'!D17,'Acct Summary 7-8'!F17)</f>
        <v>51732119</v>
      </c>
      <c r="G16" s="356"/>
      <c r="H16" s="1733">
        <f>SUM(D16-F16)</f>
        <v>-1038073</v>
      </c>
      <c r="I16" s="222"/>
      <c r="J16" s="1733">
        <f>SUM('Acct Summary 7-8'!C81,'Acct Summary 7-8'!D81,'Acct Summary 7-8'!F81,'Acct Summary 7-8'!I81)</f>
        <v>12150536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40883328.276000001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27814883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X29" sqref="X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Freeport SD 145</v>
      </c>
      <c r="E7" s="391"/>
      <c r="G7" s="252"/>
      <c r="H7" s="387"/>
      <c r="I7" s="387"/>
      <c r="J7" s="387"/>
      <c r="K7" s="387"/>
      <c r="L7" s="329"/>
      <c r="M7" s="329"/>
      <c r="N7" s="329"/>
      <c r="O7" s="329"/>
      <c r="P7" s="329"/>
    </row>
    <row r="8" spans="1:18" ht="12.75" x14ac:dyDescent="0.2">
      <c r="A8" s="329"/>
      <c r="B8" s="329"/>
      <c r="C8" s="389" t="s">
        <v>1125</v>
      </c>
      <c r="D8" s="392">
        <f>COVER!A13</f>
        <v>8089145022</v>
      </c>
      <c r="E8" s="393"/>
      <c r="G8" s="329"/>
      <c r="H8" s="329"/>
      <c r="I8" s="329"/>
      <c r="J8" s="329"/>
      <c r="K8" s="329"/>
      <c r="L8" s="329"/>
      <c r="M8" s="329"/>
      <c r="N8" s="329"/>
      <c r="O8" s="329"/>
      <c r="P8" s="329"/>
    </row>
    <row r="9" spans="1:18" ht="12.75" x14ac:dyDescent="0.2">
      <c r="A9" s="329"/>
      <c r="B9" s="329"/>
      <c r="C9" s="389" t="s">
        <v>713</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12150536</v>
      </c>
      <c r="I12" s="404"/>
      <c r="J12" s="404"/>
      <c r="K12" s="405">
        <f>TRUNC((H12/H13*100000),5)/100000</f>
        <v>0.23968368979999999</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50694046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51732119</v>
      </c>
      <c r="I17" s="404"/>
      <c r="J17" s="416"/>
      <c r="K17" s="405">
        <f>TRUNC((H17/H18*100000),5)/100000</f>
        <v>1.0204772173000001</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50694046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6.8214194999999993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7064110</v>
      </c>
      <c r="I24" s="422"/>
      <c r="J24" s="422"/>
      <c r="K24" s="423">
        <f>TRUNC(((H24/H25*100000)/100000),2)</f>
        <v>49.15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143700.33056</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13527641.56332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27814883</v>
      </c>
      <c r="I32" s="420"/>
      <c r="J32" s="420"/>
      <c r="K32" s="423">
        <f>TRUNC(100-((((H32/H33*100))*100)/100),2)</f>
        <v>31.96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40883328.276000001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2.9</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activeCell="X29" sqref="X29"/>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683506</v>
      </c>
      <c r="D4" s="466">
        <v>276323</v>
      </c>
      <c r="E4" s="466">
        <v>178602</v>
      </c>
      <c r="F4" s="466">
        <v>565853</v>
      </c>
      <c r="G4" s="466">
        <v>1676317</v>
      </c>
      <c r="H4" s="466">
        <v>1068982</v>
      </c>
      <c r="I4" s="466">
        <v>269997</v>
      </c>
      <c r="J4" s="467">
        <v>539842</v>
      </c>
      <c r="K4" s="466">
        <v>296856</v>
      </c>
      <c r="L4" s="466">
        <v>439681</v>
      </c>
      <c r="M4" s="468"/>
      <c r="N4" s="469"/>
    </row>
    <row r="5" spans="1:14" x14ac:dyDescent="0.2">
      <c r="A5" s="463" t="s">
        <v>992</v>
      </c>
      <c r="B5" s="470">
        <v>120</v>
      </c>
      <c r="C5" s="465">
        <v>384690</v>
      </c>
      <c r="D5" s="466">
        <v>2257704</v>
      </c>
      <c r="E5" s="466"/>
      <c r="F5" s="466">
        <v>2559491</v>
      </c>
      <c r="G5" s="466"/>
      <c r="H5" s="466">
        <v>10011553</v>
      </c>
      <c r="I5" s="466">
        <v>66546</v>
      </c>
      <c r="J5" s="467"/>
      <c r="K5" s="471"/>
      <c r="L5" s="472"/>
      <c r="M5" s="468"/>
      <c r="N5" s="469"/>
    </row>
    <row r="6" spans="1:14" ht="13.5" customHeight="1" x14ac:dyDescent="0.2">
      <c r="A6" s="473" t="s">
        <v>417</v>
      </c>
      <c r="B6" s="470">
        <v>130</v>
      </c>
      <c r="C6" s="465">
        <v>14142254</v>
      </c>
      <c r="D6" s="466">
        <v>2221920</v>
      </c>
      <c r="E6" s="466">
        <v>2760573</v>
      </c>
      <c r="F6" s="466">
        <v>1700035</v>
      </c>
      <c r="G6" s="471">
        <v>1730046</v>
      </c>
      <c r="H6" s="471"/>
      <c r="I6" s="466">
        <v>100016</v>
      </c>
      <c r="J6" s="474">
        <v>710007</v>
      </c>
      <c r="K6" s="471">
        <v>150024</v>
      </c>
      <c r="L6" s="475"/>
      <c r="M6" s="468"/>
      <c r="N6" s="469"/>
    </row>
    <row r="7" spans="1:14" ht="13.5" customHeight="1" x14ac:dyDescent="0.2">
      <c r="A7" s="473" t="s">
        <v>418</v>
      </c>
      <c r="B7" s="470">
        <v>140</v>
      </c>
      <c r="C7" s="476">
        <v>1950000</v>
      </c>
      <c r="D7" s="467"/>
      <c r="E7" s="467"/>
      <c r="F7" s="467"/>
      <c r="G7" s="467"/>
      <c r="H7" s="467"/>
      <c r="I7" s="467"/>
      <c r="J7" s="467"/>
      <c r="K7" s="467"/>
      <c r="L7" s="477"/>
      <c r="M7" s="468"/>
      <c r="N7" s="469"/>
    </row>
    <row r="8" spans="1:14" ht="13.5" customHeight="1" x14ac:dyDescent="0.2">
      <c r="A8" s="473" t="s">
        <v>269</v>
      </c>
      <c r="B8" s="470">
        <v>150</v>
      </c>
      <c r="C8" s="476">
        <v>1923351</v>
      </c>
      <c r="D8" s="467"/>
      <c r="E8" s="467"/>
      <c r="F8" s="467">
        <v>641771</v>
      </c>
      <c r="G8" s="478"/>
      <c r="H8" s="467"/>
      <c r="I8" s="474"/>
      <c r="J8" s="474"/>
      <c r="K8" s="479"/>
      <c r="L8" s="480"/>
      <c r="M8" s="468"/>
      <c r="N8" s="469"/>
    </row>
    <row r="9" spans="1:14" ht="13.5" customHeight="1" x14ac:dyDescent="0.2">
      <c r="A9" s="473" t="s">
        <v>270</v>
      </c>
      <c r="B9" s="470">
        <v>160</v>
      </c>
      <c r="C9" s="476">
        <v>19170</v>
      </c>
      <c r="D9" s="467"/>
      <c r="E9" s="467"/>
      <c r="F9" s="467"/>
      <c r="G9" s="467"/>
      <c r="H9" s="478"/>
      <c r="I9" s="467"/>
      <c r="J9" s="467"/>
      <c r="K9" s="467"/>
      <c r="L9" s="467"/>
      <c r="M9" s="468"/>
      <c r="N9" s="469"/>
    </row>
    <row r="10" spans="1:14" ht="13.5" customHeight="1" x14ac:dyDescent="0.2">
      <c r="A10" s="473" t="s">
        <v>991</v>
      </c>
      <c r="B10" s="470">
        <v>170</v>
      </c>
      <c r="C10" s="465">
        <v>15000</v>
      </c>
      <c r="D10" s="466"/>
      <c r="E10" s="467"/>
      <c r="F10" s="466"/>
      <c r="G10" s="478"/>
      <c r="H10" s="481"/>
      <c r="I10" s="467"/>
      <c r="J10" s="467"/>
      <c r="K10" s="481"/>
      <c r="L10" s="481"/>
      <c r="M10" s="469"/>
      <c r="N10" s="469"/>
    </row>
    <row r="11" spans="1:14" ht="13.5" customHeight="1" x14ac:dyDescent="0.2">
      <c r="A11" s="473" t="s">
        <v>271</v>
      </c>
      <c r="B11" s="470">
        <v>180</v>
      </c>
      <c r="C11" s="476">
        <v>177</v>
      </c>
      <c r="D11" s="467"/>
      <c r="E11" s="467">
        <v>592219</v>
      </c>
      <c r="F11" s="467"/>
      <c r="G11" s="467"/>
      <c r="H11" s="467"/>
      <c r="I11" s="478"/>
      <c r="J11" s="478"/>
      <c r="K11" s="467"/>
      <c r="L11" s="467"/>
      <c r="M11" s="469"/>
      <c r="N11" s="469"/>
    </row>
    <row r="12" spans="1:14" ht="13.5" customHeight="1" x14ac:dyDescent="0.2">
      <c r="A12" s="473" t="s">
        <v>419</v>
      </c>
      <c r="B12" s="470">
        <v>190</v>
      </c>
      <c r="C12" s="465">
        <v>6224</v>
      </c>
      <c r="D12" s="466"/>
      <c r="E12" s="466"/>
      <c r="F12" s="466"/>
      <c r="G12" s="466"/>
      <c r="H12" s="466"/>
      <c r="I12" s="466"/>
      <c r="J12" s="467"/>
      <c r="K12" s="466"/>
      <c r="L12" s="466"/>
      <c r="M12" s="469"/>
      <c r="N12" s="469"/>
    </row>
    <row r="13" spans="1:14" ht="13.5" customHeight="1" thickBot="1" x14ac:dyDescent="0.25">
      <c r="A13" s="1736" t="s">
        <v>644</v>
      </c>
      <c r="B13" s="1709"/>
      <c r="C13" s="1737">
        <f>SUM(C4:C12)</f>
        <v>19124372</v>
      </c>
      <c r="D13" s="1737">
        <f t="shared" ref="D13:L13" si="0">SUM(D4:D12)</f>
        <v>4755947</v>
      </c>
      <c r="E13" s="1737">
        <f t="shared" si="0"/>
        <v>3531394</v>
      </c>
      <c r="F13" s="1737">
        <f t="shared" si="0"/>
        <v>5467150</v>
      </c>
      <c r="G13" s="1737">
        <f t="shared" si="0"/>
        <v>3406363</v>
      </c>
      <c r="H13" s="1737">
        <f t="shared" si="0"/>
        <v>11080535</v>
      </c>
      <c r="I13" s="1737">
        <f t="shared" si="0"/>
        <v>436559</v>
      </c>
      <c r="J13" s="1737">
        <f t="shared" si="0"/>
        <v>1249849</v>
      </c>
      <c r="K13" s="1737">
        <f t="shared" si="0"/>
        <v>446880</v>
      </c>
      <c r="L13" s="1737">
        <f t="shared" si="0"/>
        <v>439681</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822541</v>
      </c>
      <c r="N16" s="484"/>
    </row>
    <row r="17" spans="1:14" s="485" customFormat="1" ht="12.75" customHeight="1" x14ac:dyDescent="0.2">
      <c r="A17" s="482" t="s">
        <v>1403</v>
      </c>
      <c r="B17" s="483">
        <v>230</v>
      </c>
      <c r="C17" s="477"/>
      <c r="D17" s="477"/>
      <c r="E17" s="477"/>
      <c r="F17" s="477"/>
      <c r="G17" s="477"/>
      <c r="H17" s="477"/>
      <c r="I17" s="477"/>
      <c r="J17" s="477"/>
      <c r="K17" s="477"/>
      <c r="L17" s="477"/>
      <c r="M17" s="467">
        <v>5967640</v>
      </c>
      <c r="N17" s="484"/>
    </row>
    <row r="18" spans="1:14" s="485" customFormat="1" ht="12.75" customHeight="1" x14ac:dyDescent="0.2">
      <c r="A18" s="482" t="s">
        <v>1404</v>
      </c>
      <c r="B18" s="483">
        <v>240</v>
      </c>
      <c r="C18" s="477"/>
      <c r="D18" s="477"/>
      <c r="E18" s="477"/>
      <c r="F18" s="477"/>
      <c r="G18" s="477"/>
      <c r="H18" s="477"/>
      <c r="I18" s="477"/>
      <c r="J18" s="477"/>
      <c r="K18" s="477"/>
      <c r="L18" s="477"/>
      <c r="M18" s="467">
        <v>934936</v>
      </c>
      <c r="N18" s="484"/>
    </row>
    <row r="19" spans="1:14" s="485" customFormat="1" ht="12.75" customHeight="1" x14ac:dyDescent="0.2">
      <c r="A19" s="482" t="s">
        <v>1405</v>
      </c>
      <c r="B19" s="483">
        <v>250</v>
      </c>
      <c r="C19" s="477"/>
      <c r="D19" s="477"/>
      <c r="E19" s="477"/>
      <c r="F19" s="477"/>
      <c r="G19" s="477"/>
      <c r="H19" s="477"/>
      <c r="I19" s="477"/>
      <c r="J19" s="477"/>
      <c r="K19" s="477"/>
      <c r="L19" s="477"/>
      <c r="M19" s="467">
        <v>1614173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2151108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25663775</v>
      </c>
    </row>
    <row r="23" spans="1:14" ht="13.5" customHeight="1" thickBot="1" x14ac:dyDescent="0.25">
      <c r="A23" s="1736" t="s">
        <v>643</v>
      </c>
      <c r="B23" s="1741"/>
      <c r="C23" s="468"/>
      <c r="D23" s="468"/>
      <c r="E23" s="468"/>
      <c r="F23" s="468"/>
      <c r="G23" s="468"/>
      <c r="H23" s="468"/>
      <c r="I23" s="468"/>
      <c r="J23" s="468"/>
      <c r="K23" s="468"/>
      <c r="L23" s="468"/>
      <c r="M23" s="1688">
        <f>SUM(M15:M22)</f>
        <v>9339290</v>
      </c>
      <c r="N23" s="1688">
        <f>SUM(N21:N22)</f>
        <v>27814883</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v>1950000</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2562018</v>
      </c>
      <c r="D27" s="467">
        <v>198794</v>
      </c>
      <c r="E27" s="467"/>
      <c r="F27" s="467">
        <v>183972</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2884410</v>
      </c>
      <c r="D30" s="474"/>
      <c r="E30" s="467"/>
      <c r="F30" s="467">
        <v>4831</v>
      </c>
      <c r="G30" s="467">
        <v>84885</v>
      </c>
      <c r="H30" s="467"/>
      <c r="I30" s="467"/>
      <c r="J30" s="467"/>
      <c r="K30" s="478"/>
      <c r="L30" s="468"/>
      <c r="M30" s="468"/>
      <c r="N30" s="468"/>
    </row>
    <row r="31" spans="1:14" ht="13.5" customHeight="1" x14ac:dyDescent="0.2">
      <c r="A31" s="473" t="s">
        <v>651</v>
      </c>
      <c r="B31" s="470">
        <v>480</v>
      </c>
      <c r="C31" s="466">
        <v>692349</v>
      </c>
      <c r="D31" s="467"/>
      <c r="E31" s="467"/>
      <c r="F31" s="466"/>
      <c r="G31" s="467"/>
      <c r="H31" s="467"/>
      <c r="I31" s="467"/>
      <c r="J31" s="467"/>
      <c r="K31" s="467"/>
      <c r="L31" s="468"/>
      <c r="M31" s="468"/>
      <c r="N31" s="468"/>
    </row>
    <row r="32" spans="1:14" ht="13.5" customHeight="1" x14ac:dyDescent="0.2">
      <c r="A32" s="490" t="s">
        <v>652</v>
      </c>
      <c r="B32" s="491">
        <v>490</v>
      </c>
      <c r="C32" s="492">
        <v>7146132</v>
      </c>
      <c r="D32" s="492">
        <v>1110960</v>
      </c>
      <c r="E32" s="474">
        <v>1380286</v>
      </c>
      <c r="F32" s="474">
        <v>850018</v>
      </c>
      <c r="G32" s="474">
        <v>865023</v>
      </c>
      <c r="H32" s="474"/>
      <c r="I32" s="474">
        <v>50008</v>
      </c>
      <c r="J32" s="474">
        <v>355004</v>
      </c>
      <c r="K32" s="479">
        <v>75012</v>
      </c>
      <c r="L32" s="468"/>
      <c r="M32" s="468"/>
      <c r="N32" s="468"/>
    </row>
    <row r="33" spans="1:14" ht="13.5" customHeight="1" x14ac:dyDescent="0.2">
      <c r="A33" s="493" t="s">
        <v>303</v>
      </c>
      <c r="B33" s="491">
        <v>493</v>
      </c>
      <c r="C33" s="467"/>
      <c r="D33" s="467"/>
      <c r="E33" s="467"/>
      <c r="F33" s="467"/>
      <c r="G33" s="467"/>
      <c r="H33" s="467"/>
      <c r="I33" s="467"/>
      <c r="J33" s="467"/>
      <c r="K33" s="467"/>
      <c r="L33" s="467">
        <v>439681</v>
      </c>
      <c r="M33" s="468"/>
      <c r="N33" s="469"/>
    </row>
    <row r="34" spans="1:14" ht="13.5" customHeight="1" thickBot="1" x14ac:dyDescent="0.25">
      <c r="A34" s="1738" t="s">
        <v>654</v>
      </c>
      <c r="B34" s="1739"/>
      <c r="C34" s="1740">
        <f>SUM(C25:C33)</f>
        <v>15234909</v>
      </c>
      <c r="D34" s="1740">
        <f t="shared" ref="D34:K34" si="1">SUM(D25:D33)</f>
        <v>1309754</v>
      </c>
      <c r="E34" s="1740">
        <f t="shared" si="1"/>
        <v>1380286</v>
      </c>
      <c r="F34" s="1740">
        <f t="shared" si="1"/>
        <v>1038821</v>
      </c>
      <c r="G34" s="1740">
        <f t="shared" si="1"/>
        <v>949908</v>
      </c>
      <c r="H34" s="1740">
        <f t="shared" si="1"/>
        <v>0</v>
      </c>
      <c r="I34" s="1740">
        <f t="shared" si="1"/>
        <v>50008</v>
      </c>
      <c r="J34" s="1740">
        <f t="shared" si="1"/>
        <v>355004</v>
      </c>
      <c r="K34" s="1740">
        <f t="shared" si="1"/>
        <v>75012</v>
      </c>
      <c r="L34" s="1721">
        <f>SUM(L33)</f>
        <v>439681</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27814883</v>
      </c>
    </row>
    <row r="37" spans="1:14" ht="13.5" thickBot="1" x14ac:dyDescent="0.25">
      <c r="A37" s="1736" t="s">
        <v>653</v>
      </c>
      <c r="B37" s="1741"/>
      <c r="C37" s="477"/>
      <c r="D37" s="477"/>
      <c r="E37" s="477"/>
      <c r="F37" s="477"/>
      <c r="G37" s="477"/>
      <c r="H37" s="477"/>
      <c r="I37" s="477"/>
      <c r="J37" s="477"/>
      <c r="K37" s="477"/>
      <c r="L37" s="480"/>
      <c r="M37" s="468"/>
      <c r="N37" s="1688">
        <f>SUM(N36:N36)</f>
        <v>27814883</v>
      </c>
    </row>
    <row r="38" spans="1:14" s="329" customFormat="1" ht="13.5" customHeight="1" thickTop="1" x14ac:dyDescent="0.2">
      <c r="A38" s="496" t="s">
        <v>420</v>
      </c>
      <c r="B38" s="483">
        <v>714</v>
      </c>
      <c r="C38" s="466"/>
      <c r="D38" s="466"/>
      <c r="E38" s="466"/>
      <c r="F38" s="466"/>
      <c r="G38" s="466">
        <v>840726</v>
      </c>
      <c r="H38" s="466"/>
      <c r="I38" s="466"/>
      <c r="J38" s="467"/>
      <c r="K38" s="466"/>
      <c r="L38" s="481"/>
      <c r="M38" s="497"/>
      <c r="N38" s="497"/>
    </row>
    <row r="39" spans="1:14" s="329" customFormat="1" ht="13.5" customHeight="1" x14ac:dyDescent="0.2">
      <c r="A39" s="496" t="s">
        <v>342</v>
      </c>
      <c r="B39" s="483">
        <v>730</v>
      </c>
      <c r="C39" s="466">
        <v>3889463</v>
      </c>
      <c r="D39" s="466">
        <v>3446193</v>
      </c>
      <c r="E39" s="466">
        <v>2151108</v>
      </c>
      <c r="F39" s="466">
        <v>4428329</v>
      </c>
      <c r="G39" s="466">
        <v>1615729</v>
      </c>
      <c r="H39" s="466">
        <v>11080535</v>
      </c>
      <c r="I39" s="466">
        <v>386551</v>
      </c>
      <c r="J39" s="467">
        <v>894845</v>
      </c>
      <c r="K39" s="466">
        <v>371868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9339290</v>
      </c>
      <c r="N40" s="497"/>
    </row>
    <row r="41" spans="1:14" ht="13.5" customHeight="1" thickBot="1" x14ac:dyDescent="0.25">
      <c r="A41" s="1736" t="s">
        <v>655</v>
      </c>
      <c r="B41" s="1706"/>
      <c r="C41" s="1688">
        <f>(SUM(C34,C37,C38,C39))</f>
        <v>19124372</v>
      </c>
      <c r="D41" s="1688">
        <f t="shared" ref="D41:L41" si="2">SUM(D34,D37,D38:D39)</f>
        <v>4755947</v>
      </c>
      <c r="E41" s="1688">
        <f t="shared" si="2"/>
        <v>3531394</v>
      </c>
      <c r="F41" s="1688">
        <f t="shared" si="2"/>
        <v>5467150</v>
      </c>
      <c r="G41" s="1688">
        <f t="shared" si="2"/>
        <v>3406363</v>
      </c>
      <c r="H41" s="1688">
        <f t="shared" si="2"/>
        <v>11080535</v>
      </c>
      <c r="I41" s="1688">
        <f t="shared" si="2"/>
        <v>436559</v>
      </c>
      <c r="J41" s="1688">
        <f t="shared" si="2"/>
        <v>1249849</v>
      </c>
      <c r="K41" s="1688">
        <f t="shared" si="2"/>
        <v>446880</v>
      </c>
      <c r="L41" s="1688">
        <f t="shared" si="2"/>
        <v>439681</v>
      </c>
      <c r="M41" s="1688">
        <f>SUM(M40)</f>
        <v>9339290</v>
      </c>
      <c r="N41" s="1688">
        <f>SUM(N37)</f>
        <v>27814883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activeCell="X29" sqref="X29"/>
      <selection pane="bottomLeft" activeCell="H81" sqref="H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14341257</v>
      </c>
      <c r="D4" s="1742">
        <f>'Revenues 9-14'!D109</f>
        <v>3796862</v>
      </c>
      <c r="E4" s="1742">
        <f>'Revenues 9-14'!E109</f>
        <v>2699731</v>
      </c>
      <c r="F4" s="1742">
        <f>'Revenues 9-14'!F109</f>
        <v>2406353</v>
      </c>
      <c r="G4" s="1742">
        <f>'Revenues 9-14'!G109</f>
        <v>1854775</v>
      </c>
      <c r="H4" s="1742">
        <f>'Revenues 9-14'!H109</f>
        <v>21661</v>
      </c>
      <c r="I4" s="1742">
        <f>'Revenues 9-14'!I109</f>
        <v>102026</v>
      </c>
      <c r="J4" s="1742">
        <f>'Revenues 9-14'!J109</f>
        <v>716328</v>
      </c>
      <c r="K4" s="1742">
        <f>'Revenues 9-14'!K109</f>
        <v>152358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22108689</v>
      </c>
      <c r="D6" s="1743">
        <f>'Revenues 9-14'!D170</f>
        <v>800000</v>
      </c>
      <c r="E6" s="1743">
        <f>'Revenues 9-14'!E170</f>
        <v>0</v>
      </c>
      <c r="F6" s="1743">
        <f>'Revenues 9-14'!F170</f>
        <v>1092544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6006315</v>
      </c>
      <c r="D7" s="1743">
        <f>'Revenues 9-14'!D267</f>
        <v>0</v>
      </c>
      <c r="E7" s="1743">
        <f>'Revenues 9-14'!E267</f>
        <v>0</v>
      </c>
      <c r="F7" s="1743">
        <f>'Revenues 9-14'!F267</f>
        <v>40000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42456261</v>
      </c>
      <c r="D8" s="1688">
        <f t="shared" ref="D8:K8" si="0">SUM(D4:D7)</f>
        <v>4596862</v>
      </c>
      <c r="E8" s="1688">
        <f t="shared" si="0"/>
        <v>2699731</v>
      </c>
      <c r="F8" s="1688">
        <f t="shared" si="0"/>
        <v>3538897</v>
      </c>
      <c r="G8" s="1688">
        <f t="shared" si="0"/>
        <v>1854775</v>
      </c>
      <c r="H8" s="1688">
        <f t="shared" si="0"/>
        <v>21661</v>
      </c>
      <c r="I8" s="1688">
        <f t="shared" si="0"/>
        <v>102026</v>
      </c>
      <c r="J8" s="1688">
        <f t="shared" si="0"/>
        <v>716328</v>
      </c>
      <c r="K8" s="1688">
        <f t="shared" si="0"/>
        <v>152358</v>
      </c>
      <c r="L8" s="347"/>
    </row>
    <row r="9" spans="1:13" ht="15.75" thickTop="1" x14ac:dyDescent="0.2">
      <c r="A9" s="514" t="s">
        <v>1653</v>
      </c>
      <c r="B9" s="515">
        <v>3998</v>
      </c>
      <c r="C9" s="481">
        <v>15540734</v>
      </c>
      <c r="D9" s="516"/>
      <c r="E9" s="481"/>
      <c r="F9" s="481"/>
      <c r="G9" s="517"/>
      <c r="H9" s="481"/>
      <c r="I9" s="509" t="s">
        <v>1169</v>
      </c>
      <c r="J9" s="478"/>
      <c r="K9" s="481"/>
      <c r="L9" s="347"/>
    </row>
    <row r="10" spans="1:13" s="519" customFormat="1" ht="13.5" thickBot="1" x14ac:dyDescent="0.25">
      <c r="A10" s="1736" t="s">
        <v>1173</v>
      </c>
      <c r="B10" s="1709"/>
      <c r="C10" s="1688">
        <f>SUM(C8:C9)</f>
        <v>57996995</v>
      </c>
      <c r="D10" s="1688">
        <f t="shared" ref="D10:K10" si="1">SUM(D8:D9)</f>
        <v>4596862</v>
      </c>
      <c r="E10" s="1688">
        <f t="shared" si="1"/>
        <v>2699731</v>
      </c>
      <c r="F10" s="1688">
        <f t="shared" si="1"/>
        <v>3538897</v>
      </c>
      <c r="G10" s="1688">
        <f t="shared" si="1"/>
        <v>1854775</v>
      </c>
      <c r="H10" s="1688">
        <f t="shared" si="1"/>
        <v>21661</v>
      </c>
      <c r="I10" s="1688">
        <f t="shared" si="1"/>
        <v>102026</v>
      </c>
      <c r="J10" s="1688">
        <f t="shared" si="1"/>
        <v>716328</v>
      </c>
      <c r="K10" s="1688">
        <f t="shared" si="1"/>
        <v>152358</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26749448</v>
      </c>
      <c r="D12" s="520" t="s">
        <v>1169</v>
      </c>
      <c r="E12" s="468" t="s">
        <v>1169</v>
      </c>
      <c r="F12" s="468" t="s">
        <v>1169</v>
      </c>
      <c r="G12" s="1742">
        <f>'Expenditures 15-22'!K229</f>
        <v>483399</v>
      </c>
      <c r="H12" s="521"/>
      <c r="I12" s="468" t="s">
        <v>1169</v>
      </c>
      <c r="J12" s="468" t="s">
        <v>1169</v>
      </c>
      <c r="K12" s="521" t="s">
        <v>1169</v>
      </c>
      <c r="L12" s="347"/>
    </row>
    <row r="13" spans="1:13" ht="15.75" customHeight="1" x14ac:dyDescent="0.2">
      <c r="A13" s="1576" t="s">
        <v>457</v>
      </c>
      <c r="B13" s="1578">
        <v>2000</v>
      </c>
      <c r="C13" s="1743">
        <f>'Expenditures 15-22'!K74</f>
        <v>16575278</v>
      </c>
      <c r="D13" s="1743">
        <f>'Expenditures 15-22'!K129</f>
        <v>4424802</v>
      </c>
      <c r="E13" s="469" t="s">
        <v>1169</v>
      </c>
      <c r="F13" s="1743">
        <f>'Expenditures 15-22'!K184</f>
        <v>3207632</v>
      </c>
      <c r="G13" s="1743">
        <f>'Expenditures 15-22'!K279</f>
        <v>1098660</v>
      </c>
      <c r="H13" s="1743">
        <f>'Expenditures 15-22'!K303</f>
        <v>341126</v>
      </c>
      <c r="I13" s="468" t="s">
        <v>1169</v>
      </c>
      <c r="J13" s="1743">
        <f>'Expenditures 15-22'!K330</f>
        <v>490670</v>
      </c>
      <c r="K13" s="1747">
        <f>'Expenditures 15-22'!K352</f>
        <v>100979</v>
      </c>
      <c r="L13" s="347"/>
    </row>
    <row r="14" spans="1:13" ht="15.75" customHeight="1" x14ac:dyDescent="0.2">
      <c r="A14" s="1576" t="s">
        <v>449</v>
      </c>
      <c r="B14" s="1578">
        <v>3000</v>
      </c>
      <c r="C14" s="1743">
        <f>'Expenditures 15-22'!K75</f>
        <v>134218</v>
      </c>
      <c r="D14" s="1743">
        <f>'Expenditures 15-22'!K130</f>
        <v>0</v>
      </c>
      <c r="E14" s="520" t="s">
        <v>1169</v>
      </c>
      <c r="F14" s="1743">
        <f>'Expenditures 15-22'!K185</f>
        <v>0</v>
      </c>
      <c r="G14" s="1743">
        <f>'Expenditures 15-22'!K280</f>
        <v>980</v>
      </c>
      <c r="H14" s="512"/>
      <c r="I14" s="468" t="s">
        <v>1169</v>
      </c>
      <c r="J14" s="468" t="s">
        <v>1169</v>
      </c>
      <c r="K14" s="512" t="s">
        <v>1169</v>
      </c>
      <c r="L14" s="347"/>
    </row>
    <row r="15" spans="1:13" ht="15.75" customHeight="1" x14ac:dyDescent="0.2">
      <c r="A15" s="1576" t="s">
        <v>107</v>
      </c>
      <c r="B15" s="1578">
        <v>4000</v>
      </c>
      <c r="C15" s="1743">
        <f>'Expenditures 15-22'!K102</f>
        <v>640741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2833433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44099685</v>
      </c>
      <c r="D17" s="1688">
        <f t="shared" si="2"/>
        <v>4424802</v>
      </c>
      <c r="E17" s="1688">
        <f t="shared" si="2"/>
        <v>2833433</v>
      </c>
      <c r="F17" s="1688">
        <f t="shared" si="2"/>
        <v>3207632</v>
      </c>
      <c r="G17" s="1688">
        <f t="shared" si="2"/>
        <v>1583039</v>
      </c>
      <c r="H17" s="1688">
        <f t="shared" si="2"/>
        <v>341126</v>
      </c>
      <c r="I17" s="468"/>
      <c r="J17" s="1688">
        <f>SUM(J12:J16)</f>
        <v>490670</v>
      </c>
      <c r="K17" s="1688">
        <f>SUM(K12:K16)</f>
        <v>100979</v>
      </c>
      <c r="L17" s="347"/>
    </row>
    <row r="18" spans="1:12" ht="15" customHeight="1" thickTop="1" x14ac:dyDescent="0.2">
      <c r="A18" s="1744" t="s">
        <v>1654</v>
      </c>
      <c r="B18" s="1745">
        <v>4180</v>
      </c>
      <c r="C18" s="1742">
        <f t="shared" ref="C18:H18" si="3">C9</f>
        <v>15540734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59640419</v>
      </c>
      <c r="D19" s="1688">
        <f t="shared" si="4"/>
        <v>4424802</v>
      </c>
      <c r="E19" s="1688">
        <f t="shared" si="4"/>
        <v>2833433</v>
      </c>
      <c r="F19" s="1688">
        <f t="shared" si="4"/>
        <v>3207632</v>
      </c>
      <c r="G19" s="1688">
        <f t="shared" si="4"/>
        <v>1583039</v>
      </c>
      <c r="H19" s="1688">
        <f t="shared" si="4"/>
        <v>341126</v>
      </c>
      <c r="I19" s="468"/>
      <c r="J19" s="1688">
        <f>SUM(J17:J18)</f>
        <v>490670</v>
      </c>
      <c r="K19" s="1688">
        <f>SUM(K17:K18)</f>
        <v>100979</v>
      </c>
      <c r="L19" s="347"/>
    </row>
    <row r="20" spans="1:12" ht="16.5" thickTop="1" thickBot="1" x14ac:dyDescent="0.25">
      <c r="A20" s="2133" t="s">
        <v>1655</v>
      </c>
      <c r="B20" s="2134"/>
      <c r="C20" s="1746">
        <f>C8-C17</f>
        <v>-1643424</v>
      </c>
      <c r="D20" s="1746">
        <f t="shared" ref="D20:K20" si="5">D8-D17</f>
        <v>172060</v>
      </c>
      <c r="E20" s="1746">
        <f t="shared" si="5"/>
        <v>-133702</v>
      </c>
      <c r="F20" s="1746">
        <f t="shared" si="5"/>
        <v>331265</v>
      </c>
      <c r="G20" s="1746">
        <f t="shared" si="5"/>
        <v>271736</v>
      </c>
      <c r="H20" s="1746">
        <f t="shared" si="5"/>
        <v>-319465</v>
      </c>
      <c r="I20" s="1746">
        <f t="shared" si="5"/>
        <v>102026</v>
      </c>
      <c r="J20" s="1746">
        <f t="shared" si="5"/>
        <v>225658</v>
      </c>
      <c r="K20" s="1746">
        <f t="shared" si="5"/>
        <v>51379</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37360</v>
      </c>
      <c r="D36" s="467">
        <v>7600</v>
      </c>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v>11400000</v>
      </c>
      <c r="I43" s="467"/>
      <c r="J43" s="467"/>
      <c r="K43" s="467"/>
      <c r="L43" s="524"/>
    </row>
    <row r="44" spans="1:12" s="485" customFormat="1" ht="13.5" customHeight="1" thickBot="1" x14ac:dyDescent="0.25">
      <c r="A44" s="2147" t="s">
        <v>374</v>
      </c>
      <c r="B44" s="2148"/>
      <c r="C44" s="1703">
        <f>SUM(C24:C43)</f>
        <v>37360</v>
      </c>
      <c r="D44" s="1703">
        <f t="shared" ref="D44:K44" si="6">SUM(D24:D43)</f>
        <v>7600</v>
      </c>
      <c r="E44" s="1703">
        <f t="shared" si="6"/>
        <v>0</v>
      </c>
      <c r="F44" s="1703">
        <f t="shared" si="6"/>
        <v>0</v>
      </c>
      <c r="G44" s="1703">
        <f t="shared" si="6"/>
        <v>0</v>
      </c>
      <c r="H44" s="1703">
        <f t="shared" si="6"/>
        <v>11400000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v>11400000</v>
      </c>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11400000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37360</v>
      </c>
      <c r="D77" s="1703">
        <f t="shared" si="8"/>
        <v>-11392400</v>
      </c>
      <c r="E77" s="1703">
        <f t="shared" si="8"/>
        <v>0</v>
      </c>
      <c r="F77" s="1703">
        <f t="shared" si="8"/>
        <v>0</v>
      </c>
      <c r="G77" s="1703">
        <f t="shared" si="8"/>
        <v>0</v>
      </c>
      <c r="H77" s="1703">
        <f t="shared" si="8"/>
        <v>11400000</v>
      </c>
      <c r="I77" s="1703">
        <f t="shared" si="8"/>
        <v>0</v>
      </c>
      <c r="J77" s="1703">
        <f t="shared" si="8"/>
        <v>0</v>
      </c>
      <c r="K77" s="1703">
        <f t="shared" si="8"/>
        <v>0</v>
      </c>
      <c r="L77" s="347"/>
    </row>
    <row r="78" spans="1:12" ht="21.75" customHeight="1" thickTop="1" thickBot="1" x14ac:dyDescent="0.25">
      <c r="A78" s="2129" t="s">
        <v>597</v>
      </c>
      <c r="B78" s="2130"/>
      <c r="C78" s="1702">
        <f t="shared" ref="C78:K78" si="9">C20+C77</f>
        <v>-1606064</v>
      </c>
      <c r="D78" s="1702">
        <f t="shared" si="9"/>
        <v>-11220340</v>
      </c>
      <c r="E78" s="1702">
        <f t="shared" si="9"/>
        <v>-133702</v>
      </c>
      <c r="F78" s="1702">
        <f t="shared" si="9"/>
        <v>331265</v>
      </c>
      <c r="G78" s="1702">
        <f t="shared" si="9"/>
        <v>271736</v>
      </c>
      <c r="H78" s="1702">
        <f t="shared" si="9"/>
        <v>11080535</v>
      </c>
      <c r="I78" s="1702">
        <f t="shared" si="9"/>
        <v>102026</v>
      </c>
      <c r="J78" s="1702">
        <f t="shared" si="9"/>
        <v>225658</v>
      </c>
      <c r="K78" s="1702">
        <f t="shared" si="9"/>
        <v>51379</v>
      </c>
      <c r="L78" s="533"/>
    </row>
    <row r="79" spans="1:12" ht="13.5" thickTop="1" x14ac:dyDescent="0.2">
      <c r="A79" s="1494" t="s">
        <v>1947</v>
      </c>
      <c r="B79" s="534"/>
      <c r="C79" s="478">
        <v>5725615</v>
      </c>
      <c r="D79" s="535">
        <v>14666533</v>
      </c>
      <c r="E79" s="535">
        <v>2284810</v>
      </c>
      <c r="F79" s="535">
        <v>4097064</v>
      </c>
      <c r="G79" s="535">
        <v>2184719</v>
      </c>
      <c r="H79" s="535"/>
      <c r="I79" s="535">
        <v>284525</v>
      </c>
      <c r="J79" s="535">
        <v>669187</v>
      </c>
      <c r="K79" s="535">
        <v>320489</v>
      </c>
      <c r="L79" s="347"/>
    </row>
    <row r="80" spans="1:12" x14ac:dyDescent="0.2">
      <c r="A80" s="2135" t="s">
        <v>1793</v>
      </c>
      <c r="B80" s="2136"/>
      <c r="C80" s="467">
        <v>-230088</v>
      </c>
      <c r="D80" s="467"/>
      <c r="E80" s="467"/>
      <c r="F80" s="467"/>
      <c r="G80" s="467"/>
      <c r="H80" s="467"/>
      <c r="I80" s="467"/>
      <c r="J80" s="467"/>
      <c r="K80" s="467"/>
      <c r="L80" s="347"/>
    </row>
    <row r="81" spans="1:12" ht="13.5" thickBot="1" x14ac:dyDescent="0.25">
      <c r="A81" s="2127" t="s">
        <v>1948</v>
      </c>
      <c r="B81" s="2128"/>
      <c r="C81" s="1688">
        <f>(SUM(C78:C80))</f>
        <v>3889463</v>
      </c>
      <c r="D81" s="1688">
        <f>SUM(D78:D80)</f>
        <v>3446193</v>
      </c>
      <c r="E81" s="1688">
        <f t="shared" ref="E81:K81" si="10">SUM(E78:E80)</f>
        <v>2151108</v>
      </c>
      <c r="F81" s="1688">
        <f t="shared" si="10"/>
        <v>4428329</v>
      </c>
      <c r="G81" s="1688">
        <f t="shared" si="10"/>
        <v>2456455</v>
      </c>
      <c r="H81" s="1688">
        <f t="shared" si="10"/>
        <v>11080535</v>
      </c>
      <c r="I81" s="1688">
        <f t="shared" si="10"/>
        <v>386551</v>
      </c>
      <c r="J81" s="1688">
        <f t="shared" si="10"/>
        <v>894845</v>
      </c>
      <c r="K81" s="1688">
        <f t="shared" si="10"/>
        <v>371868</v>
      </c>
      <c r="L81" s="347"/>
    </row>
    <row r="82" spans="1:12" ht="0.75" customHeight="1" thickTop="1" thickBot="1" x14ac:dyDescent="0.25">
      <c r="A82" s="536" t="s">
        <v>343</v>
      </c>
      <c r="B82" s="537"/>
      <c r="C82" s="538">
        <f>(C81-C79)</f>
        <v>-1836152</v>
      </c>
      <c r="D82" s="538">
        <f t="shared" ref="D82:K82" si="11">(D81-D79)</f>
        <v>-11220340</v>
      </c>
      <c r="E82" s="538">
        <f t="shared" si="11"/>
        <v>-133702</v>
      </c>
      <c r="F82" s="538">
        <f t="shared" si="11"/>
        <v>331265</v>
      </c>
      <c r="G82" s="538">
        <f t="shared" si="11"/>
        <v>271736</v>
      </c>
      <c r="H82" s="538">
        <f t="shared" si="11"/>
        <v>11080535</v>
      </c>
      <c r="I82" s="538">
        <f t="shared" si="11"/>
        <v>102026</v>
      </c>
      <c r="J82" s="538">
        <f t="shared" si="11"/>
        <v>225658</v>
      </c>
      <c r="K82" s="538">
        <f t="shared" si="11"/>
        <v>51379</v>
      </c>
    </row>
    <row r="83" spans="1:12" ht="14.25" hidden="1" thickTop="1" thickBot="1" x14ac:dyDescent="0.25">
      <c r="A83" s="539" t="s">
        <v>344</v>
      </c>
      <c r="B83" s="464"/>
      <c r="C83" s="540">
        <f>C82/C81</f>
        <v>-0.47208367838953602</v>
      </c>
      <c r="D83" s="540">
        <f t="shared" ref="D83:K83" si="12">D82/D81</f>
        <v>-3.255865240281087</v>
      </c>
      <c r="E83" s="540">
        <f t="shared" si="12"/>
        <v>-6.2154945265416706E-2</v>
      </c>
      <c r="F83" s="540">
        <f t="shared" si="12"/>
        <v>7.4805869211614584E-2</v>
      </c>
      <c r="G83" s="540">
        <f t="shared" si="12"/>
        <v>0.11062120006269197</v>
      </c>
      <c r="H83" s="540">
        <f t="shared" si="12"/>
        <v>1</v>
      </c>
      <c r="I83" s="540">
        <f t="shared" si="12"/>
        <v>0.26393929908343272</v>
      </c>
      <c r="J83" s="540">
        <f t="shared" si="12"/>
        <v>0.25217551643021974</v>
      </c>
      <c r="K83" s="540">
        <f t="shared" si="12"/>
        <v>0.13816461755246484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75" activePane="bottomLeft" state="frozen"/>
      <selection activeCell="X29" sqref="X29"/>
      <selection pane="bottomLeft" activeCell="C101" sqref="C10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1800</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11894256</v>
      </c>
      <c r="D5" s="481">
        <v>2204117</v>
      </c>
      <c r="E5" s="466">
        <v>2684233</v>
      </c>
      <c r="F5" s="548">
        <v>1699293</v>
      </c>
      <c r="G5" s="466">
        <v>739680</v>
      </c>
      <c r="H5" s="466"/>
      <c r="I5" s="466">
        <v>99966</v>
      </c>
      <c r="J5" s="467">
        <v>709711</v>
      </c>
      <c r="K5" s="466">
        <v>149960</v>
      </c>
    </row>
    <row r="6" spans="1:12" ht="15" x14ac:dyDescent="0.2">
      <c r="A6" s="463" t="s">
        <v>1662</v>
      </c>
      <c r="B6" s="470">
        <v>1130</v>
      </c>
      <c r="C6" s="466">
        <v>149960</v>
      </c>
      <c r="D6" s="466"/>
      <c r="E6" s="475"/>
      <c r="F6" s="475"/>
      <c r="G6" s="468"/>
      <c r="H6" s="468"/>
      <c r="I6" s="468"/>
      <c r="J6" s="468"/>
      <c r="K6" s="468"/>
    </row>
    <row r="7" spans="1:12" x14ac:dyDescent="0.2">
      <c r="A7" s="463" t="s">
        <v>110</v>
      </c>
      <c r="B7" s="549">
        <v>1140</v>
      </c>
      <c r="C7" s="466">
        <v>1999144</v>
      </c>
      <c r="D7" s="466"/>
      <c r="E7" s="468"/>
      <c r="F7" s="467"/>
      <c r="G7" s="467"/>
      <c r="H7" s="467"/>
      <c r="I7" s="468"/>
      <c r="J7" s="468"/>
      <c r="K7" s="468"/>
    </row>
    <row r="8" spans="1:12" x14ac:dyDescent="0.2">
      <c r="A8" s="463" t="s">
        <v>413</v>
      </c>
      <c r="B8" s="470">
        <v>1150</v>
      </c>
      <c r="C8" s="475"/>
      <c r="D8" s="475"/>
      <c r="E8" s="477"/>
      <c r="F8" s="477"/>
      <c r="G8" s="481">
        <v>989582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14043360</v>
      </c>
      <c r="D12" s="1707">
        <f t="shared" si="0"/>
        <v>2204117</v>
      </c>
      <c r="E12" s="1707">
        <f t="shared" si="0"/>
        <v>2684233</v>
      </c>
      <c r="F12" s="1707">
        <f t="shared" si="0"/>
        <v>1699293</v>
      </c>
      <c r="G12" s="1707">
        <f t="shared" si="0"/>
        <v>1729262</v>
      </c>
      <c r="H12" s="1707">
        <f t="shared" si="0"/>
        <v>0</v>
      </c>
      <c r="I12" s="1707">
        <f t="shared" si="0"/>
        <v>99966</v>
      </c>
      <c r="J12" s="1707">
        <f t="shared" si="0"/>
        <v>709711</v>
      </c>
      <c r="K12" s="1688">
        <f t="shared" si="0"/>
        <v>149960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27005</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1521936</v>
      </c>
      <c r="E16" s="466"/>
      <c r="F16" s="466"/>
      <c r="G16" s="466">
        <v>104602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27005</v>
      </c>
      <c r="D18" s="1710">
        <f t="shared" ref="D18:K18" si="1">SUM(D14:D17)</f>
        <v>1521936</v>
      </c>
      <c r="E18" s="1710">
        <f t="shared" si="1"/>
        <v>0</v>
      </c>
      <c r="F18" s="1710">
        <f t="shared" si="1"/>
        <v>0</v>
      </c>
      <c r="G18" s="1710">
        <f t="shared" si="1"/>
        <v>104602</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5910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26208</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32118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510275</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135587</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10888</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656750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40164</v>
      </c>
      <c r="D65" s="466">
        <v>23918</v>
      </c>
      <c r="E65" s="466">
        <v>3238</v>
      </c>
      <c r="F65" s="467">
        <v>40510</v>
      </c>
      <c r="G65" s="466">
        <v>12785</v>
      </c>
      <c r="H65" s="466">
        <v>21661</v>
      </c>
      <c r="I65" s="466">
        <v>1590</v>
      </c>
      <c r="J65" s="467">
        <v>3282</v>
      </c>
      <c r="K65" s="466">
        <v>1693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40164</v>
      </c>
      <c r="D67" s="1688">
        <f t="shared" ref="D67:K67" si="2">SUM(D65:D66)</f>
        <v>23918</v>
      </c>
      <c r="E67" s="1688">
        <f t="shared" si="2"/>
        <v>3238</v>
      </c>
      <c r="F67" s="1688">
        <f t="shared" si="2"/>
        <v>40510</v>
      </c>
      <c r="G67" s="1688">
        <f t="shared" si="2"/>
        <v>12785</v>
      </c>
      <c r="H67" s="1688">
        <f t="shared" si="2"/>
        <v>21661</v>
      </c>
      <c r="I67" s="1688">
        <f t="shared" si="2"/>
        <v>1590</v>
      </c>
      <c r="J67" s="1688">
        <f t="shared" si="2"/>
        <v>3282</v>
      </c>
      <c r="K67" s="1688">
        <f t="shared" si="2"/>
        <v>1693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54716</v>
      </c>
      <c r="D74" s="468"/>
      <c r="E74" s="468"/>
      <c r="F74" s="468"/>
      <c r="G74" s="468"/>
      <c r="H74" s="468"/>
      <c r="I74" s="468"/>
      <c r="J74" s="468"/>
      <c r="K74" s="468"/>
    </row>
    <row r="75" spans="1:11" ht="12.75" customHeight="1" thickBot="1" x14ac:dyDescent="0.25">
      <c r="A75" s="1708" t="s">
        <v>548</v>
      </c>
      <c r="B75" s="1709"/>
      <c r="C75" s="1688">
        <f>SUM(C69:C74)</f>
        <v>54716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40823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40823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4000</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4000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36408</v>
      </c>
      <c r="E95" s="521"/>
      <c r="F95" s="521"/>
      <c r="G95" s="521"/>
      <c r="H95" s="521"/>
      <c r="I95" s="521"/>
      <c r="J95" s="521"/>
      <c r="K95" s="521"/>
    </row>
    <row r="96" spans="1:11" ht="12.75" customHeight="1" x14ac:dyDescent="0.2">
      <c r="A96" s="463" t="s">
        <v>391</v>
      </c>
      <c r="B96" s="470">
        <v>1920</v>
      </c>
      <c r="C96" s="551">
        <v>582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47</v>
      </c>
      <c r="D98" s="466"/>
      <c r="E98" s="512"/>
      <c r="F98" s="466"/>
      <c r="G98" s="512"/>
      <c r="H98" s="512"/>
      <c r="I98" s="510"/>
      <c r="J98" s="512"/>
      <c r="K98" s="512"/>
    </row>
    <row r="99" spans="1:12" ht="12.75" customHeight="1" x14ac:dyDescent="0.2">
      <c r="A99" s="463" t="s">
        <v>821</v>
      </c>
      <c r="B99" s="470">
        <v>1950</v>
      </c>
      <c r="C99" s="489">
        <v>1442</v>
      </c>
      <c r="D99" s="466">
        <v>205</v>
      </c>
      <c r="E99" s="466"/>
      <c r="F99" s="466"/>
      <c r="G99" s="466"/>
      <c r="H99" s="466"/>
      <c r="I99" s="468"/>
      <c r="J99" s="467"/>
      <c r="K99" s="466"/>
    </row>
    <row r="100" spans="1:12" ht="12.75" customHeight="1" x14ac:dyDescent="0.2">
      <c r="A100" s="463" t="s">
        <v>245</v>
      </c>
      <c r="B100" s="470">
        <v>1960</v>
      </c>
      <c r="C100" s="489">
        <v>65555</v>
      </c>
      <c r="D100" s="489">
        <v>10278</v>
      </c>
      <c r="E100" s="489">
        <v>12260</v>
      </c>
      <c r="F100" s="489">
        <v>7985</v>
      </c>
      <c r="G100" s="489">
        <v>8126</v>
      </c>
      <c r="H100" s="489"/>
      <c r="I100" s="467">
        <v>470</v>
      </c>
      <c r="J100" s="489">
        <v>3335</v>
      </c>
      <c r="K100" s="467">
        <v>705</v>
      </c>
    </row>
    <row r="101" spans="1:12" ht="12.75" customHeight="1" x14ac:dyDescent="0.2">
      <c r="A101" s="463" t="s">
        <v>246</v>
      </c>
      <c r="B101" s="470">
        <v>1970</v>
      </c>
      <c r="C101" s="489">
        <v>10455</v>
      </c>
      <c r="D101" s="526"/>
      <c r="E101" s="480"/>
      <c r="F101" s="526"/>
      <c r="G101" s="475"/>
      <c r="H101" s="526"/>
      <c r="I101" s="468"/>
      <c r="J101" s="475"/>
      <c r="K101" s="475"/>
    </row>
    <row r="102" spans="1:12" ht="12.75" customHeight="1" x14ac:dyDescent="0.2">
      <c r="A102" s="463" t="s">
        <v>247</v>
      </c>
      <c r="B102" s="470">
        <v>1980</v>
      </c>
      <c r="C102" s="489">
        <v>1796</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19194</v>
      </c>
      <c r="D106" s="489"/>
      <c r="E106" s="467"/>
      <c r="F106" s="467"/>
      <c r="G106" s="467"/>
      <c r="H106" s="467"/>
      <c r="I106" s="521"/>
      <c r="J106" s="467"/>
      <c r="K106" s="467"/>
    </row>
    <row r="107" spans="1:12" ht="12.75" customHeight="1" x14ac:dyDescent="0.2">
      <c r="A107" s="463" t="s">
        <v>78</v>
      </c>
      <c r="B107" s="470">
        <v>1999</v>
      </c>
      <c r="C107" s="551"/>
      <c r="D107" s="466"/>
      <c r="E107" s="466"/>
      <c r="F107" s="466">
        <v>1815</v>
      </c>
      <c r="G107" s="466"/>
      <c r="H107" s="466"/>
      <c r="I107" s="466"/>
      <c r="J107" s="467"/>
      <c r="K107" s="466"/>
    </row>
    <row r="108" spans="1:12" ht="12.75" customHeight="1" thickBot="1" x14ac:dyDescent="0.25">
      <c r="A108" s="1708" t="s">
        <v>487</v>
      </c>
      <c r="B108" s="1712"/>
      <c r="C108" s="1707">
        <f>SUM(C95:C107)</f>
        <v>99071</v>
      </c>
      <c r="D108" s="1707">
        <f t="shared" ref="D108:K108" si="3">SUM(D95:D107)</f>
        <v>46891</v>
      </c>
      <c r="E108" s="1707">
        <f t="shared" si="3"/>
        <v>12260</v>
      </c>
      <c r="F108" s="1707">
        <f t="shared" si="3"/>
        <v>9800</v>
      </c>
      <c r="G108" s="1707">
        <f t="shared" si="3"/>
        <v>8126</v>
      </c>
      <c r="H108" s="1707">
        <f t="shared" si="3"/>
        <v>0</v>
      </c>
      <c r="I108" s="1707">
        <f t="shared" si="3"/>
        <v>470</v>
      </c>
      <c r="J108" s="1707">
        <f t="shared" si="3"/>
        <v>3335</v>
      </c>
      <c r="K108" s="1688">
        <f t="shared" si="3"/>
        <v>705</v>
      </c>
    </row>
    <row r="109" spans="1:12" ht="14.25" thickTop="1" thickBot="1" x14ac:dyDescent="0.25">
      <c r="A109" s="1713" t="s">
        <v>248</v>
      </c>
      <c r="B109" s="1714" t="s">
        <v>570</v>
      </c>
      <c r="C109" s="1715">
        <f t="shared" ref="C109:K109" si="4">SUM(C12,C18,C40,C63,C67,C75,C82,C93,C108,)</f>
        <v>14341257</v>
      </c>
      <c r="D109" s="1715">
        <f t="shared" si="4"/>
        <v>3796862</v>
      </c>
      <c r="E109" s="1715">
        <f t="shared" si="4"/>
        <v>2699731</v>
      </c>
      <c r="F109" s="1715">
        <f t="shared" si="4"/>
        <v>2406353</v>
      </c>
      <c r="G109" s="1715">
        <f t="shared" si="4"/>
        <v>1854775</v>
      </c>
      <c r="H109" s="1715">
        <f t="shared" si="4"/>
        <v>21661</v>
      </c>
      <c r="I109" s="1715">
        <f t="shared" si="4"/>
        <v>102026</v>
      </c>
      <c r="J109" s="1715">
        <f t="shared" si="4"/>
        <v>716328</v>
      </c>
      <c r="K109" s="1702">
        <f t="shared" si="4"/>
        <v>152358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20931524</v>
      </c>
      <c r="D117" s="481">
        <v>800000</v>
      </c>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20931524</v>
      </c>
      <c r="D122" s="1707">
        <f t="shared" si="5"/>
        <v>800000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254785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138613</v>
      </c>
      <c r="D128" s="561"/>
      <c r="E128" s="468"/>
      <c r="F128" s="466"/>
      <c r="G128" s="468"/>
      <c r="H128" s="468"/>
      <c r="I128" s="468"/>
      <c r="J128" s="468"/>
      <c r="K128" s="468"/>
    </row>
    <row r="129" spans="1:11" ht="12.75" customHeight="1" x14ac:dyDescent="0.2">
      <c r="A129" s="463" t="s">
        <v>1447</v>
      </c>
      <c r="B129" s="562">
        <v>3130</v>
      </c>
      <c r="C129" s="466">
        <v>10058</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403456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7628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8665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16293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32346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44108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596231</v>
      </c>
      <c r="G152" s="467"/>
      <c r="H152" s="468"/>
      <c r="I152" s="468"/>
      <c r="J152" s="468"/>
      <c r="K152" s="468"/>
    </row>
    <row r="153" spans="1:11" ht="12.75" customHeight="1" x14ac:dyDescent="0.2">
      <c r="A153" s="463" t="s">
        <v>1057</v>
      </c>
      <c r="B153" s="562">
        <v>3510</v>
      </c>
      <c r="C153" s="551"/>
      <c r="D153" s="466"/>
      <c r="E153" s="561"/>
      <c r="F153" s="466">
        <v>496313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1092544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447335</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233627</v>
      </c>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1177165</v>
      </c>
      <c r="D169" s="1722">
        <f t="shared" si="6"/>
        <v>0</v>
      </c>
      <c r="E169" s="1722">
        <f t="shared" si="6"/>
        <v>0</v>
      </c>
      <c r="F169" s="1722">
        <f t="shared" si="6"/>
        <v>1092544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22108689</v>
      </c>
      <c r="D170" s="1715">
        <f t="shared" si="7"/>
        <v>800000</v>
      </c>
      <c r="E170" s="1715">
        <f t="shared" si="7"/>
        <v>0</v>
      </c>
      <c r="F170" s="1715">
        <f t="shared" si="7"/>
        <v>1092544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83465</v>
      </c>
      <c r="D180" s="466"/>
      <c r="E180" s="468"/>
      <c r="F180" s="466"/>
      <c r="G180" s="466"/>
      <c r="H180" s="466"/>
      <c r="I180" s="468"/>
      <c r="J180" s="468"/>
      <c r="K180" s="466"/>
    </row>
    <row r="181" spans="1:11" ht="13.5" thickBot="1" x14ac:dyDescent="0.25">
      <c r="A181" s="2159" t="s">
        <v>785</v>
      </c>
      <c r="B181" s="2160"/>
      <c r="C181" s="1707">
        <f>SUM(C177:C180)</f>
        <v>83465</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1801</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127825</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127825</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1319700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375388</v>
      </c>
      <c r="D193" s="468"/>
      <c r="E193" s="561"/>
      <c r="F193" s="468"/>
      <c r="G193" s="585"/>
      <c r="H193" s="468"/>
      <c r="I193" s="468"/>
      <c r="J193" s="468"/>
      <c r="K193" s="468"/>
    </row>
    <row r="194" spans="1:11" ht="12.75" customHeight="1" x14ac:dyDescent="0.2">
      <c r="A194" s="463" t="s">
        <v>1451</v>
      </c>
      <c r="B194" s="470">
        <v>4225</v>
      </c>
      <c r="C194" s="551">
        <v>21543</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1716631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1958016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1958016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43884</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1121770</v>
      </c>
      <c r="D213" s="466"/>
      <c r="E213" s="468"/>
      <c r="F213" s="466"/>
      <c r="G213" s="466"/>
      <c r="H213" s="468"/>
      <c r="I213" s="468"/>
      <c r="J213" s="468"/>
      <c r="K213" s="468"/>
    </row>
    <row r="214" spans="1:11" ht="12.75" customHeight="1" x14ac:dyDescent="0.2">
      <c r="A214" s="463" t="s">
        <v>1054</v>
      </c>
      <c r="B214" s="470">
        <v>4625</v>
      </c>
      <c r="C214" s="551">
        <v>199059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1364713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2800</v>
      </c>
      <c r="D220" s="466"/>
      <c r="E220" s="468"/>
      <c r="F220" s="468"/>
      <c r="G220" s="466"/>
      <c r="H220" s="468"/>
      <c r="I220" s="468"/>
      <c r="J220" s="468"/>
      <c r="K220" s="468"/>
    </row>
    <row r="221" spans="1:11" ht="12.75" customHeight="1" thickBot="1" x14ac:dyDescent="0.25">
      <c r="A221" s="1723" t="s">
        <v>1085</v>
      </c>
      <c r="B221" s="1724"/>
      <c r="C221" s="1707">
        <f>SUM(C219:C220)</f>
        <v>2800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1207</v>
      </c>
      <c r="D255" s="468"/>
      <c r="E255" s="468"/>
      <c r="F255" s="578"/>
      <c r="G255" s="573"/>
      <c r="H255" s="468"/>
      <c r="I255" s="468"/>
      <c r="J255" s="468"/>
      <c r="K255" s="468"/>
    </row>
    <row r="256" spans="1:11" ht="12.75" customHeight="1" thickTop="1" thickBot="1" x14ac:dyDescent="0.25">
      <c r="A256" s="463" t="s">
        <v>1457</v>
      </c>
      <c r="B256" s="470">
        <v>4909</v>
      </c>
      <c r="C256" s="576">
        <v>19382</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237877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132458</v>
      </c>
      <c r="D263" s="576"/>
      <c r="E263" s="468"/>
      <c r="F263" s="576"/>
      <c r="G263" s="576"/>
      <c r="H263" s="468"/>
      <c r="I263" s="468"/>
      <c r="J263" s="468"/>
      <c r="K263" s="468"/>
    </row>
    <row r="264" spans="1:11" ht="12.75" customHeight="1" thickTop="1" thickBot="1" x14ac:dyDescent="0.25">
      <c r="A264" s="463" t="s">
        <v>377</v>
      </c>
      <c r="B264" s="470">
        <v>4992</v>
      </c>
      <c r="C264" s="575">
        <v>330971</v>
      </c>
      <c r="D264" s="576"/>
      <c r="E264" s="468"/>
      <c r="F264" s="576">
        <v>40000</v>
      </c>
      <c r="G264" s="576"/>
      <c r="H264" s="468"/>
      <c r="I264" s="468"/>
      <c r="J264" s="468"/>
      <c r="K264" s="468"/>
    </row>
    <row r="265" spans="1:11" s="593" customFormat="1" ht="12.75" customHeight="1" thickTop="1" thickBot="1" x14ac:dyDescent="0.25">
      <c r="A265" s="563" t="s">
        <v>75</v>
      </c>
      <c r="B265" s="557">
        <v>4999</v>
      </c>
      <c r="C265" s="575">
        <v>30970</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5922850</v>
      </c>
      <c r="D266" s="1715">
        <f t="shared" si="10"/>
        <v>0</v>
      </c>
      <c r="E266" s="1715">
        <f t="shared" si="10"/>
        <v>0</v>
      </c>
      <c r="F266" s="1715">
        <f t="shared" si="10"/>
        <v>40000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6006315</v>
      </c>
      <c r="D267" s="1715">
        <f>SUM(D175,D181,D266)</f>
        <v>0</v>
      </c>
      <c r="E267" s="1715">
        <f>SUM(E175,E266)</f>
        <v>0</v>
      </c>
      <c r="F267" s="1715">
        <f t="shared" ref="F267:K267" si="11">SUM(F175,F181,F266)</f>
        <v>40000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42456261</v>
      </c>
      <c r="D268" s="1715">
        <f t="shared" si="12"/>
        <v>4596862</v>
      </c>
      <c r="E268" s="1715">
        <f t="shared" si="12"/>
        <v>2699731</v>
      </c>
      <c r="F268" s="1715">
        <f t="shared" si="12"/>
        <v>3538897</v>
      </c>
      <c r="G268" s="1715">
        <f t="shared" si="12"/>
        <v>1854775</v>
      </c>
      <c r="H268" s="1715">
        <f t="shared" si="12"/>
        <v>21661</v>
      </c>
      <c r="I268" s="1715">
        <f t="shared" si="12"/>
        <v>102026</v>
      </c>
      <c r="J268" s="1715">
        <f t="shared" si="12"/>
        <v>716328</v>
      </c>
      <c r="K268" s="1702">
        <f t="shared" si="12"/>
        <v>152358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colorId="8" zoomScale="110" zoomScaleNormal="110" workbookViewId="0">
      <pane ySplit="2" topLeftCell="A303" activePane="bottomLeft" state="frozen"/>
      <selection activeCell="X29" sqref="X29"/>
      <selection pane="bottomLeft" activeCell="G302" sqref="G3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11874790</v>
      </c>
      <c r="D5" s="466">
        <v>3498420</v>
      </c>
      <c r="E5" s="466">
        <v>58974</v>
      </c>
      <c r="F5" s="466">
        <v>664189</v>
      </c>
      <c r="G5" s="466">
        <v>170000</v>
      </c>
      <c r="H5" s="466"/>
      <c r="I5" s="467">
        <v>66038</v>
      </c>
      <c r="J5" s="467">
        <v>2758</v>
      </c>
      <c r="K5" s="1671">
        <f>SUM(C5:J5)</f>
        <v>16335169</v>
      </c>
      <c r="L5" s="466">
        <v>14739042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479443</v>
      </c>
      <c r="D7" s="467">
        <v>124613</v>
      </c>
      <c r="E7" s="467"/>
      <c r="F7" s="467">
        <v>14656</v>
      </c>
      <c r="G7" s="467">
        <v>5535</v>
      </c>
      <c r="H7" s="467"/>
      <c r="I7" s="467"/>
      <c r="J7" s="467"/>
      <c r="K7" s="1671">
        <f t="shared" ref="K7:K32" si="0">SUM(C7:J7)</f>
        <v>624247</v>
      </c>
      <c r="L7" s="466">
        <v>592097</v>
      </c>
    </row>
    <row r="8" spans="1:14" x14ac:dyDescent="0.2">
      <c r="A8" s="1504" t="s">
        <v>164</v>
      </c>
      <c r="B8" s="614">
        <v>1200</v>
      </c>
      <c r="C8" s="466">
        <v>3083662</v>
      </c>
      <c r="D8" s="466">
        <v>662449</v>
      </c>
      <c r="E8" s="466">
        <v>4728</v>
      </c>
      <c r="F8" s="466">
        <v>39789</v>
      </c>
      <c r="G8" s="466">
        <v>676</v>
      </c>
      <c r="H8" s="466"/>
      <c r="I8" s="467"/>
      <c r="J8" s="467">
        <v>7700</v>
      </c>
      <c r="K8" s="1671">
        <f t="shared" si="0"/>
        <v>3799004</v>
      </c>
      <c r="L8" s="466">
        <v>4188634</v>
      </c>
    </row>
    <row r="9" spans="1:14" x14ac:dyDescent="0.2">
      <c r="A9" s="1504" t="s">
        <v>721</v>
      </c>
      <c r="B9" s="614" t="s">
        <v>968</v>
      </c>
      <c r="C9" s="467">
        <v>29689</v>
      </c>
      <c r="D9" s="467"/>
      <c r="E9" s="467">
        <v>6994</v>
      </c>
      <c r="F9" s="467"/>
      <c r="G9" s="467"/>
      <c r="H9" s="467"/>
      <c r="I9" s="467"/>
      <c r="J9" s="467"/>
      <c r="K9" s="1671">
        <f t="shared" si="0"/>
        <v>36683</v>
      </c>
      <c r="L9" s="466">
        <v>34452</v>
      </c>
    </row>
    <row r="10" spans="1:14" x14ac:dyDescent="0.2">
      <c r="A10" s="1504" t="s">
        <v>722</v>
      </c>
      <c r="B10" s="614">
        <v>1250</v>
      </c>
      <c r="C10" s="466">
        <v>370851</v>
      </c>
      <c r="D10" s="466">
        <v>97985</v>
      </c>
      <c r="E10" s="466">
        <v>133939</v>
      </c>
      <c r="F10" s="466">
        <v>922193</v>
      </c>
      <c r="G10" s="466"/>
      <c r="H10" s="466"/>
      <c r="I10" s="467">
        <v>32255</v>
      </c>
      <c r="J10" s="467"/>
      <c r="K10" s="1671">
        <f t="shared" si="0"/>
        <v>1557223</v>
      </c>
      <c r="L10" s="466">
        <v>1762722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491264</v>
      </c>
      <c r="D13" s="466">
        <v>140784</v>
      </c>
      <c r="E13" s="466"/>
      <c r="F13" s="466">
        <v>11872</v>
      </c>
      <c r="G13" s="466">
        <v>2641</v>
      </c>
      <c r="H13" s="466"/>
      <c r="I13" s="467"/>
      <c r="J13" s="467"/>
      <c r="K13" s="1671">
        <f t="shared" si="0"/>
        <v>646561</v>
      </c>
      <c r="L13" s="466">
        <v>608991</v>
      </c>
    </row>
    <row r="14" spans="1:14" x14ac:dyDescent="0.2">
      <c r="A14" s="1504" t="s">
        <v>963</v>
      </c>
      <c r="B14" s="614">
        <v>1500</v>
      </c>
      <c r="C14" s="466">
        <v>468287</v>
      </c>
      <c r="D14" s="466">
        <v>32175</v>
      </c>
      <c r="E14" s="466">
        <v>71230</v>
      </c>
      <c r="F14" s="466">
        <v>57728</v>
      </c>
      <c r="G14" s="466"/>
      <c r="H14" s="466">
        <v>1738</v>
      </c>
      <c r="I14" s="467"/>
      <c r="J14" s="467"/>
      <c r="K14" s="1671">
        <f t="shared" si="0"/>
        <v>631158</v>
      </c>
      <c r="L14" s="466">
        <v>644253</v>
      </c>
    </row>
    <row r="15" spans="1:14" x14ac:dyDescent="0.2">
      <c r="A15" s="1504" t="s">
        <v>964</v>
      </c>
      <c r="B15" s="614">
        <v>1600</v>
      </c>
      <c r="C15" s="466">
        <v>243023</v>
      </c>
      <c r="D15" s="466">
        <v>23595</v>
      </c>
      <c r="E15" s="466">
        <v>4712</v>
      </c>
      <c r="F15" s="466">
        <v>66808</v>
      </c>
      <c r="G15" s="466"/>
      <c r="H15" s="466"/>
      <c r="I15" s="467"/>
      <c r="J15" s="467"/>
      <c r="K15" s="1671">
        <f t="shared" si="0"/>
        <v>338138</v>
      </c>
      <c r="L15" s="466">
        <v>224165</v>
      </c>
    </row>
    <row r="16" spans="1:14" x14ac:dyDescent="0.2">
      <c r="A16" s="1504" t="s">
        <v>987</v>
      </c>
      <c r="B16" s="614" t="s">
        <v>424</v>
      </c>
      <c r="C16" s="466">
        <v>338133</v>
      </c>
      <c r="D16" s="466">
        <v>74848</v>
      </c>
      <c r="E16" s="466"/>
      <c r="F16" s="466"/>
      <c r="G16" s="466"/>
      <c r="H16" s="466"/>
      <c r="I16" s="467"/>
      <c r="J16" s="467"/>
      <c r="K16" s="1671">
        <f t="shared" si="0"/>
        <v>412981</v>
      </c>
      <c r="L16" s="466">
        <v>587009</v>
      </c>
    </row>
    <row r="17" spans="1:12" x14ac:dyDescent="0.2">
      <c r="A17" s="1504" t="s">
        <v>724</v>
      </c>
      <c r="B17" s="614" t="s">
        <v>162</v>
      </c>
      <c r="C17" s="467">
        <v>117315</v>
      </c>
      <c r="D17" s="467">
        <v>36902</v>
      </c>
      <c r="E17" s="467">
        <v>290</v>
      </c>
      <c r="F17" s="467">
        <v>1011</v>
      </c>
      <c r="G17" s="467"/>
      <c r="H17" s="467"/>
      <c r="I17" s="467"/>
      <c r="J17" s="467"/>
      <c r="K17" s="1671">
        <f t="shared" si="0"/>
        <v>155518</v>
      </c>
      <c r="L17" s="466">
        <v>133750</v>
      </c>
    </row>
    <row r="18" spans="1:12" x14ac:dyDescent="0.2">
      <c r="A18" s="1504" t="s">
        <v>1087</v>
      </c>
      <c r="B18" s="614">
        <v>1800</v>
      </c>
      <c r="C18" s="466">
        <v>493400</v>
      </c>
      <c r="D18" s="466">
        <v>66314</v>
      </c>
      <c r="E18" s="466">
        <v>223</v>
      </c>
      <c r="F18" s="466">
        <v>49517</v>
      </c>
      <c r="G18" s="466"/>
      <c r="H18" s="466"/>
      <c r="I18" s="467"/>
      <c r="J18" s="467"/>
      <c r="K18" s="1671">
        <f t="shared" si="0"/>
        <v>609454</v>
      </c>
      <c r="L18" s="466">
        <v>560373</v>
      </c>
    </row>
    <row r="19" spans="1:12" x14ac:dyDescent="0.2">
      <c r="A19" s="1504" t="s">
        <v>134</v>
      </c>
      <c r="B19" s="614">
        <v>1900</v>
      </c>
      <c r="C19" s="466"/>
      <c r="D19" s="466">
        <v>37412</v>
      </c>
      <c r="E19" s="466">
        <v>260025</v>
      </c>
      <c r="F19" s="466">
        <v>9462</v>
      </c>
      <c r="G19" s="466"/>
      <c r="H19" s="466"/>
      <c r="I19" s="467"/>
      <c r="J19" s="467"/>
      <c r="K19" s="1671">
        <f t="shared" si="0"/>
        <v>306899</v>
      </c>
      <c r="L19" s="466">
        <v>260808</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1276922</v>
      </c>
      <c r="I22" s="616"/>
      <c r="J22" s="477"/>
      <c r="K22" s="1671">
        <f t="shared" si="0"/>
        <v>1276922</v>
      </c>
      <c r="L22" s="471">
        <v>800000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v>10000</v>
      </c>
      <c r="I24" s="616"/>
      <c r="J24" s="477"/>
      <c r="K24" s="1671">
        <f t="shared" si="0"/>
        <v>10000</v>
      </c>
      <c r="L24" s="471">
        <v>10000</v>
      </c>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v>9491</v>
      </c>
      <c r="I31" s="616"/>
      <c r="J31" s="477"/>
      <c r="K31" s="1671">
        <f t="shared" si="0"/>
        <v>9491</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17989857</v>
      </c>
      <c r="D33" s="1670">
        <f t="shared" ref="D33:L33" si="1">SUM(D5:D32)</f>
        <v>4795497</v>
      </c>
      <c r="E33" s="1670">
        <f t="shared" si="1"/>
        <v>541115</v>
      </c>
      <c r="F33" s="1670">
        <f t="shared" si="1"/>
        <v>1837225</v>
      </c>
      <c r="G33" s="1670">
        <f t="shared" si="1"/>
        <v>178852</v>
      </c>
      <c r="H33" s="1670">
        <f t="shared" si="1"/>
        <v>1298151</v>
      </c>
      <c r="I33" s="1670">
        <f t="shared" si="1"/>
        <v>98293</v>
      </c>
      <c r="J33" s="1670">
        <f t="shared" si="1"/>
        <v>10458</v>
      </c>
      <c r="K33" s="1670">
        <f t="shared" si="1"/>
        <v>26749448</v>
      </c>
      <c r="L33" s="1670">
        <f t="shared" si="1"/>
        <v>25146296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952428</v>
      </c>
      <c r="D36" s="481">
        <v>271652</v>
      </c>
      <c r="E36" s="481">
        <v>10264</v>
      </c>
      <c r="F36" s="481">
        <v>5093</v>
      </c>
      <c r="G36" s="481"/>
      <c r="H36" s="481"/>
      <c r="I36" s="467"/>
      <c r="J36" s="467"/>
      <c r="K36" s="1671">
        <f t="shared" ref="K36:K41" si="2">SUM(C36:J36)</f>
        <v>1239437</v>
      </c>
      <c r="L36" s="466">
        <v>1097558</v>
      </c>
    </row>
    <row r="37" spans="1:14" x14ac:dyDescent="0.2">
      <c r="A37" s="1504" t="s">
        <v>1090</v>
      </c>
      <c r="B37" s="614">
        <v>2120</v>
      </c>
      <c r="C37" s="466">
        <v>640507</v>
      </c>
      <c r="D37" s="466">
        <v>167704</v>
      </c>
      <c r="E37" s="466">
        <v>49</v>
      </c>
      <c r="F37" s="466"/>
      <c r="G37" s="466"/>
      <c r="H37" s="466"/>
      <c r="I37" s="467"/>
      <c r="J37" s="467"/>
      <c r="K37" s="1671">
        <f t="shared" si="2"/>
        <v>808260</v>
      </c>
      <c r="L37" s="466">
        <v>904802</v>
      </c>
    </row>
    <row r="38" spans="1:14" x14ac:dyDescent="0.2">
      <c r="A38" s="1504" t="s">
        <v>198</v>
      </c>
      <c r="B38" s="614">
        <v>2130</v>
      </c>
      <c r="C38" s="466">
        <v>597065</v>
      </c>
      <c r="D38" s="466">
        <v>125740</v>
      </c>
      <c r="E38" s="466">
        <v>1164</v>
      </c>
      <c r="F38" s="466">
        <v>8015</v>
      </c>
      <c r="G38" s="466"/>
      <c r="H38" s="466"/>
      <c r="I38" s="467"/>
      <c r="J38" s="467"/>
      <c r="K38" s="1671">
        <f t="shared" si="2"/>
        <v>731984</v>
      </c>
      <c r="L38" s="466">
        <v>707807</v>
      </c>
    </row>
    <row r="39" spans="1:14" x14ac:dyDescent="0.2">
      <c r="A39" s="1504" t="s">
        <v>199</v>
      </c>
      <c r="B39" s="614">
        <v>2140</v>
      </c>
      <c r="C39" s="466">
        <v>314104</v>
      </c>
      <c r="D39" s="466">
        <v>66065</v>
      </c>
      <c r="E39" s="466">
        <v>3228</v>
      </c>
      <c r="F39" s="466">
        <v>9076</v>
      </c>
      <c r="G39" s="466"/>
      <c r="H39" s="466"/>
      <c r="I39" s="467"/>
      <c r="J39" s="467"/>
      <c r="K39" s="1671">
        <f t="shared" si="2"/>
        <v>392473</v>
      </c>
      <c r="L39" s="466">
        <v>379047</v>
      </c>
    </row>
    <row r="40" spans="1:14" x14ac:dyDescent="0.2">
      <c r="A40" s="1504" t="s">
        <v>200</v>
      </c>
      <c r="B40" s="614">
        <v>2150</v>
      </c>
      <c r="C40" s="466">
        <v>452368</v>
      </c>
      <c r="D40" s="466">
        <v>110211</v>
      </c>
      <c r="E40" s="466">
        <v>8120</v>
      </c>
      <c r="F40" s="466">
        <v>1390</v>
      </c>
      <c r="G40" s="466"/>
      <c r="H40" s="466"/>
      <c r="I40" s="467"/>
      <c r="J40" s="467"/>
      <c r="K40" s="1671">
        <f t="shared" si="2"/>
        <v>572089</v>
      </c>
      <c r="L40" s="466">
        <v>533924</v>
      </c>
    </row>
    <row r="41" spans="1:14" x14ac:dyDescent="0.2">
      <c r="A41" s="1504" t="s">
        <v>1669</v>
      </c>
      <c r="B41" s="614">
        <v>2190</v>
      </c>
      <c r="C41" s="466">
        <v>147220</v>
      </c>
      <c r="D41" s="466">
        <v>28041</v>
      </c>
      <c r="E41" s="466"/>
      <c r="F41" s="466"/>
      <c r="G41" s="466"/>
      <c r="H41" s="466">
        <v>132769</v>
      </c>
      <c r="I41" s="467"/>
      <c r="J41" s="467"/>
      <c r="K41" s="1671">
        <f t="shared" si="2"/>
        <v>308030</v>
      </c>
      <c r="L41" s="466">
        <v>207331</v>
      </c>
    </row>
    <row r="42" spans="1:14" ht="12.75" customHeight="1" thickBot="1" x14ac:dyDescent="0.25">
      <c r="A42" s="1668" t="s">
        <v>560</v>
      </c>
      <c r="B42" s="1669" t="s">
        <v>716</v>
      </c>
      <c r="C42" s="1670">
        <f>SUM(C36:C41)</f>
        <v>3103692</v>
      </c>
      <c r="D42" s="1670">
        <f t="shared" ref="D42:L42" si="3">SUM(D36:D41)</f>
        <v>769413</v>
      </c>
      <c r="E42" s="1670">
        <f t="shared" si="3"/>
        <v>22825</v>
      </c>
      <c r="F42" s="1670">
        <f t="shared" si="3"/>
        <v>23574</v>
      </c>
      <c r="G42" s="1670">
        <f t="shared" si="3"/>
        <v>0</v>
      </c>
      <c r="H42" s="1670">
        <f t="shared" si="3"/>
        <v>132769</v>
      </c>
      <c r="I42" s="1670">
        <f t="shared" si="3"/>
        <v>0</v>
      </c>
      <c r="J42" s="1670">
        <f t="shared" si="3"/>
        <v>0</v>
      </c>
      <c r="K42" s="1670">
        <f t="shared" si="3"/>
        <v>4052273</v>
      </c>
      <c r="L42" s="1670">
        <f t="shared" si="3"/>
        <v>3830469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1080172</v>
      </c>
      <c r="D44" s="481">
        <v>377588</v>
      </c>
      <c r="E44" s="481">
        <v>415692</v>
      </c>
      <c r="F44" s="481">
        <v>12828</v>
      </c>
      <c r="G44" s="481"/>
      <c r="H44" s="481">
        <v>3862</v>
      </c>
      <c r="I44" s="467"/>
      <c r="J44" s="467"/>
      <c r="K44" s="1672">
        <f>SUM(C44:J44)</f>
        <v>1890142</v>
      </c>
      <c r="L44" s="481">
        <v>2450995</v>
      </c>
    </row>
    <row r="45" spans="1:14" x14ac:dyDescent="0.2">
      <c r="A45" s="1504" t="s">
        <v>815</v>
      </c>
      <c r="B45" s="614">
        <v>2220</v>
      </c>
      <c r="C45" s="466">
        <v>784562</v>
      </c>
      <c r="D45" s="466">
        <v>142126</v>
      </c>
      <c r="E45" s="466">
        <v>701384</v>
      </c>
      <c r="F45" s="466">
        <v>294420</v>
      </c>
      <c r="G45" s="466">
        <v>29376</v>
      </c>
      <c r="H45" s="466"/>
      <c r="I45" s="467">
        <v>319991</v>
      </c>
      <c r="J45" s="467">
        <v>691</v>
      </c>
      <c r="K45" s="1672">
        <f>SUM(C45:J45)</f>
        <v>2272550</v>
      </c>
      <c r="L45" s="466">
        <v>2318234</v>
      </c>
    </row>
    <row r="46" spans="1:14" x14ac:dyDescent="0.2">
      <c r="A46" s="1504" t="s">
        <v>816</v>
      </c>
      <c r="B46" s="614">
        <v>2230</v>
      </c>
      <c r="C46" s="466">
        <v>1159</v>
      </c>
      <c r="D46" s="466">
        <v>259</v>
      </c>
      <c r="E46" s="466">
        <v>10038</v>
      </c>
      <c r="F46" s="466">
        <v>66832</v>
      </c>
      <c r="G46" s="466"/>
      <c r="H46" s="466"/>
      <c r="I46" s="467"/>
      <c r="J46" s="467"/>
      <c r="K46" s="1672">
        <f>SUM(C46:J46)</f>
        <v>78288</v>
      </c>
      <c r="L46" s="466">
        <v>53200</v>
      </c>
    </row>
    <row r="47" spans="1:14" ht="12.75" customHeight="1" thickBot="1" x14ac:dyDescent="0.25">
      <c r="A47" s="1668" t="s">
        <v>561</v>
      </c>
      <c r="B47" s="1669" t="s">
        <v>32</v>
      </c>
      <c r="C47" s="1670">
        <f>SUM(C44:C46)</f>
        <v>1865893</v>
      </c>
      <c r="D47" s="1670">
        <f t="shared" ref="D47:K47" si="4">SUM(D44:D46)</f>
        <v>519973</v>
      </c>
      <c r="E47" s="1670">
        <f t="shared" si="4"/>
        <v>1127114</v>
      </c>
      <c r="F47" s="1670">
        <f t="shared" si="4"/>
        <v>374080</v>
      </c>
      <c r="G47" s="1670">
        <f t="shared" si="4"/>
        <v>29376</v>
      </c>
      <c r="H47" s="1670">
        <f t="shared" si="4"/>
        <v>3862</v>
      </c>
      <c r="I47" s="1670">
        <f t="shared" si="4"/>
        <v>319991</v>
      </c>
      <c r="J47" s="1670">
        <f t="shared" si="4"/>
        <v>691</v>
      </c>
      <c r="K47" s="1670">
        <f t="shared" si="4"/>
        <v>4240980</v>
      </c>
      <c r="L47" s="1670">
        <f>SUM(L44:L46)</f>
        <v>4822429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2848</v>
      </c>
      <c r="D49" s="481"/>
      <c r="E49" s="481">
        <v>102173</v>
      </c>
      <c r="F49" s="481">
        <v>1500</v>
      </c>
      <c r="G49" s="481"/>
      <c r="H49" s="481">
        <v>16004</v>
      </c>
      <c r="I49" s="467"/>
      <c r="J49" s="467"/>
      <c r="K49" s="1672">
        <f>SUM(C49:J49)</f>
        <v>122525</v>
      </c>
      <c r="L49" s="481">
        <v>173010</v>
      </c>
    </row>
    <row r="50" spans="1:14" x14ac:dyDescent="0.2">
      <c r="A50" s="1504" t="s">
        <v>818</v>
      </c>
      <c r="B50" s="614">
        <v>2320</v>
      </c>
      <c r="C50" s="466">
        <v>225898</v>
      </c>
      <c r="D50" s="466">
        <v>54934</v>
      </c>
      <c r="E50" s="466">
        <v>5967</v>
      </c>
      <c r="F50" s="466">
        <v>8437</v>
      </c>
      <c r="G50" s="466"/>
      <c r="H50" s="466">
        <v>6569</v>
      </c>
      <c r="I50" s="467"/>
      <c r="J50" s="467"/>
      <c r="K50" s="1672">
        <f>SUM(C50:J50)</f>
        <v>301805</v>
      </c>
      <c r="L50" s="466">
        <v>305063</v>
      </c>
    </row>
    <row r="51" spans="1:14" x14ac:dyDescent="0.2">
      <c r="A51" s="1504" t="s">
        <v>42</v>
      </c>
      <c r="B51" s="614">
        <v>2330</v>
      </c>
      <c r="C51" s="466">
        <v>304242</v>
      </c>
      <c r="D51" s="466">
        <v>78341</v>
      </c>
      <c r="E51" s="466">
        <v>30347</v>
      </c>
      <c r="F51" s="466">
        <v>14370</v>
      </c>
      <c r="G51" s="466"/>
      <c r="H51" s="466"/>
      <c r="I51" s="467"/>
      <c r="J51" s="467"/>
      <c r="K51" s="1672">
        <f>SUM(C51:J51)</f>
        <v>427300</v>
      </c>
      <c r="L51" s="466">
        <v>440278</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532988</v>
      </c>
      <c r="D53" s="1670">
        <f t="shared" ref="D53:L53" si="5">SUM(D49:D52)</f>
        <v>133275</v>
      </c>
      <c r="E53" s="1670">
        <f t="shared" si="5"/>
        <v>138487</v>
      </c>
      <c r="F53" s="1670">
        <f t="shared" si="5"/>
        <v>24307</v>
      </c>
      <c r="G53" s="1670">
        <f t="shared" si="5"/>
        <v>0</v>
      </c>
      <c r="H53" s="1670">
        <f t="shared" si="5"/>
        <v>22573</v>
      </c>
      <c r="I53" s="1670">
        <f t="shared" si="5"/>
        <v>0</v>
      </c>
      <c r="J53" s="1670">
        <f t="shared" si="5"/>
        <v>0</v>
      </c>
      <c r="K53" s="1670">
        <f t="shared" si="5"/>
        <v>851630</v>
      </c>
      <c r="L53" s="1670">
        <f t="shared" si="5"/>
        <v>918351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1895899</v>
      </c>
      <c r="D55" s="481">
        <v>601359</v>
      </c>
      <c r="E55" s="481">
        <v>34410</v>
      </c>
      <c r="F55" s="481">
        <v>110558</v>
      </c>
      <c r="G55" s="481"/>
      <c r="H55" s="481">
        <v>6633</v>
      </c>
      <c r="I55" s="467"/>
      <c r="J55" s="467">
        <v>5429</v>
      </c>
      <c r="K55" s="1672">
        <f>SUM(C55:J55)</f>
        <v>2654288</v>
      </c>
      <c r="L55" s="481">
        <v>2625904</v>
      </c>
    </row>
    <row r="56" spans="1:14" ht="12.75" customHeight="1" x14ac:dyDescent="0.2">
      <c r="A56" s="1508" t="s">
        <v>376</v>
      </c>
      <c r="B56" s="628">
        <v>2490</v>
      </c>
      <c r="C56" s="466">
        <v>788914</v>
      </c>
      <c r="D56" s="466">
        <v>174147</v>
      </c>
      <c r="E56" s="466">
        <v>4488</v>
      </c>
      <c r="F56" s="466"/>
      <c r="G56" s="466"/>
      <c r="H56" s="466"/>
      <c r="I56" s="467"/>
      <c r="J56" s="467"/>
      <c r="K56" s="1672">
        <f>SUM(C56:J56)</f>
        <v>967549</v>
      </c>
      <c r="L56" s="466">
        <v>522782</v>
      </c>
    </row>
    <row r="57" spans="1:14" s="343" customFormat="1" ht="12.75" customHeight="1" thickBot="1" x14ac:dyDescent="0.25">
      <c r="A57" s="1668" t="s">
        <v>263</v>
      </c>
      <c r="B57" s="1673" t="s">
        <v>34</v>
      </c>
      <c r="C57" s="1674">
        <f>SUM(C55:C56)</f>
        <v>2684813</v>
      </c>
      <c r="D57" s="1674">
        <f t="shared" ref="D57:K57" si="6">SUM(D55:D56)</f>
        <v>775506</v>
      </c>
      <c r="E57" s="1674">
        <f t="shared" si="6"/>
        <v>38898</v>
      </c>
      <c r="F57" s="1674">
        <f t="shared" si="6"/>
        <v>110558</v>
      </c>
      <c r="G57" s="1674">
        <f t="shared" si="6"/>
        <v>0</v>
      </c>
      <c r="H57" s="1674">
        <f t="shared" si="6"/>
        <v>6633</v>
      </c>
      <c r="I57" s="1674">
        <f t="shared" si="6"/>
        <v>0</v>
      </c>
      <c r="J57" s="1674">
        <f t="shared" si="6"/>
        <v>5429</v>
      </c>
      <c r="K57" s="1674">
        <f t="shared" si="6"/>
        <v>3621837</v>
      </c>
      <c r="L57" s="1670">
        <f>SUM(L55:L56)</f>
        <v>3148686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173610</v>
      </c>
      <c r="D59" s="481">
        <v>50277</v>
      </c>
      <c r="E59" s="481">
        <v>143240</v>
      </c>
      <c r="F59" s="481">
        <v>2000</v>
      </c>
      <c r="G59" s="481"/>
      <c r="H59" s="481">
        <v>29271</v>
      </c>
      <c r="I59" s="467"/>
      <c r="J59" s="467"/>
      <c r="K59" s="1672">
        <f t="shared" ref="K59:K64" si="7">SUM(C59:J59)</f>
        <v>398398</v>
      </c>
      <c r="L59" s="481">
        <v>386260</v>
      </c>
      <c r="M59" s="609"/>
      <c r="N59" s="609"/>
    </row>
    <row r="60" spans="1:14" s="343" customFormat="1" x14ac:dyDescent="0.2">
      <c r="A60" s="1504" t="s">
        <v>463</v>
      </c>
      <c r="B60" s="614">
        <v>2520</v>
      </c>
      <c r="C60" s="466">
        <v>164567</v>
      </c>
      <c r="D60" s="466">
        <v>76543</v>
      </c>
      <c r="E60" s="466">
        <v>4311</v>
      </c>
      <c r="F60" s="466">
        <v>1731</v>
      </c>
      <c r="G60" s="466"/>
      <c r="H60" s="466"/>
      <c r="I60" s="467"/>
      <c r="J60" s="467">
        <v>21150</v>
      </c>
      <c r="K60" s="1672">
        <f t="shared" si="7"/>
        <v>268302</v>
      </c>
      <c r="L60" s="466">
        <v>267712</v>
      </c>
      <c r="M60" s="609"/>
      <c r="N60" s="609"/>
    </row>
    <row r="61" spans="1:14" s="343" customFormat="1" x14ac:dyDescent="0.2">
      <c r="A61" s="1504" t="s">
        <v>197</v>
      </c>
      <c r="B61" s="614">
        <v>2540</v>
      </c>
      <c r="C61" s="466">
        <v>9312</v>
      </c>
      <c r="D61" s="466"/>
      <c r="E61" s="466"/>
      <c r="F61" s="466"/>
      <c r="G61" s="466"/>
      <c r="H61" s="466"/>
      <c r="I61" s="467"/>
      <c r="J61" s="467"/>
      <c r="K61" s="1672">
        <f t="shared" si="7"/>
        <v>9312</v>
      </c>
      <c r="L61" s="466"/>
      <c r="M61" s="609"/>
      <c r="N61" s="609"/>
    </row>
    <row r="62" spans="1:14" s="343" customFormat="1" x14ac:dyDescent="0.2">
      <c r="A62" s="1504" t="s">
        <v>953</v>
      </c>
      <c r="B62" s="614">
        <v>2550</v>
      </c>
      <c r="C62" s="466">
        <v>330</v>
      </c>
      <c r="D62" s="466"/>
      <c r="E62" s="466">
        <v>83213</v>
      </c>
      <c r="F62" s="466"/>
      <c r="G62" s="466"/>
      <c r="H62" s="466"/>
      <c r="I62" s="467"/>
      <c r="J62" s="467"/>
      <c r="K62" s="1672">
        <f t="shared" si="7"/>
        <v>83543</v>
      </c>
      <c r="L62" s="466">
        <v>63360</v>
      </c>
      <c r="M62" s="609"/>
      <c r="N62" s="609"/>
    </row>
    <row r="63" spans="1:14" s="609" customFormat="1" x14ac:dyDescent="0.2">
      <c r="A63" s="1504" t="s">
        <v>100</v>
      </c>
      <c r="B63" s="614">
        <v>2560</v>
      </c>
      <c r="C63" s="466">
        <v>732620</v>
      </c>
      <c r="D63" s="466">
        <v>132297</v>
      </c>
      <c r="E63" s="466">
        <v>45302</v>
      </c>
      <c r="F63" s="466">
        <v>1228845</v>
      </c>
      <c r="G63" s="466">
        <v>103628</v>
      </c>
      <c r="H63" s="466">
        <v>1438</v>
      </c>
      <c r="I63" s="467"/>
      <c r="J63" s="467">
        <v>9840</v>
      </c>
      <c r="K63" s="1672">
        <f t="shared" si="7"/>
        <v>2253970</v>
      </c>
      <c r="L63" s="466">
        <v>2386287</v>
      </c>
    </row>
    <row r="64" spans="1:14" s="609" customFormat="1" x14ac:dyDescent="0.2">
      <c r="A64" s="1509" t="s">
        <v>101</v>
      </c>
      <c r="B64" s="630">
        <v>2570</v>
      </c>
      <c r="C64" s="481">
        <v>73843</v>
      </c>
      <c r="D64" s="481">
        <v>19482</v>
      </c>
      <c r="E64" s="481">
        <v>9248</v>
      </c>
      <c r="F64" s="481">
        <v>451</v>
      </c>
      <c r="G64" s="481"/>
      <c r="H64" s="481"/>
      <c r="I64" s="467"/>
      <c r="J64" s="467"/>
      <c r="K64" s="1672">
        <f t="shared" si="7"/>
        <v>103024</v>
      </c>
      <c r="L64" s="481">
        <v>109664</v>
      </c>
    </row>
    <row r="65" spans="1:14" s="343" customFormat="1" ht="12.75" customHeight="1" thickBot="1" x14ac:dyDescent="0.25">
      <c r="A65" s="1668" t="s">
        <v>719</v>
      </c>
      <c r="B65" s="1669" t="s">
        <v>35</v>
      </c>
      <c r="C65" s="1670">
        <f>SUM(C59:C64)</f>
        <v>1154282</v>
      </c>
      <c r="D65" s="1670">
        <f t="shared" ref="D65:L65" si="8">SUM(D59:D64)</f>
        <v>278599</v>
      </c>
      <c r="E65" s="1670">
        <f t="shared" si="8"/>
        <v>285314</v>
      </c>
      <c r="F65" s="1670">
        <f t="shared" si="8"/>
        <v>1233027</v>
      </c>
      <c r="G65" s="1670">
        <f t="shared" si="8"/>
        <v>103628</v>
      </c>
      <c r="H65" s="1670">
        <f t="shared" si="8"/>
        <v>30709</v>
      </c>
      <c r="I65" s="1670">
        <f t="shared" si="8"/>
        <v>0</v>
      </c>
      <c r="J65" s="1670">
        <f t="shared" si="8"/>
        <v>30990</v>
      </c>
      <c r="K65" s="1670">
        <f t="shared" si="8"/>
        <v>3116549</v>
      </c>
      <c r="L65" s="1670">
        <f t="shared" si="8"/>
        <v>3213283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v>268</v>
      </c>
      <c r="D68" s="466">
        <v>60</v>
      </c>
      <c r="E68" s="466">
        <v>14886</v>
      </c>
      <c r="F68" s="466"/>
      <c r="G68" s="466"/>
      <c r="H68" s="466"/>
      <c r="I68" s="467"/>
      <c r="J68" s="467"/>
      <c r="K68" s="1672">
        <f>SUM(C68:J68)</f>
        <v>15214</v>
      </c>
      <c r="L68" s="466">
        <v>81601</v>
      </c>
      <c r="M68" s="609"/>
      <c r="N68" s="609"/>
    </row>
    <row r="69" spans="1:14" s="343" customFormat="1" x14ac:dyDescent="0.2">
      <c r="A69" s="1504" t="s">
        <v>1061</v>
      </c>
      <c r="B69" s="614">
        <v>2630</v>
      </c>
      <c r="C69" s="466">
        <v>75963</v>
      </c>
      <c r="D69" s="466">
        <v>11182</v>
      </c>
      <c r="E69" s="466">
        <v>4926</v>
      </c>
      <c r="F69" s="466">
        <v>2879</v>
      </c>
      <c r="G69" s="466"/>
      <c r="H69" s="466">
        <v>8102</v>
      </c>
      <c r="I69" s="467"/>
      <c r="J69" s="467"/>
      <c r="K69" s="1672">
        <f>SUM(C69:J69)</f>
        <v>103052</v>
      </c>
      <c r="L69" s="466">
        <v>105767</v>
      </c>
      <c r="M69" s="609"/>
      <c r="N69" s="609"/>
    </row>
    <row r="70" spans="1:14" s="343" customFormat="1" x14ac:dyDescent="0.2">
      <c r="A70" s="1504" t="s">
        <v>403</v>
      </c>
      <c r="B70" s="614">
        <v>2640</v>
      </c>
      <c r="C70" s="466">
        <v>224779</v>
      </c>
      <c r="D70" s="466">
        <v>60368</v>
      </c>
      <c r="E70" s="466">
        <v>44059</v>
      </c>
      <c r="F70" s="466">
        <v>17231</v>
      </c>
      <c r="G70" s="466"/>
      <c r="H70" s="466">
        <v>2341</v>
      </c>
      <c r="I70" s="467"/>
      <c r="J70" s="467"/>
      <c r="K70" s="1672">
        <f>SUM(C70:J70)</f>
        <v>348778</v>
      </c>
      <c r="L70" s="466">
        <v>418824</v>
      </c>
      <c r="M70" s="609"/>
      <c r="N70" s="609"/>
    </row>
    <row r="71" spans="1:14" s="343" customFormat="1" x14ac:dyDescent="0.2">
      <c r="A71" s="1504" t="s">
        <v>404</v>
      </c>
      <c r="B71" s="614">
        <v>2660</v>
      </c>
      <c r="C71" s="466"/>
      <c r="D71" s="466"/>
      <c r="E71" s="466">
        <v>128087</v>
      </c>
      <c r="F71" s="466"/>
      <c r="G71" s="466"/>
      <c r="H71" s="466"/>
      <c r="I71" s="467"/>
      <c r="J71" s="467"/>
      <c r="K71" s="1672">
        <f>SUM(C71:J71)</f>
        <v>128087</v>
      </c>
      <c r="L71" s="466">
        <v>110000</v>
      </c>
      <c r="M71" s="609"/>
      <c r="N71" s="609"/>
    </row>
    <row r="72" spans="1:14" s="343" customFormat="1" ht="12.75" customHeight="1" thickBot="1" x14ac:dyDescent="0.25">
      <c r="A72" s="1668" t="s">
        <v>37</v>
      </c>
      <c r="B72" s="1675" t="s">
        <v>36</v>
      </c>
      <c r="C72" s="1670">
        <f>SUM(C67:C71)</f>
        <v>301010</v>
      </c>
      <c r="D72" s="1670">
        <f t="shared" ref="D72:K72" si="9">SUM(D67:D71)</f>
        <v>71610</v>
      </c>
      <c r="E72" s="1670">
        <f t="shared" si="9"/>
        <v>191958</v>
      </c>
      <c r="F72" s="1670">
        <f t="shared" si="9"/>
        <v>20110</v>
      </c>
      <c r="G72" s="1670">
        <f t="shared" si="9"/>
        <v>0</v>
      </c>
      <c r="H72" s="1670">
        <f t="shared" si="9"/>
        <v>10443</v>
      </c>
      <c r="I72" s="1670">
        <f t="shared" si="9"/>
        <v>0</v>
      </c>
      <c r="J72" s="1670">
        <f t="shared" si="9"/>
        <v>0</v>
      </c>
      <c r="K72" s="1670">
        <f t="shared" si="9"/>
        <v>595131</v>
      </c>
      <c r="L72" s="1670">
        <f>SUM(L67:L71)</f>
        <v>716192</v>
      </c>
      <c r="M72" s="609"/>
      <c r="N72" s="609"/>
    </row>
    <row r="73" spans="1:14" s="343" customFormat="1" ht="14.25" thickTop="1" thickBot="1" x14ac:dyDescent="0.25">
      <c r="A73" s="1510" t="s">
        <v>980</v>
      </c>
      <c r="B73" s="632" t="s">
        <v>574</v>
      </c>
      <c r="C73" s="573">
        <v>69203</v>
      </c>
      <c r="D73" s="573">
        <v>12929</v>
      </c>
      <c r="E73" s="573">
        <v>3746</v>
      </c>
      <c r="F73" s="573">
        <v>350</v>
      </c>
      <c r="G73" s="573"/>
      <c r="H73" s="573"/>
      <c r="I73" s="531"/>
      <c r="J73" s="531">
        <v>10650</v>
      </c>
      <c r="K73" s="1670">
        <f>SUM(C73:J73)</f>
        <v>96878</v>
      </c>
      <c r="L73" s="576">
        <v>99685</v>
      </c>
      <c r="M73" s="609"/>
      <c r="N73" s="609"/>
    </row>
    <row r="74" spans="1:14" ht="12.75" customHeight="1" thickTop="1" thickBot="1" x14ac:dyDescent="0.25">
      <c r="A74" s="1668" t="s">
        <v>811</v>
      </c>
      <c r="B74" s="1676">
        <v>2000</v>
      </c>
      <c r="C74" s="1677">
        <f>SUM(C42,C47,C53,C57,C65,C72,C73)</f>
        <v>9711881</v>
      </c>
      <c r="D74" s="1677">
        <f t="shared" ref="D74:K74" si="10">SUM(D42,D47,D53,D57,D65,D72,D73)</f>
        <v>2561305</v>
      </c>
      <c r="E74" s="1677">
        <f t="shared" si="10"/>
        <v>1808342</v>
      </c>
      <c r="F74" s="1677">
        <f t="shared" si="10"/>
        <v>1786006</v>
      </c>
      <c r="G74" s="1677">
        <f t="shared" si="10"/>
        <v>133004</v>
      </c>
      <c r="H74" s="1677">
        <f t="shared" si="10"/>
        <v>206989</v>
      </c>
      <c r="I74" s="1677">
        <f t="shared" si="10"/>
        <v>319991</v>
      </c>
      <c r="J74" s="1677">
        <f t="shared" si="10"/>
        <v>47760</v>
      </c>
      <c r="K74" s="1677">
        <f t="shared" si="10"/>
        <v>16575278</v>
      </c>
      <c r="L74" s="1677">
        <f>SUM(L42,L47,L53,L57,L65,L72,L73)</f>
        <v>16749095</v>
      </c>
    </row>
    <row r="75" spans="1:14" s="259" customFormat="1" ht="15.75" customHeight="1" thickTop="1" thickBot="1" x14ac:dyDescent="0.25">
      <c r="A75" s="1610" t="s">
        <v>47</v>
      </c>
      <c r="B75" s="1611" t="s">
        <v>575</v>
      </c>
      <c r="C75" s="573">
        <v>30929</v>
      </c>
      <c r="D75" s="573">
        <v>3706</v>
      </c>
      <c r="E75" s="573">
        <v>55287</v>
      </c>
      <c r="F75" s="573">
        <v>43458</v>
      </c>
      <c r="G75" s="573"/>
      <c r="H75" s="573">
        <v>189</v>
      </c>
      <c r="I75" s="531">
        <v>649</v>
      </c>
      <c r="J75" s="531"/>
      <c r="K75" s="1670">
        <f>SUM(C75:J75)</f>
        <v>134218</v>
      </c>
      <c r="L75" s="576">
        <v>190524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329656</v>
      </c>
      <c r="F79" s="616"/>
      <c r="G79" s="616"/>
      <c r="H79" s="466"/>
      <c r="I79" s="477"/>
      <c r="J79" s="477"/>
      <c r="K79" s="1671">
        <f t="shared" si="11"/>
        <v>329656</v>
      </c>
      <c r="L79" s="466">
        <v>220176</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112965</v>
      </c>
      <c r="F81" s="616"/>
      <c r="G81" s="616"/>
      <c r="H81" s="466"/>
      <c r="I81" s="477"/>
      <c r="J81" s="477"/>
      <c r="K81" s="1671">
        <f t="shared" si="11"/>
        <v>112965</v>
      </c>
      <c r="L81" s="466">
        <v>115000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442621</v>
      </c>
      <c r="F84" s="616"/>
      <c r="G84" s="616"/>
      <c r="H84" s="1670">
        <f>SUM(H78:H83)</f>
        <v>0</v>
      </c>
      <c r="I84" s="477"/>
      <c r="J84" s="477"/>
      <c r="K84" s="1670">
        <f>SUM(K78:K83)</f>
        <v>442621</v>
      </c>
      <c r="L84" s="1670">
        <f>SUM(L78:L83)</f>
        <v>335176</v>
      </c>
    </row>
    <row r="85" spans="1:12" ht="12.75" customHeight="1" thickTop="1" thickBot="1" x14ac:dyDescent="0.25">
      <c r="A85" s="1511" t="s">
        <v>255</v>
      </c>
      <c r="B85" s="635">
        <v>4210</v>
      </c>
      <c r="C85" s="616"/>
      <c r="D85" s="616"/>
      <c r="E85" s="636"/>
      <c r="F85" s="616"/>
      <c r="G85" s="616"/>
      <c r="H85" s="535">
        <v>15329</v>
      </c>
      <c r="I85" s="477"/>
      <c r="J85" s="477"/>
      <c r="K85" s="1677">
        <f>H85</f>
        <v>15329</v>
      </c>
      <c r="L85" s="530">
        <v>3000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182791</v>
      </c>
      <c r="I88" s="477"/>
      <c r="J88" s="477"/>
      <c r="K88" s="1677">
        <f t="shared" si="12"/>
        <v>182791</v>
      </c>
      <c r="L88" s="530">
        <v>219000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198120</v>
      </c>
      <c r="I92" s="477"/>
      <c r="J92" s="477"/>
      <c r="K92" s="1677">
        <f t="shared" si="12"/>
        <v>198120</v>
      </c>
      <c r="L92" s="1670">
        <f>SUM(L85:L91)</f>
        <v>222000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442621</v>
      </c>
      <c r="F102" s="616"/>
      <c r="G102" s="616"/>
      <c r="H102" s="1677">
        <f>SUM(H84,H92,H100,H101)</f>
        <v>198120</v>
      </c>
      <c r="I102" s="477"/>
      <c r="J102" s="477"/>
      <c r="K102" s="1677">
        <f>SUM(K84,K92,K100,K101)</f>
        <v>640741</v>
      </c>
      <c r="L102" s="1677">
        <f>SUM(L84,L92,L100,L101)</f>
        <v>557176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27732667</v>
      </c>
      <c r="D114" s="1670">
        <f t="shared" ref="D114:K114" si="13">SUM(D33,D74,D75,D102,D112,D113)</f>
        <v>7360508</v>
      </c>
      <c r="E114" s="1670">
        <f t="shared" si="13"/>
        <v>2847365</v>
      </c>
      <c r="F114" s="1670">
        <f t="shared" si="13"/>
        <v>3666689</v>
      </c>
      <c r="G114" s="1670">
        <f t="shared" si="13"/>
        <v>311856</v>
      </c>
      <c r="H114" s="1670">
        <f>SUM(H33,H74,H75,H102,H112,H113)</f>
        <v>1703449</v>
      </c>
      <c r="I114" s="1670">
        <f t="shared" si="13"/>
        <v>418933</v>
      </c>
      <c r="J114" s="1670">
        <f t="shared" si="13"/>
        <v>58218</v>
      </c>
      <c r="K114" s="1670">
        <f t="shared" si="13"/>
        <v>44099685</v>
      </c>
      <c r="L114" s="1670">
        <f>SUM(L33,L74,L75,L102,L112,L113)</f>
        <v>42643091</v>
      </c>
    </row>
    <row r="115" spans="1:14" ht="13.5" thickTop="1" x14ac:dyDescent="0.2">
      <c r="A115" s="2188" t="s">
        <v>996</v>
      </c>
      <c r="B115" s="2189"/>
      <c r="C115" s="618"/>
      <c r="D115" s="618"/>
      <c r="E115" s="618"/>
      <c r="F115" s="618"/>
      <c r="G115" s="618"/>
      <c r="H115" s="618"/>
      <c r="I115" s="618"/>
      <c r="J115" s="618"/>
      <c r="K115" s="1684">
        <f>'Revenues 9-14'!C268-'Expenditures 15-22'!K114</f>
        <v>-1643424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v>2736</v>
      </c>
      <c r="I122" s="467"/>
      <c r="J122" s="467"/>
      <c r="K122" s="1670">
        <f>SUM(C122:J122)</f>
        <v>2736</v>
      </c>
      <c r="L122" s="466">
        <v>2918</v>
      </c>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1782968</v>
      </c>
      <c r="D124" s="466">
        <v>405570</v>
      </c>
      <c r="E124" s="466">
        <v>771223</v>
      </c>
      <c r="F124" s="466">
        <v>1265335</v>
      </c>
      <c r="G124" s="466">
        <v>195936</v>
      </c>
      <c r="H124" s="466"/>
      <c r="I124" s="467">
        <v>1034</v>
      </c>
      <c r="J124" s="467"/>
      <c r="K124" s="1670">
        <f>SUM(C124:J124)</f>
        <v>4422066</v>
      </c>
      <c r="L124" s="466">
        <v>4462848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1782968</v>
      </c>
      <c r="D127" s="1670">
        <f t="shared" ref="D127:L127" si="14">SUM(D122:D126)</f>
        <v>405570</v>
      </c>
      <c r="E127" s="1670">
        <f t="shared" si="14"/>
        <v>771223</v>
      </c>
      <c r="F127" s="1670">
        <f t="shared" si="14"/>
        <v>1265335</v>
      </c>
      <c r="G127" s="1670">
        <f t="shared" si="14"/>
        <v>195936</v>
      </c>
      <c r="H127" s="1670">
        <f t="shared" si="14"/>
        <v>2736</v>
      </c>
      <c r="I127" s="1670">
        <f t="shared" si="14"/>
        <v>1034</v>
      </c>
      <c r="J127" s="1670">
        <f t="shared" si="14"/>
        <v>0</v>
      </c>
      <c r="K127" s="1670">
        <f t="shared" si="14"/>
        <v>4424802</v>
      </c>
      <c r="L127" s="1670">
        <f t="shared" si="14"/>
        <v>4465766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1782968</v>
      </c>
      <c r="D129" s="1677">
        <f t="shared" ref="D129:L129" si="15">SUM(D120,D127,D128)</f>
        <v>405570</v>
      </c>
      <c r="E129" s="1677">
        <f t="shared" si="15"/>
        <v>771223</v>
      </c>
      <c r="F129" s="1677">
        <f t="shared" si="15"/>
        <v>1265335</v>
      </c>
      <c r="G129" s="1677">
        <f t="shared" si="15"/>
        <v>195936</v>
      </c>
      <c r="H129" s="1677">
        <f t="shared" si="15"/>
        <v>2736</v>
      </c>
      <c r="I129" s="1677">
        <f t="shared" si="15"/>
        <v>1034</v>
      </c>
      <c r="J129" s="1677">
        <f t="shared" si="15"/>
        <v>0</v>
      </c>
      <c r="K129" s="1677">
        <f t="shared" si="15"/>
        <v>4424802</v>
      </c>
      <c r="L129" s="1677">
        <f t="shared" si="15"/>
        <v>4465766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60"/>
      <c r="C151" s="1670">
        <f>SUM(C129,C130,C139,C149,C150)</f>
        <v>1782968</v>
      </c>
      <c r="D151" s="1670">
        <f t="shared" ref="D151:K151" si="16">SUM(D129,D130,D139,D149,D150)</f>
        <v>405570</v>
      </c>
      <c r="E151" s="1670">
        <f t="shared" si="16"/>
        <v>771223</v>
      </c>
      <c r="F151" s="1670">
        <f t="shared" si="16"/>
        <v>1265335</v>
      </c>
      <c r="G151" s="1670">
        <f t="shared" si="16"/>
        <v>195936</v>
      </c>
      <c r="H151" s="1670">
        <f t="shared" si="16"/>
        <v>2736</v>
      </c>
      <c r="I151" s="1670">
        <f t="shared" si="16"/>
        <v>1034</v>
      </c>
      <c r="J151" s="1670">
        <f t="shared" si="16"/>
        <v>0</v>
      </c>
      <c r="K151" s="1670">
        <f t="shared" si="16"/>
        <v>4424802</v>
      </c>
      <c r="L151" s="1670">
        <f>SUM(L129,L130,L139,L149,L150)</f>
        <v>4465766</v>
      </c>
    </row>
    <row r="152" spans="1:14" ht="12.75" customHeight="1" thickTop="1" x14ac:dyDescent="0.2">
      <c r="A152" s="2181" t="s">
        <v>1178</v>
      </c>
      <c r="B152" s="2182"/>
      <c r="C152" s="618"/>
      <c r="D152" s="618"/>
      <c r="E152" s="618"/>
      <c r="F152" s="618"/>
      <c r="G152" s="618"/>
      <c r="H152" s="618"/>
      <c r="I152" s="618"/>
      <c r="J152" s="616"/>
      <c r="K152" s="1684">
        <f>'Revenues 9-14'!D268-'Expenditures 15-22'!K151</f>
        <v>172060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1839313</v>
      </c>
      <c r="I169" s="616"/>
      <c r="J169" s="616"/>
      <c r="K169" s="1671">
        <f>SUM(C169:H169)</f>
        <v>1839313</v>
      </c>
      <c r="L169" s="656">
        <v>1711044</v>
      </c>
    </row>
    <row r="170" spans="1:14" ht="33.75" customHeight="1" x14ac:dyDescent="0.2">
      <c r="A170" s="669" t="s">
        <v>1670</v>
      </c>
      <c r="B170" s="671" t="s">
        <v>31</v>
      </c>
      <c r="C170" s="616"/>
      <c r="D170" s="616"/>
      <c r="E170" s="616"/>
      <c r="F170" s="616"/>
      <c r="G170" s="616"/>
      <c r="H170" s="569">
        <v>994120</v>
      </c>
      <c r="I170" s="616"/>
      <c r="J170" s="616"/>
      <c r="K170" s="1671">
        <f>SUM(C170:J170)</f>
        <v>994120</v>
      </c>
      <c r="L170" s="569">
        <v>1045012</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2833433</v>
      </c>
      <c r="I172" s="638"/>
      <c r="J172" s="616"/>
      <c r="K172" s="1677">
        <f>SUM(K168,K169,K170,K171)</f>
        <v>2833433</v>
      </c>
      <c r="L172" s="1677">
        <f>SUM(L168,L169,L170,L171)</f>
        <v>2756056</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2833433</v>
      </c>
      <c r="I174" s="638"/>
      <c r="J174" s="616"/>
      <c r="K174" s="1677">
        <f>SUM(K160,K172,K173)</f>
        <v>2833433</v>
      </c>
      <c r="L174" s="1677">
        <f>SUM(L160,L172,L173)</f>
        <v>2756056</v>
      </c>
    </row>
    <row r="175" spans="1:14" ht="13.5" thickTop="1" x14ac:dyDescent="0.2">
      <c r="A175" s="2188" t="s">
        <v>996</v>
      </c>
      <c r="B175" s="2189"/>
      <c r="C175" s="616"/>
      <c r="D175" s="616"/>
      <c r="E175" s="616"/>
      <c r="F175" s="616"/>
      <c r="G175" s="616"/>
      <c r="H175" s="618"/>
      <c r="I175" s="616"/>
      <c r="J175" s="616"/>
      <c r="K175" s="1684">
        <f>'Revenues 9-14'!E268-'Expenditures 15-22'!K174</f>
        <v>-133702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v>12491</v>
      </c>
      <c r="D180" s="466"/>
      <c r="E180" s="466"/>
      <c r="F180" s="466"/>
      <c r="G180" s="466"/>
      <c r="H180" s="466"/>
      <c r="I180" s="467"/>
      <c r="J180" s="467"/>
      <c r="K180" s="1671">
        <f>SUM(C180:J180)</f>
        <v>12491</v>
      </c>
      <c r="L180" s="466">
        <v>18000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1621314</v>
      </c>
      <c r="D182" s="466">
        <v>478134</v>
      </c>
      <c r="E182" s="466">
        <v>153254</v>
      </c>
      <c r="F182" s="466">
        <v>408770</v>
      </c>
      <c r="G182" s="466">
        <v>473458</v>
      </c>
      <c r="H182" s="466">
        <v>1055</v>
      </c>
      <c r="I182" s="467"/>
      <c r="J182" s="467">
        <v>865</v>
      </c>
      <c r="K182" s="1671">
        <f>SUM(C182:J182)</f>
        <v>3136850</v>
      </c>
      <c r="L182" s="466">
        <v>2784510</v>
      </c>
    </row>
    <row r="183" spans="1:14" ht="12.75" customHeight="1" thickBot="1" x14ac:dyDescent="0.25">
      <c r="A183" s="1509" t="s">
        <v>980</v>
      </c>
      <c r="B183" s="677">
        <v>2900</v>
      </c>
      <c r="C183" s="573">
        <v>22604</v>
      </c>
      <c r="D183" s="573">
        <v>5532</v>
      </c>
      <c r="E183" s="573">
        <v>4403</v>
      </c>
      <c r="F183" s="573">
        <v>24904</v>
      </c>
      <c r="G183" s="573"/>
      <c r="H183" s="573">
        <v>848</v>
      </c>
      <c r="I183" s="532"/>
      <c r="J183" s="532"/>
      <c r="K183" s="1677">
        <f>SUM(C183:J183)</f>
        <v>58291</v>
      </c>
      <c r="L183" s="573">
        <v>60096</v>
      </c>
    </row>
    <row r="184" spans="1:14" ht="12.75" customHeight="1" thickTop="1" thickBot="1" x14ac:dyDescent="0.25">
      <c r="A184" s="1691" t="s">
        <v>811</v>
      </c>
      <c r="B184" s="1669" t="s">
        <v>569</v>
      </c>
      <c r="C184" s="1677">
        <f>SUM(C180,C182,C183)</f>
        <v>1656409</v>
      </c>
      <c r="D184" s="1677">
        <f t="shared" ref="D184:J184" si="17">SUM(D180,D182,D183)</f>
        <v>483666</v>
      </c>
      <c r="E184" s="1677">
        <f t="shared" si="17"/>
        <v>157657</v>
      </c>
      <c r="F184" s="1677">
        <f t="shared" si="17"/>
        <v>433674</v>
      </c>
      <c r="G184" s="1677">
        <f t="shared" si="17"/>
        <v>473458</v>
      </c>
      <c r="H184" s="1677">
        <f t="shared" si="17"/>
        <v>1903</v>
      </c>
      <c r="I184" s="1677">
        <f t="shared" si="17"/>
        <v>0</v>
      </c>
      <c r="J184" s="1677">
        <f t="shared" si="17"/>
        <v>865</v>
      </c>
      <c r="K184" s="1677">
        <f>SUM(K180,K182,K183)</f>
        <v>3207632</v>
      </c>
      <c r="L184" s="1677">
        <f>SUM(L180, L182:L183)</f>
        <v>2862606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1656409</v>
      </c>
      <c r="D210" s="1670">
        <f>SUM(D184,D185)</f>
        <v>483666</v>
      </c>
      <c r="E210" s="1670">
        <f>SUM(E184,E185,E196)</f>
        <v>157657</v>
      </c>
      <c r="F210" s="1670">
        <f>SUM(F184,F185)</f>
        <v>433674</v>
      </c>
      <c r="G210" s="1670">
        <f>SUM(G184,G185)</f>
        <v>473458</v>
      </c>
      <c r="H210" s="1670">
        <f>SUM(H184,H185,H196,H208,H209)</f>
        <v>1903</v>
      </c>
      <c r="I210" s="1670">
        <f>SUM(I184,I185)</f>
        <v>0</v>
      </c>
      <c r="J210" s="1670">
        <f>SUM(J184,J185)</f>
        <v>865</v>
      </c>
      <c r="K210" s="1671">
        <f>SUM(K184,K185,K196,K208,K209)</f>
        <v>3207632</v>
      </c>
      <c r="L210" s="1670">
        <f>SUM(L184,L185,L196,L208,L209)</f>
        <v>2862606</v>
      </c>
    </row>
    <row r="211" spans="1:14" ht="13.5" thickTop="1" x14ac:dyDescent="0.2">
      <c r="A211" s="2188" t="s">
        <v>996</v>
      </c>
      <c r="B211" s="2189"/>
      <c r="C211" s="618"/>
      <c r="D211" s="618"/>
      <c r="E211" s="618"/>
      <c r="F211" s="618"/>
      <c r="G211" s="618"/>
      <c r="H211" s="618"/>
      <c r="I211" s="616"/>
      <c r="J211" s="616"/>
      <c r="K211" s="1684">
        <f>'Revenues 9-14'!F268-'Expenditures 15-22'!K210</f>
        <v>331265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194673</v>
      </c>
      <c r="E215" s="616"/>
      <c r="F215" s="616"/>
      <c r="G215" s="616"/>
      <c r="H215" s="616"/>
      <c r="I215" s="616"/>
      <c r="J215" s="616"/>
      <c r="K215" s="1671">
        <f>D215</f>
        <v>194673</v>
      </c>
      <c r="L215" s="466">
        <v>122098</v>
      </c>
    </row>
    <row r="216" spans="1:14" x14ac:dyDescent="0.2">
      <c r="A216" s="1504" t="s">
        <v>163</v>
      </c>
      <c r="B216" s="614" t="s">
        <v>967</v>
      </c>
      <c r="C216" s="616"/>
      <c r="D216" s="467">
        <v>22063</v>
      </c>
      <c r="E216" s="616"/>
      <c r="F216" s="616"/>
      <c r="G216" s="616"/>
      <c r="H216" s="616"/>
      <c r="I216" s="616"/>
      <c r="J216" s="616"/>
      <c r="K216" s="1671">
        <f t="shared" ref="K216:K228" si="19">D216</f>
        <v>22063</v>
      </c>
      <c r="L216" s="466">
        <v>97176</v>
      </c>
    </row>
    <row r="217" spans="1:14" x14ac:dyDescent="0.2">
      <c r="A217" s="1504" t="s">
        <v>164</v>
      </c>
      <c r="B217" s="614">
        <v>1200</v>
      </c>
      <c r="C217" s="616"/>
      <c r="D217" s="466">
        <v>181208</v>
      </c>
      <c r="E217" s="616"/>
      <c r="F217" s="616"/>
      <c r="G217" s="616"/>
      <c r="H217" s="616"/>
      <c r="I217" s="616"/>
      <c r="J217" s="616"/>
      <c r="K217" s="1671">
        <f t="shared" si="19"/>
        <v>181208</v>
      </c>
      <c r="L217" s="466">
        <v>233173</v>
      </c>
    </row>
    <row r="218" spans="1:14" x14ac:dyDescent="0.2">
      <c r="A218" s="1504" t="s">
        <v>278</v>
      </c>
      <c r="B218" s="614" t="s">
        <v>968</v>
      </c>
      <c r="C218" s="616"/>
      <c r="D218" s="467">
        <v>4247</v>
      </c>
      <c r="E218" s="616"/>
      <c r="F218" s="616"/>
      <c r="G218" s="616"/>
      <c r="H218" s="616"/>
      <c r="I218" s="616"/>
      <c r="J218" s="616"/>
      <c r="K218" s="1671">
        <f t="shared" si="19"/>
        <v>4247</v>
      </c>
      <c r="L218" s="466">
        <v>4317</v>
      </c>
    </row>
    <row r="219" spans="1:14" x14ac:dyDescent="0.2">
      <c r="A219" s="1504" t="s">
        <v>279</v>
      </c>
      <c r="B219" s="614">
        <v>1250</v>
      </c>
      <c r="C219" s="616"/>
      <c r="D219" s="466">
        <v>27860</v>
      </c>
      <c r="E219" s="616"/>
      <c r="F219" s="616"/>
      <c r="G219" s="616"/>
      <c r="H219" s="616"/>
      <c r="I219" s="616"/>
      <c r="J219" s="616"/>
      <c r="K219" s="1671">
        <f t="shared" si="19"/>
        <v>27860</v>
      </c>
      <c r="L219" s="466">
        <v>35253</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7769</v>
      </c>
      <c r="E222" s="616"/>
      <c r="F222" s="616"/>
      <c r="G222" s="616"/>
      <c r="H222" s="616"/>
      <c r="I222" s="616"/>
      <c r="J222" s="616"/>
      <c r="K222" s="1671">
        <f t="shared" si="19"/>
        <v>7769</v>
      </c>
      <c r="L222" s="466">
        <v>9060</v>
      </c>
    </row>
    <row r="223" spans="1:14" x14ac:dyDescent="0.2">
      <c r="A223" s="1504" t="s">
        <v>963</v>
      </c>
      <c r="B223" s="614">
        <v>1500</v>
      </c>
      <c r="C223" s="616"/>
      <c r="D223" s="466">
        <v>21924</v>
      </c>
      <c r="E223" s="616"/>
      <c r="F223" s="616"/>
      <c r="G223" s="616"/>
      <c r="H223" s="616"/>
      <c r="I223" s="616"/>
      <c r="J223" s="616"/>
      <c r="K223" s="1671">
        <f t="shared" si="19"/>
        <v>21924</v>
      </c>
      <c r="L223" s="466">
        <v>22345</v>
      </c>
    </row>
    <row r="224" spans="1:14" x14ac:dyDescent="0.2">
      <c r="A224" s="1504" t="s">
        <v>964</v>
      </c>
      <c r="B224" s="614">
        <v>1600</v>
      </c>
      <c r="C224" s="616"/>
      <c r="D224" s="466">
        <v>8169</v>
      </c>
      <c r="E224" s="616"/>
      <c r="F224" s="616"/>
      <c r="G224" s="616"/>
      <c r="H224" s="616"/>
      <c r="I224" s="616"/>
      <c r="J224" s="616"/>
      <c r="K224" s="1671">
        <f t="shared" si="19"/>
        <v>8169</v>
      </c>
      <c r="L224" s="466">
        <v>6155</v>
      </c>
    </row>
    <row r="225" spans="1:12" x14ac:dyDescent="0.2">
      <c r="A225" s="1504" t="s">
        <v>987</v>
      </c>
      <c r="B225" s="614">
        <v>1650</v>
      </c>
      <c r="C225" s="616"/>
      <c r="D225" s="466">
        <v>4762</v>
      </c>
      <c r="E225" s="616"/>
      <c r="F225" s="616"/>
      <c r="G225" s="616"/>
      <c r="H225" s="616"/>
      <c r="I225" s="616"/>
      <c r="J225" s="616"/>
      <c r="K225" s="1671">
        <f t="shared" si="19"/>
        <v>4762</v>
      </c>
      <c r="L225" s="466">
        <v>6770</v>
      </c>
    </row>
    <row r="226" spans="1:12" x14ac:dyDescent="0.2">
      <c r="A226" s="1504" t="s">
        <v>724</v>
      </c>
      <c r="B226" s="614" t="s">
        <v>162</v>
      </c>
      <c r="C226" s="616"/>
      <c r="D226" s="467">
        <v>1436</v>
      </c>
      <c r="E226" s="616"/>
      <c r="F226" s="616"/>
      <c r="G226" s="616"/>
      <c r="H226" s="616"/>
      <c r="I226" s="616"/>
      <c r="J226" s="616"/>
      <c r="K226" s="1671">
        <f t="shared" si="19"/>
        <v>1436</v>
      </c>
      <c r="L226" s="466">
        <v>1660</v>
      </c>
    </row>
    <row r="227" spans="1:12" x14ac:dyDescent="0.2">
      <c r="A227" s="1504" t="s">
        <v>1087</v>
      </c>
      <c r="B227" s="614">
        <v>1800</v>
      </c>
      <c r="C227" s="616"/>
      <c r="D227" s="466">
        <v>9288</v>
      </c>
      <c r="E227" s="616"/>
      <c r="F227" s="616"/>
      <c r="G227" s="616"/>
      <c r="H227" s="616"/>
      <c r="I227" s="616"/>
      <c r="J227" s="616"/>
      <c r="K227" s="1671">
        <f t="shared" si="19"/>
        <v>9288</v>
      </c>
      <c r="L227" s="466">
        <v>17434</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483399</v>
      </c>
      <c r="E229" s="616"/>
      <c r="F229" s="616"/>
      <c r="G229" s="616"/>
      <c r="H229" s="616"/>
      <c r="I229" s="616"/>
      <c r="J229" s="616"/>
      <c r="K229" s="1670">
        <f>SUM(K215:K228)</f>
        <v>483399</v>
      </c>
      <c r="L229" s="1670">
        <f>SUM(L215:L228)</f>
        <v>555441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57652</v>
      </c>
      <c r="E232" s="616"/>
      <c r="F232" s="616"/>
      <c r="G232" s="616"/>
      <c r="H232" s="616"/>
      <c r="I232" s="616"/>
      <c r="J232" s="616"/>
      <c r="K232" s="1671">
        <f t="shared" ref="K232:K237" si="20">D232</f>
        <v>57652</v>
      </c>
      <c r="L232" s="466">
        <v>59759</v>
      </c>
    </row>
    <row r="233" spans="1:12" x14ac:dyDescent="0.2">
      <c r="A233" s="1504" t="s">
        <v>1090</v>
      </c>
      <c r="B233" s="614">
        <v>2120</v>
      </c>
      <c r="C233" s="616"/>
      <c r="D233" s="466">
        <v>12788</v>
      </c>
      <c r="E233" s="616"/>
      <c r="F233" s="616"/>
      <c r="G233" s="616"/>
      <c r="H233" s="616"/>
      <c r="I233" s="616"/>
      <c r="J233" s="616"/>
      <c r="K233" s="1671">
        <f t="shared" si="20"/>
        <v>12788</v>
      </c>
      <c r="L233" s="466">
        <v>16154</v>
      </c>
    </row>
    <row r="234" spans="1:12" x14ac:dyDescent="0.2">
      <c r="A234" s="1504" t="s">
        <v>198</v>
      </c>
      <c r="B234" s="614">
        <v>2130</v>
      </c>
      <c r="C234" s="616"/>
      <c r="D234" s="466">
        <v>71688</v>
      </c>
      <c r="E234" s="616"/>
      <c r="F234" s="616"/>
      <c r="G234" s="616"/>
      <c r="H234" s="616"/>
      <c r="I234" s="616"/>
      <c r="J234" s="616"/>
      <c r="K234" s="1671">
        <f t="shared" si="20"/>
        <v>71688</v>
      </c>
      <c r="L234" s="466">
        <v>68038</v>
      </c>
    </row>
    <row r="235" spans="1:12" x14ac:dyDescent="0.2">
      <c r="A235" s="1504" t="s">
        <v>199</v>
      </c>
      <c r="B235" s="614">
        <v>2140</v>
      </c>
      <c r="C235" s="616"/>
      <c r="D235" s="466">
        <v>4235</v>
      </c>
      <c r="E235" s="616"/>
      <c r="F235" s="616"/>
      <c r="G235" s="616"/>
      <c r="H235" s="616"/>
      <c r="I235" s="616"/>
      <c r="J235" s="616"/>
      <c r="K235" s="1671">
        <f t="shared" si="20"/>
        <v>4235</v>
      </c>
      <c r="L235" s="466">
        <v>3569</v>
      </c>
    </row>
    <row r="236" spans="1:12" x14ac:dyDescent="0.2">
      <c r="A236" s="1504" t="s">
        <v>200</v>
      </c>
      <c r="B236" s="614">
        <v>2150</v>
      </c>
      <c r="C236" s="616"/>
      <c r="D236" s="466">
        <v>6066</v>
      </c>
      <c r="E236" s="616"/>
      <c r="F236" s="616"/>
      <c r="G236" s="616"/>
      <c r="H236" s="616"/>
      <c r="I236" s="616"/>
      <c r="J236" s="616"/>
      <c r="K236" s="1671">
        <f t="shared" si="20"/>
        <v>6066</v>
      </c>
      <c r="L236" s="466">
        <v>6894</v>
      </c>
    </row>
    <row r="237" spans="1:12" x14ac:dyDescent="0.2">
      <c r="A237" s="1504" t="s">
        <v>165</v>
      </c>
      <c r="B237" s="614">
        <v>2190</v>
      </c>
      <c r="C237" s="616"/>
      <c r="D237" s="466">
        <v>21374</v>
      </c>
      <c r="E237" s="616"/>
      <c r="F237" s="616"/>
      <c r="G237" s="616"/>
      <c r="H237" s="616"/>
      <c r="I237" s="616"/>
      <c r="J237" s="616"/>
      <c r="K237" s="1671">
        <f t="shared" si="20"/>
        <v>21374</v>
      </c>
      <c r="L237" s="466">
        <v>27933</v>
      </c>
    </row>
    <row r="238" spans="1:12" ht="12.75" customHeight="1" thickBot="1" x14ac:dyDescent="0.25">
      <c r="A238" s="1668" t="s">
        <v>560</v>
      </c>
      <c r="B238" s="1675" t="s">
        <v>716</v>
      </c>
      <c r="C238" s="616"/>
      <c r="D238" s="1670">
        <f>SUM(D232:D237)</f>
        <v>173803</v>
      </c>
      <c r="E238" s="616"/>
      <c r="F238" s="616"/>
      <c r="G238" s="616"/>
      <c r="H238" s="616"/>
      <c r="I238" s="616"/>
      <c r="J238" s="616"/>
      <c r="K238" s="1670">
        <f>SUM(K232:K237)</f>
        <v>173803</v>
      </c>
      <c r="L238" s="1670">
        <f>SUM(L232:L237)</f>
        <v>182347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23068</v>
      </c>
      <c r="E240" s="616"/>
      <c r="F240" s="616"/>
      <c r="G240" s="616"/>
      <c r="H240" s="616"/>
      <c r="I240" s="616"/>
      <c r="J240" s="616"/>
      <c r="K240" s="1672">
        <f>D240</f>
        <v>23068</v>
      </c>
      <c r="L240" s="481">
        <v>37291</v>
      </c>
    </row>
    <row r="241" spans="1:12" x14ac:dyDescent="0.2">
      <c r="A241" s="1504" t="s">
        <v>815</v>
      </c>
      <c r="B241" s="614">
        <v>2220</v>
      </c>
      <c r="C241" s="616"/>
      <c r="D241" s="466">
        <v>78322</v>
      </c>
      <c r="E241" s="616"/>
      <c r="F241" s="616"/>
      <c r="G241" s="616"/>
      <c r="H241" s="616"/>
      <c r="I241" s="616"/>
      <c r="J241" s="616"/>
      <c r="K241" s="1672">
        <f>D241</f>
        <v>78322</v>
      </c>
      <c r="L241" s="466">
        <v>88198</v>
      </c>
    </row>
    <row r="242" spans="1:12" x14ac:dyDescent="0.2">
      <c r="A242" s="1504" t="s">
        <v>816</v>
      </c>
      <c r="B242" s="614">
        <v>2230</v>
      </c>
      <c r="C242" s="616"/>
      <c r="D242" s="466">
        <v>17</v>
      </c>
      <c r="E242" s="616"/>
      <c r="F242" s="616"/>
      <c r="G242" s="616"/>
      <c r="H242" s="616"/>
      <c r="I242" s="616"/>
      <c r="J242" s="616"/>
      <c r="K242" s="1672">
        <f>D242</f>
        <v>17</v>
      </c>
      <c r="L242" s="466"/>
    </row>
    <row r="243" spans="1:12" ht="12.75" customHeight="1" thickBot="1" x14ac:dyDescent="0.25">
      <c r="A243" s="1694" t="s">
        <v>561</v>
      </c>
      <c r="B243" s="1695">
        <v>2200</v>
      </c>
      <c r="C243" s="616"/>
      <c r="D243" s="1670">
        <f>SUM(D240:D242)</f>
        <v>101407</v>
      </c>
      <c r="E243" s="616"/>
      <c r="F243" s="616"/>
      <c r="G243" s="616"/>
      <c r="H243" s="616"/>
      <c r="I243" s="616"/>
      <c r="J243" s="616"/>
      <c r="K243" s="1670">
        <f>SUM(K240:K242)</f>
        <v>101407</v>
      </c>
      <c r="L243" s="1670">
        <f>SUM(L240:L242)</f>
        <v>125489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218</v>
      </c>
      <c r="E245" s="616"/>
      <c r="F245" s="616"/>
      <c r="G245" s="616"/>
      <c r="H245" s="616"/>
      <c r="I245" s="616"/>
      <c r="J245" s="616"/>
      <c r="K245" s="1672">
        <f>D245</f>
        <v>218</v>
      </c>
      <c r="L245" s="481">
        <v>276</v>
      </c>
    </row>
    <row r="246" spans="1:12" x14ac:dyDescent="0.2">
      <c r="A246" s="1504" t="s">
        <v>818</v>
      </c>
      <c r="B246" s="614">
        <v>2320</v>
      </c>
      <c r="C246" s="616"/>
      <c r="D246" s="466">
        <v>11413</v>
      </c>
      <c r="E246" s="616"/>
      <c r="F246" s="616"/>
      <c r="G246" s="616"/>
      <c r="H246" s="616"/>
      <c r="I246" s="616"/>
      <c r="J246" s="616"/>
      <c r="K246" s="1672">
        <f t="shared" ref="K246:K256" si="21">D246</f>
        <v>11413</v>
      </c>
      <c r="L246" s="466">
        <v>12046</v>
      </c>
    </row>
    <row r="247" spans="1:12" x14ac:dyDescent="0.2">
      <c r="A247" s="1504" t="s">
        <v>819</v>
      </c>
      <c r="B247" s="614">
        <v>2330</v>
      </c>
      <c r="C247" s="616"/>
      <c r="D247" s="466">
        <v>10806</v>
      </c>
      <c r="E247" s="616"/>
      <c r="F247" s="616"/>
      <c r="G247" s="616"/>
      <c r="H247" s="616"/>
      <c r="I247" s="616"/>
      <c r="J247" s="616"/>
      <c r="K247" s="1672">
        <f t="shared" si="21"/>
        <v>10806</v>
      </c>
      <c r="L247" s="466">
        <v>10923</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22437</v>
      </c>
      <c r="E257" s="616"/>
      <c r="F257" s="616"/>
      <c r="G257" s="616"/>
      <c r="H257" s="616"/>
      <c r="I257" s="616"/>
      <c r="J257" s="616"/>
      <c r="K257" s="1670">
        <f>SUM(K245:K256)</f>
        <v>22437</v>
      </c>
      <c r="L257" s="1670">
        <f>SUM(L245:L256)</f>
        <v>23245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98349</v>
      </c>
      <c r="E259" s="616"/>
      <c r="F259" s="616"/>
      <c r="G259" s="616"/>
      <c r="H259" s="616"/>
      <c r="I259" s="616"/>
      <c r="J259" s="616"/>
      <c r="K259" s="1672">
        <f>D259</f>
        <v>98349</v>
      </c>
      <c r="L259" s="481">
        <v>110999</v>
      </c>
    </row>
    <row r="260" spans="1:14" s="597" customFormat="1" x14ac:dyDescent="0.2">
      <c r="A260" s="1522" t="s">
        <v>1802</v>
      </c>
      <c r="B260" s="628">
        <v>2490</v>
      </c>
      <c r="C260" s="616"/>
      <c r="D260" s="466">
        <v>46699</v>
      </c>
      <c r="E260" s="616"/>
      <c r="F260" s="616"/>
      <c r="G260" s="616"/>
      <c r="H260" s="616"/>
      <c r="I260" s="616"/>
      <c r="J260" s="616"/>
      <c r="K260" s="1672">
        <f>D260</f>
        <v>46699</v>
      </c>
      <c r="L260" s="466">
        <v>19278</v>
      </c>
      <c r="M260" s="210"/>
      <c r="N260" s="210"/>
    </row>
    <row r="261" spans="1:14" ht="12.75" customHeight="1" thickBot="1" x14ac:dyDescent="0.25">
      <c r="A261" s="1692" t="s">
        <v>263</v>
      </c>
      <c r="B261" s="1697" t="s">
        <v>34</v>
      </c>
      <c r="C261" s="616"/>
      <c r="D261" s="1670">
        <f>SUM(D259:D260)</f>
        <v>145048</v>
      </c>
      <c r="E261" s="616"/>
      <c r="F261" s="616"/>
      <c r="G261" s="616"/>
      <c r="H261" s="616"/>
      <c r="I261" s="616"/>
      <c r="J261" s="616"/>
      <c r="K261" s="1670">
        <f>SUM(K259:K260)</f>
        <v>145048</v>
      </c>
      <c r="L261" s="1670">
        <f>SUM(L259:L260)</f>
        <v>130277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7206</v>
      </c>
      <c r="E263" s="616"/>
      <c r="F263" s="616"/>
      <c r="G263" s="616"/>
      <c r="H263" s="616"/>
      <c r="I263" s="616"/>
      <c r="J263" s="616"/>
      <c r="K263" s="1672">
        <f>D263</f>
        <v>7206</v>
      </c>
      <c r="L263" s="481">
        <v>20054</v>
      </c>
    </row>
    <row r="264" spans="1:14" x14ac:dyDescent="0.2">
      <c r="A264" s="1504" t="s">
        <v>463</v>
      </c>
      <c r="B264" s="685">
        <v>2520</v>
      </c>
      <c r="C264" s="616"/>
      <c r="D264" s="466">
        <v>22653</v>
      </c>
      <c r="E264" s="616"/>
      <c r="F264" s="616"/>
      <c r="G264" s="616"/>
      <c r="H264" s="616"/>
      <c r="I264" s="616"/>
      <c r="J264" s="616"/>
      <c r="K264" s="1672">
        <f t="shared" ref="K264:K269" si="22">D264</f>
        <v>22653</v>
      </c>
      <c r="L264" s="466">
        <v>23784</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253894</v>
      </c>
      <c r="E266" s="616"/>
      <c r="F266" s="616"/>
      <c r="G266" s="616"/>
      <c r="H266" s="616"/>
      <c r="I266" s="616"/>
      <c r="J266" s="616"/>
      <c r="K266" s="1672">
        <f t="shared" si="22"/>
        <v>253894</v>
      </c>
      <c r="L266" s="466">
        <v>309997</v>
      </c>
    </row>
    <row r="267" spans="1:14" x14ac:dyDescent="0.2">
      <c r="A267" s="1504" t="s">
        <v>953</v>
      </c>
      <c r="B267" s="614">
        <v>2550</v>
      </c>
      <c r="C267" s="616"/>
      <c r="D267" s="466">
        <v>225922</v>
      </c>
      <c r="E267" s="616"/>
      <c r="F267" s="616"/>
      <c r="G267" s="616"/>
      <c r="H267" s="616"/>
      <c r="I267" s="616"/>
      <c r="J267" s="616"/>
      <c r="K267" s="1672">
        <f t="shared" si="22"/>
        <v>225922</v>
      </c>
      <c r="L267" s="466">
        <v>249775</v>
      </c>
    </row>
    <row r="268" spans="1:14" x14ac:dyDescent="0.2">
      <c r="A268" s="1504" t="s">
        <v>100</v>
      </c>
      <c r="B268" s="614">
        <v>2560</v>
      </c>
      <c r="C268" s="616"/>
      <c r="D268" s="466">
        <v>96568</v>
      </c>
      <c r="E268" s="616"/>
      <c r="F268" s="616"/>
      <c r="G268" s="616"/>
      <c r="H268" s="616"/>
      <c r="I268" s="616"/>
      <c r="J268" s="616"/>
      <c r="K268" s="1672">
        <f t="shared" si="22"/>
        <v>96568</v>
      </c>
      <c r="L268" s="466">
        <v>102249</v>
      </c>
    </row>
    <row r="269" spans="1:14" x14ac:dyDescent="0.2">
      <c r="A269" s="1504" t="s">
        <v>101</v>
      </c>
      <c r="B269" s="614">
        <v>2570</v>
      </c>
      <c r="C269" s="616"/>
      <c r="D269" s="466">
        <v>10168</v>
      </c>
      <c r="E269" s="616"/>
      <c r="F269" s="616"/>
      <c r="G269" s="616"/>
      <c r="H269" s="616"/>
      <c r="I269" s="616"/>
      <c r="J269" s="616"/>
      <c r="K269" s="1672">
        <f t="shared" si="22"/>
        <v>10168</v>
      </c>
      <c r="L269" s="466">
        <v>11654</v>
      </c>
    </row>
    <row r="270" spans="1:14" ht="12.75" customHeight="1" thickBot="1" x14ac:dyDescent="0.25">
      <c r="A270" s="1668" t="s">
        <v>719</v>
      </c>
      <c r="B270" s="1675" t="s">
        <v>35</v>
      </c>
      <c r="C270" s="616"/>
      <c r="D270" s="1670">
        <f>SUM(D263:D269)</f>
        <v>616411</v>
      </c>
      <c r="E270" s="616"/>
      <c r="F270" s="616"/>
      <c r="G270" s="616"/>
      <c r="H270" s="616"/>
      <c r="I270" s="616"/>
      <c r="J270" s="616"/>
      <c r="K270" s="1670">
        <f>SUM(K263:K269)</f>
        <v>616411</v>
      </c>
      <c r="L270" s="1670">
        <f>SUM(L263:L269)</f>
        <v>717513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v>3</v>
      </c>
      <c r="E273" s="616"/>
      <c r="F273" s="616"/>
      <c r="G273" s="616"/>
      <c r="H273" s="616"/>
      <c r="I273" s="616"/>
      <c r="J273" s="616"/>
      <c r="K273" s="1672">
        <f>D273</f>
        <v>3</v>
      </c>
      <c r="L273" s="466">
        <v>872</v>
      </c>
    </row>
    <row r="274" spans="1:12" ht="12" customHeight="1" x14ac:dyDescent="0.2">
      <c r="A274" s="1504" t="s">
        <v>1061</v>
      </c>
      <c r="B274" s="614">
        <v>2630</v>
      </c>
      <c r="C274" s="616"/>
      <c r="D274" s="466">
        <v>10859</v>
      </c>
      <c r="E274" s="616"/>
      <c r="F274" s="616"/>
      <c r="G274" s="616"/>
      <c r="H274" s="616"/>
      <c r="I274" s="616"/>
      <c r="J274" s="616"/>
      <c r="K274" s="1672">
        <f>D274</f>
        <v>10859</v>
      </c>
      <c r="L274" s="466">
        <v>12281</v>
      </c>
    </row>
    <row r="275" spans="1:12" x14ac:dyDescent="0.2">
      <c r="A275" s="1504" t="s">
        <v>403</v>
      </c>
      <c r="B275" s="614">
        <v>2640</v>
      </c>
      <c r="C275" s="616"/>
      <c r="D275" s="466">
        <v>15027</v>
      </c>
      <c r="E275" s="616"/>
      <c r="F275" s="616"/>
      <c r="G275" s="616"/>
      <c r="H275" s="616"/>
      <c r="I275" s="616"/>
      <c r="J275" s="616"/>
      <c r="K275" s="1672">
        <f>D275</f>
        <v>15027</v>
      </c>
      <c r="L275" s="466">
        <v>18834</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25889</v>
      </c>
      <c r="E277" s="616"/>
      <c r="F277" s="616"/>
      <c r="G277" s="616"/>
      <c r="H277" s="616"/>
      <c r="I277" s="616"/>
      <c r="J277" s="616"/>
      <c r="K277" s="1670">
        <f>SUM(K272:K276)</f>
        <v>25889</v>
      </c>
      <c r="L277" s="1670">
        <f>SUM(L272:L276)</f>
        <v>31987</v>
      </c>
    </row>
    <row r="278" spans="1:12" ht="13.5" customHeight="1" thickTop="1" x14ac:dyDescent="0.2">
      <c r="A278" s="1510" t="s">
        <v>980</v>
      </c>
      <c r="B278" s="655" t="s">
        <v>574</v>
      </c>
      <c r="C278" s="616"/>
      <c r="D278" s="656">
        <v>13665</v>
      </c>
      <c r="E278" s="616"/>
      <c r="F278" s="616"/>
      <c r="G278" s="616"/>
      <c r="H278" s="616"/>
      <c r="I278" s="616"/>
      <c r="J278" s="616"/>
      <c r="K278" s="1685">
        <f>D278</f>
        <v>13665</v>
      </c>
      <c r="L278" s="656">
        <v>31713</v>
      </c>
    </row>
    <row r="279" spans="1:12" ht="12.75" customHeight="1" thickBot="1" x14ac:dyDescent="0.25">
      <c r="A279" s="1698" t="s">
        <v>811</v>
      </c>
      <c r="B279" s="1681">
        <v>2000</v>
      </c>
      <c r="C279" s="616"/>
      <c r="D279" s="1677">
        <f>SUM(D238,D243,D257,D261,D270,D277,D278)</f>
        <v>1098660</v>
      </c>
      <c r="E279" s="616"/>
      <c r="F279" s="616"/>
      <c r="G279" s="616"/>
      <c r="H279" s="616"/>
      <c r="I279" s="616"/>
      <c r="J279" s="616"/>
      <c r="K279" s="1677">
        <f>SUM(K238,K243,K257,K261,K270,K277,K278)</f>
        <v>1098660</v>
      </c>
      <c r="L279" s="1677">
        <f>SUM(L238,L243,L257,L261,L270,L277,L278)</f>
        <v>1242571</v>
      </c>
    </row>
    <row r="280" spans="1:12" ht="15.75" customHeight="1" thickTop="1" thickBot="1" x14ac:dyDescent="0.25">
      <c r="A280" s="1624" t="s">
        <v>875</v>
      </c>
      <c r="B280" s="1613">
        <v>3000</v>
      </c>
      <c r="C280" s="616"/>
      <c r="D280" s="576">
        <v>980</v>
      </c>
      <c r="E280" s="616"/>
      <c r="F280" s="616"/>
      <c r="G280" s="616"/>
      <c r="H280" s="616"/>
      <c r="I280" s="616"/>
      <c r="J280" s="616"/>
      <c r="K280" s="1679">
        <f>D280</f>
        <v>980</v>
      </c>
      <c r="L280" s="576">
        <v>3356</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1583039</v>
      </c>
      <c r="E295" s="616"/>
      <c r="F295" s="616"/>
      <c r="G295" s="616"/>
      <c r="H295" s="1670">
        <f>H293</f>
        <v>0</v>
      </c>
      <c r="I295" s="616"/>
      <c r="J295" s="616"/>
      <c r="K295" s="1670">
        <f>SUM(K229,K279,K280,K285,K293,K294)</f>
        <v>1583039</v>
      </c>
      <c r="L295" s="1670">
        <f>SUM(L229,L279,L280,L285,L293,L294)</f>
        <v>1801368</v>
      </c>
    </row>
    <row r="296" spans="1:14" ht="13.5" thickTop="1" x14ac:dyDescent="0.2">
      <c r="A296" s="2188" t="s">
        <v>996</v>
      </c>
      <c r="B296" s="2189"/>
      <c r="C296" s="616"/>
      <c r="D296" s="618"/>
      <c r="E296" s="616"/>
      <c r="F296" s="616"/>
      <c r="G296" s="616"/>
      <c r="H296" s="687"/>
      <c r="I296" s="616"/>
      <c r="J296" s="616"/>
      <c r="K296" s="1684">
        <f>'Revenues 9-14'!G268-'Expenditures 15-22'!K295</f>
        <v>271736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28163</v>
      </c>
      <c r="F301" s="466"/>
      <c r="G301" s="466">
        <v>312963</v>
      </c>
      <c r="H301" s="466"/>
      <c r="I301" s="467"/>
      <c r="J301" s="467"/>
      <c r="K301" s="1671">
        <f>SUM(C301:J301)</f>
        <v>341126</v>
      </c>
      <c r="L301" s="467">
        <v>1105000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28163</v>
      </c>
      <c r="F303" s="1677">
        <f t="shared" si="23"/>
        <v>0</v>
      </c>
      <c r="G303" s="1677">
        <f t="shared" si="23"/>
        <v>312963</v>
      </c>
      <c r="H303" s="1677">
        <f t="shared" si="23"/>
        <v>0</v>
      </c>
      <c r="I303" s="1677">
        <f t="shared" si="23"/>
        <v>0</v>
      </c>
      <c r="J303" s="1677">
        <f t="shared" si="23"/>
        <v>0</v>
      </c>
      <c r="K303" s="1677">
        <f t="shared" si="23"/>
        <v>341126</v>
      </c>
      <c r="L303" s="1677">
        <f t="shared" si="23"/>
        <v>1105000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28163</v>
      </c>
      <c r="F312" s="1670">
        <f>SUM(F303)</f>
        <v>0</v>
      </c>
      <c r="G312" s="1670">
        <f>SUM(G303)</f>
        <v>312963</v>
      </c>
      <c r="H312" s="1670">
        <f>SUM(H303,H310)</f>
        <v>0</v>
      </c>
      <c r="I312" s="1670">
        <f>SUM(I303)</f>
        <v>0</v>
      </c>
      <c r="J312" s="1670">
        <f>SUM(J303)</f>
        <v>0</v>
      </c>
      <c r="K312" s="1670">
        <f>SUM(K303,K310,K311)</f>
        <v>341126</v>
      </c>
      <c r="L312" s="1670">
        <f>SUM(L303,L310,L311)</f>
        <v>1105000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-319465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225018</v>
      </c>
      <c r="F320" s="467"/>
      <c r="G320" s="467"/>
      <c r="H320" s="467"/>
      <c r="I320" s="467"/>
      <c r="J320" s="467"/>
      <c r="K320" s="1671">
        <f t="shared" ref="K320:K327" si="24">SUM(C320:J320)</f>
        <v>225018</v>
      </c>
      <c r="L320" s="467">
        <v>240000</v>
      </c>
      <c r="M320" s="665"/>
      <c r="N320" s="665"/>
    </row>
    <row r="321" spans="1:14" s="674" customFormat="1" x14ac:dyDescent="0.2">
      <c r="A321" s="1519" t="s">
        <v>300</v>
      </c>
      <c r="B321" s="697" t="s">
        <v>283</v>
      </c>
      <c r="C321" s="467"/>
      <c r="D321" s="467"/>
      <c r="E321" s="467">
        <v>5194</v>
      </c>
      <c r="F321" s="467"/>
      <c r="G321" s="467"/>
      <c r="H321" s="467"/>
      <c r="I321" s="467"/>
      <c r="J321" s="467"/>
      <c r="K321" s="1671">
        <f t="shared" si="24"/>
        <v>5194</v>
      </c>
      <c r="L321" s="467">
        <v>35000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v>53692</v>
      </c>
      <c r="F323" s="467"/>
      <c r="G323" s="467"/>
      <c r="H323" s="467"/>
      <c r="I323" s="467"/>
      <c r="J323" s="467"/>
      <c r="K323" s="1671">
        <f t="shared" si="24"/>
        <v>53692</v>
      </c>
      <c r="L323" s="467">
        <v>35000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48891</v>
      </c>
      <c r="F327" s="467"/>
      <c r="G327" s="467"/>
      <c r="H327" s="467"/>
      <c r="I327" s="467"/>
      <c r="J327" s="467"/>
      <c r="K327" s="1671">
        <f t="shared" si="24"/>
        <v>48891</v>
      </c>
      <c r="L327" s="467">
        <v>160000</v>
      </c>
      <c r="M327" s="665"/>
      <c r="N327" s="665"/>
    </row>
    <row r="328" spans="1:14" s="674" customFormat="1" x14ac:dyDescent="0.2">
      <c r="A328" s="1520" t="s">
        <v>472</v>
      </c>
      <c r="B328" s="690" t="s">
        <v>1132</v>
      </c>
      <c r="C328" s="474"/>
      <c r="D328" s="474"/>
      <c r="E328" s="474">
        <v>157875</v>
      </c>
      <c r="F328" s="474"/>
      <c r="G328" s="474"/>
      <c r="H328" s="474"/>
      <c r="I328" s="474"/>
      <c r="J328" s="474"/>
      <c r="K328" s="1699">
        <f>SUM(C328:J328)</f>
        <v>157875</v>
      </c>
      <c r="L328" s="474">
        <v>219876</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490670</v>
      </c>
      <c r="F330" s="1670">
        <f t="shared" si="25"/>
        <v>0</v>
      </c>
      <c r="G330" s="1670">
        <f t="shared" si="25"/>
        <v>0</v>
      </c>
      <c r="H330" s="1670">
        <f t="shared" si="25"/>
        <v>0</v>
      </c>
      <c r="I330" s="1670">
        <f t="shared" si="25"/>
        <v>0</v>
      </c>
      <c r="J330" s="1670">
        <f t="shared" si="25"/>
        <v>0</v>
      </c>
      <c r="K330" s="1670">
        <f>SUM(K319:K329)</f>
        <v>490670</v>
      </c>
      <c r="L330" s="1670">
        <f>SUM(L319:L329)</f>
        <v>689876</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490670</v>
      </c>
      <c r="F342" s="1670">
        <f>SUM(F330)</f>
        <v>0</v>
      </c>
      <c r="G342" s="1670">
        <f>SUM(G330)</f>
        <v>0</v>
      </c>
      <c r="H342" s="1670">
        <f>SUM(H330,H334,H340)</f>
        <v>0</v>
      </c>
      <c r="I342" s="1670">
        <f>SUM(I330)</f>
        <v>0</v>
      </c>
      <c r="J342" s="1670">
        <f>SUM(J330)</f>
        <v>0</v>
      </c>
      <c r="K342" s="1670">
        <f>SUM(K330,K334,K340)</f>
        <v>490670</v>
      </c>
      <c r="L342" s="1677">
        <f>SUM(L330,L340,L341)</f>
        <v>689876</v>
      </c>
    </row>
    <row r="343" spans="1:14" ht="12.75" customHeight="1" thickTop="1" x14ac:dyDescent="0.2">
      <c r="A343" s="2174" t="s">
        <v>996</v>
      </c>
      <c r="B343" s="2175"/>
      <c r="C343" s="616"/>
      <c r="D343" s="616"/>
      <c r="E343" s="616"/>
      <c r="F343" s="616"/>
      <c r="G343" s="616"/>
      <c r="H343" s="616"/>
      <c r="I343" s="616"/>
      <c r="J343" s="616"/>
      <c r="K343" s="1684">
        <f>'Revenues 9-14'!J268-'Expenditures 15-22'!K342</f>
        <v>225658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46937</v>
      </c>
      <c r="F348" s="466"/>
      <c r="G348" s="466">
        <v>54042</v>
      </c>
      <c r="H348" s="466"/>
      <c r="I348" s="467"/>
      <c r="J348" s="467"/>
      <c r="K348" s="1671">
        <f>SUM(C348:J348)</f>
        <v>100979</v>
      </c>
      <c r="L348" s="466">
        <v>151244</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46937</v>
      </c>
      <c r="F350" s="1670">
        <f t="shared" si="26"/>
        <v>0</v>
      </c>
      <c r="G350" s="1670">
        <f t="shared" si="26"/>
        <v>54042</v>
      </c>
      <c r="H350" s="1670">
        <f t="shared" si="26"/>
        <v>0</v>
      </c>
      <c r="I350" s="1670">
        <f t="shared" si="26"/>
        <v>0</v>
      </c>
      <c r="J350" s="1670">
        <f t="shared" si="26"/>
        <v>0</v>
      </c>
      <c r="K350" s="1670">
        <f t="shared" si="26"/>
        <v>100979</v>
      </c>
      <c r="L350" s="1670">
        <f t="shared" si="26"/>
        <v>151244</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46937</v>
      </c>
      <c r="F352" s="1670">
        <f t="shared" si="27"/>
        <v>0</v>
      </c>
      <c r="G352" s="1670">
        <f t="shared" si="27"/>
        <v>54042</v>
      </c>
      <c r="H352" s="1670">
        <f t="shared" si="27"/>
        <v>0</v>
      </c>
      <c r="I352" s="1670">
        <f t="shared" si="27"/>
        <v>0</v>
      </c>
      <c r="J352" s="1670">
        <f t="shared" si="27"/>
        <v>0</v>
      </c>
      <c r="K352" s="1670">
        <f t="shared" si="27"/>
        <v>100979</v>
      </c>
      <c r="L352" s="1670">
        <f t="shared" si="27"/>
        <v>151244</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46937</v>
      </c>
      <c r="F367" s="1670">
        <f t="shared" si="28"/>
        <v>0</v>
      </c>
      <c r="G367" s="1670">
        <f t="shared" si="28"/>
        <v>54042</v>
      </c>
      <c r="H367" s="1670">
        <f t="shared" si="28"/>
        <v>0</v>
      </c>
      <c r="I367" s="1670">
        <f t="shared" si="28"/>
        <v>0</v>
      </c>
      <c r="J367" s="1670">
        <f t="shared" si="28"/>
        <v>0</v>
      </c>
      <c r="K367" s="1670">
        <f t="shared" si="28"/>
        <v>100979</v>
      </c>
      <c r="L367" s="1670">
        <f t="shared" si="28"/>
        <v>151244</v>
      </c>
    </row>
    <row r="368" spans="1:14" ht="13.5" thickTop="1" x14ac:dyDescent="0.2">
      <c r="A368" s="2188" t="s">
        <v>996</v>
      </c>
      <c r="B368" s="2189"/>
      <c r="C368" s="654"/>
      <c r="D368" s="654"/>
      <c r="E368" s="626"/>
      <c r="F368" s="626"/>
      <c r="G368" s="626"/>
      <c r="H368" s="626"/>
      <c r="I368" s="626"/>
      <c r="J368" s="623"/>
      <c r="K368" s="1671">
        <f>'Revenues 9-14'!K268-'Expenditures 15-22'!K367</f>
        <v>51379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office/2006/metadata/properties"/>
    <ds:schemaRef ds:uri="6ce3111e-7420-4802-b50a-75d4e9a0b980"/>
    <ds:schemaRef ds:uri="http://schemas.openxmlformats.org/package/2006/metadata/core-properties"/>
    <ds:schemaRef ds:uri="http://schemas.microsoft.com/office/2006/documentManagement/types"/>
    <ds:schemaRef ds:uri="d21dc803-237d-4c68-8692-8d731fd29118"/>
    <ds:schemaRef ds:uri="http://purl.org/dc/elements/1.1/"/>
    <ds:schemaRef ds:uri="http://purl.org/dc/dcmitype/"/>
    <ds:schemaRef ds:uri="http://schemas.microsoft.com/office/infopath/2007/PartnerControls"/>
    <ds:schemaRef ds:uri="4d435f69-8686-490b-bd6d-b153bf22ab5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 (2)</vt:lpstr>
      <vt:lpstr>SF&amp;QC Sec-2</vt:lpstr>
      <vt:lpstr>SF&amp;QC Sec-2 (3)</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2020-01-29T19:18:11Z</cp:lastPrinted>
  <dcterms:created xsi:type="dcterms:W3CDTF">2003-10-29T19:06:34Z</dcterms:created>
  <dcterms:modified xsi:type="dcterms:W3CDTF">2020-01-30T14:41:53Z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