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0EB2EA2-EBA1-4CFE-AAF9-32EE8D3DCC89}" xr6:coauthVersionLast="36" xr6:coauthVersionMax="36" xr10:uidLastSave="{00000000-0000-0000-0000-000000000000}"/>
  <bookViews>
    <workbookView xWindow="20370" yWindow="-3555" windowWidth="24240" windowHeight="13140" tabRatio="79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K93" i="29"/>
  <c r="B6997" i="106" s="1"/>
  <c r="D6997" i="106" s="1"/>
  <c r="K94" i="29"/>
  <c r="K95" i="29"/>
  <c r="K96" i="29"/>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2" i="127"/>
  <c r="B63" i="127"/>
  <c r="E26" i="108"/>
  <c r="E27" i="108"/>
  <c r="G27" i="108"/>
  <c r="F31" i="108"/>
  <c r="F37" i="108"/>
  <c r="G28" i="108"/>
  <c r="E29" i="108"/>
  <c r="D31" i="108"/>
  <c r="D36" i="108"/>
  <c r="D37" i="108"/>
  <c r="E31" i="108"/>
  <c r="G31" i="108"/>
  <c r="E33" i="108"/>
  <c r="G33" i="108"/>
  <c r="E34" i="108"/>
  <c r="G34"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9" i="118"/>
  <c r="D22" i="37"/>
  <c r="L22" i="37"/>
  <c r="L5" i="11"/>
  <c r="B2056" i="106" s="1"/>
  <c r="D2056" i="106" s="1"/>
  <c r="D9" i="7"/>
  <c r="B1767" i="106" s="1"/>
  <c r="D1767" i="106" s="1"/>
  <c r="B4268" i="106" l="1"/>
  <c r="D4268" i="106" s="1"/>
  <c r="F27" i="108"/>
  <c r="C342" i="29"/>
  <c r="B7216" i="106" s="1"/>
  <c r="D7216" i="106" s="1"/>
  <c r="I210" i="29"/>
  <c r="B7071" i="106" s="1"/>
  <c r="D7071" i="106" s="1"/>
  <c r="I24" i="12"/>
  <c r="B1996" i="106" s="1"/>
  <c r="D1996" i="106" s="1"/>
  <c r="N22" i="3"/>
  <c r="B283" i="106" s="1"/>
  <c r="D283" i="106" s="1"/>
  <c r="F36" i="34"/>
  <c r="L342" i="29"/>
  <c r="H33" i="118"/>
  <c r="F28" i="108"/>
  <c r="D26" i="108"/>
  <c r="B7235" i="106"/>
  <c r="D7235" i="106" s="1"/>
  <c r="H342" i="29"/>
  <c r="F46" i="34"/>
  <c r="G39" i="108"/>
  <c r="G30" i="108"/>
  <c r="E28" i="108"/>
  <c r="L15" i="11"/>
  <c r="B3459" i="106" s="1"/>
  <c r="D3459" i="106" s="1"/>
  <c r="F77" i="4"/>
  <c r="B3255" i="106" s="1"/>
  <c r="D3255" i="106" s="1"/>
  <c r="J22" i="37"/>
  <c r="H28" i="118"/>
  <c r="K28" i="118" s="1"/>
  <c r="O27" i="118" s="1"/>
  <c r="O29" i="118" s="1"/>
  <c r="F70" i="34"/>
  <c r="F62" i="34"/>
  <c r="F44" i="34"/>
  <c r="G38" i="108"/>
  <c r="E30" i="108"/>
  <c r="F36" i="108"/>
  <c r="F26" i="108"/>
  <c r="B6995" i="106"/>
  <c r="D6995" i="106" s="1"/>
  <c r="J41" i="3"/>
  <c r="B6216" i="106" s="1"/>
  <c r="D6216" i="106" s="1"/>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B1225" i="106" s="1"/>
  <c r="D1225" i="106" s="1"/>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C114" i="29"/>
  <c r="B757" i="106" s="1"/>
  <c r="D757" i="106" s="1"/>
  <c r="J16" i="4"/>
  <c r="B6226" i="106" s="1"/>
  <c r="D6226" i="106" s="1"/>
  <c r="N23" i="3"/>
  <c r="B284" i="106" s="1"/>
  <c r="D284" i="106" s="1"/>
  <c r="F41" i="108"/>
  <c r="G43" i="108" s="1"/>
  <c r="K365" i="29"/>
  <c r="B2031" i="106"/>
  <c r="D2031" i="106" s="1"/>
  <c r="L114" i="29"/>
  <c r="B1381" i="106"/>
  <c r="D1381" i="106" s="1"/>
  <c r="K77" i="4"/>
  <c r="B3587" i="106" s="1"/>
  <c r="D3587" i="106" s="1"/>
  <c r="B5527" i="106"/>
  <c r="D5527" i="106" s="1"/>
  <c r="D44" i="36"/>
  <c r="G6" i="4"/>
  <c r="B2604" i="106" s="1"/>
  <c r="D2604" i="106" s="1"/>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B6223" i="106"/>
  <c r="D6223" i="106" s="1"/>
  <c r="J10" i="4"/>
  <c r="B6225" i="106" s="1"/>
  <c r="D6225" i="106" s="1"/>
  <c r="K17" i="4"/>
  <c r="K20" i="4" s="1"/>
  <c r="J19" i="4"/>
  <c r="B6229" i="106" s="1"/>
  <c r="D6229"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<sst xmlns="http://schemas.openxmlformats.org/spreadsheetml/2006/main" count="5091" uniqueCount="2106">
  <si>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</si>
  <si>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</si>
  <si>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</si>
  <si>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</si>
  <si>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</si>
  <si>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</si>
  <si>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</si>
  <si>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</si>
  <si>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</si>
  <si>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</si>
  <si>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</si>
  <si>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</si>
  <si>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</si>
  <si>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</si>
  <si>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</si>
  <si>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</si>
  <si>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</si>
  <si>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</si>
  <si>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</si>
  <si>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</si>
  <si>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</si>
  <si>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</si>
  <si>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</si>
  <si>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</si>
  <si>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</si>
  <si>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</si>
  <si>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</si>
  <si>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</si>
  <si>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</si>
  <si>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</si>
  <si>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</si>
  <si>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</si>
  <si>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</si>
  <si>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</si>
  <si>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</si>
  <si>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</si>
  <si>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</si>
  <si>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</si>
  <si>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</si>
  <si>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</si>
  <si>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</si>
  <si>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</si>
  <si>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</si>
  <si>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</si>
  <si>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</si>
  <si>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</si>
  <si>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</si>
  <si>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</si>
  <si>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</si>
  <si>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</si>
  <si>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</si>
  <si>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</si>
  <si>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</si>
  <si>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</si>
  <si>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</si>
  <si>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</si>
  <si>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</si>
  <si>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</si>
  <si>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</si>
  <si>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</si>
  <si>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</si>
  <si>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</si>
  <si>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</si>
  <si>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</si>
  <si>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</si>
  <si>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</si>
  <si>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</si>
  <si>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</si>
  <si>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</si>
  <si>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</si>
  <si>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</si>
  <si>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</si>
  <si>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</si>
  <si>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</si>
  <si>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</si>
  <si>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</si>
  <si>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</si>
  <si>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</si>
  <si>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</si>
  <si>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</si>
  <si>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</si>
  <si>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</si>
  <si>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</si>
  <si>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</si>
  <si>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</si>
  <si>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</si>
  <si>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</si>
  <si>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</si>
  <si>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</si>
  <si>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</si>
  <si>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</si>
  <si>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</si>
  <si>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</si>
  <si>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</si>
  <si>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</si>
  <si>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</si>
  <si>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</si>
  <si>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</si>
  <si>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</si>
  <si>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</si>
  <si>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</si>
  <si>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</si>
  <si>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</si>
  <si>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</si>
  <si>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</si>
  <si>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</si>
  <si>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</si>
  <si>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</si>
  <si>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</si>
  <si>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</si>
  <si>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</si>
  <si>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</si>
  <si>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</si>
  <si>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</si>
  <si>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</si>
  <si>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</si>
  <si>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</si>
  <si>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</si>
  <si>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</si>
  <si>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</si>
  <si>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</si>
  <si>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</si>
  <si>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</si>
  <si>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</si>
  <si>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</si>
  <si>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</si>
  <si>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</si>
  <si>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</si>
  <si>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</si>
  <si>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</si>
  <si>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</si>
  <si>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</si>
  <si>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</si>
  <si>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</si>
  <si>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</si>
  <si>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</si>
  <si>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</si>
  <si>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</si>
  <si>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</si>
  <si>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</si>
  <si>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</si>
  <si>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</si>
  <si>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</si>
  <si>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</si>
  <si>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</si>
  <si>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</si>
  <si>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</si>
  <si>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</si>
  <si>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</si>
  <si>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</si>
  <si>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</si>
  <si>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</si>
  <si>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</si>
  <si>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</si>
  <si>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</si>
  <si>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</si>
  <si>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</si>
  <si>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</si>
  <si>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</si>
  <si>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</si>
  <si>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</si>
  <si>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</si>
  <si>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</si>
  <si>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</si>
  <si>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</si>
  <si>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</si>
  <si>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</si>
  <si>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</si>
  <si>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</si>
  <si>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</si>
  <si>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</si>
  <si>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</si>
  <si>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</si>
  <si>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</si>
  <si>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</si>
  <si>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</si>
  <si>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</si>
  <si>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</si>
  <si>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</si>
  <si>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</si>
  <si>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</si>
  <si>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</si>
  <si>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</si>
  <si>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</si>
  <si>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</si>
  <si>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</si>
  <si>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</si>
  <si>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</si>
  <si>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</si>
  <si>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</si>
  <si>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</si>
  <si>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</si>
  <si>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</si>
  <si>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</si>
  <si>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</si>
  <si>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</si>
  <si>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</si>
  <si>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</si>
  <si>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</si>
  <si>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</si>
  <si>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</si>
  <si>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</si>
  <si>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</si>
  <si>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</si>
  <si>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</si>
  <si>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</si>
  <si>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</si>
  <si>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</si>
  <si>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</si>
  <si>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</si>
  <si>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</si>
  <si>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</si>
  <si>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</si>
  <si>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</si>
  <si>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</si>
  <si>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</si>
  <si>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</si>
  <si>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</si>
  <si>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</si>
  <si>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</si>
  <si>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</si>
  <si>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</si>
  <si>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</si>
  <si>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</si>
  <si>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</si>
  <si>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</si>
  <si>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</si>
  <si>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</si>
  <si>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</si>
  <si>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</si>
  <si>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</si>
  <si>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</si>
  <si>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</si>
  <si>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</si>
  <si>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</si>
  <si>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</si>
  <si>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</si>
  <si>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</si>
  <si>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</si>
  <si>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</si>
  <si>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</si>
  <si>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</si>
  <si>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</si>
  <si>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</si>
  <si>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</si>
  <si>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</si>
  <si>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</si>
  <si>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</si>
  <si>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</si>
  <si>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</si>
  <si>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</si>
  <si>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</si>
  <si>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</si>
  <si>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</si>
  <si>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</si>
  <si>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</si>
  <si>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</si>
  <si>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</si>
  <si>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</si>
  <si>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</si>
  <si>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</si>
  <si>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</si>
  <si>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</si>
  <si>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</si>
  <si>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</si>
  <si>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</si>
  <si>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</si>
  <si>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</si>
  <si>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</si>
  <si>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</si>
  <si>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</si>
  <si>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</si>
  <si>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</si>
  <si>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</si>
  <si>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</si>
  <si>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</si>
  <si>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</si>
  <si>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</si>
  <si>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</si>
  <si>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</si>
  <si>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</si>
  <si>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</si>
  <si>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</si>
  <si>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</si>
  <si>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</si>
  <si>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</si>
  <si>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</si>
  <si>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</si>
  <si>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</si>
  <si>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</si>
  <si>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</si>
  <si>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</si>
  <si>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</si>
  <si>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</si>
  <si>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</si>
  <si>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</si>
  <si>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</si>
  <si>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</si>
  <si>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</si>
  <si>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</si>
  <si>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</si>
  <si>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</si>
  <si>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</si>
  <si>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</si>
  <si>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</si>
  <si>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</si>
  <si>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</si>
  <si>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</si>
  <si>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</si>
  <si>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</si>
  <si>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</si>
  <si>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</si>
  <si>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</si>
  <si>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</si>
  <si>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</si>
  <si>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</si>
  <si>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</si>
  <si>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</si>
  <si>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</si>
  <si>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</si>
  <si>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</si>
  <si>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</si>
  <si>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</si>
  <si>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</si>
  <si>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</si>
  <si>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</si>
  <si>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</si>
  <si>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</si>
  <si>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</si>
  <si>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</si>
  <si>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</si>
  <si>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</si>
  <si>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</si>
  <si>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</si>
  <si>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</si>
  <si>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</si>
  <si>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</si>
  <si>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</si>
  <si>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</si>
  <si>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</si>
  <si>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</si>
  <si>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</si>
  <si>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</si>
  <si>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</si>
  <si>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</si>
  <si>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</si>
  <si>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</si>
  <si>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</si>
  <si>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</si>
  <si>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</si>
  <si>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</si>
  <si>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</si>
  <si>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</si>
  <si>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</si>
  <si>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</si>
  <si>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</si>
  <si>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</si>
  <si>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</si>
  <si>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</si>
  <si>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</si>
  <si>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</si>
  <si>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</si>
  <si>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</si>
  <si>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</si>
  <si>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</si>
  <si>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</si>
  <si>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</si>
  <si>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</si>
  <si>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</si>
  <si>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</si>
  <si>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</si>
  <si>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</si>
  <si>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</si>
  <si>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</si>
  <si>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</si>
  <si>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</si>
  <si>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</si>
  <si>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</si>
  <si>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</si>
  <si>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</si>
  <si>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</si>
  <si>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</si>
  <si>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</si>
  <si>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</si>
  <si>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</si>
  <si>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</si>
  <si>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</si>
  <si>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</si>
  <si>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</si>
  <si>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</si>
  <si>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</si>
  <si>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</si>
  <si>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</si>
  <si>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</si>
  <si>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</si>
  <si>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</si>
  <si>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</si>
  <si>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</si>
  <si>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</si>
  <si>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</si>
  <si>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</si>
  <si>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</si>
  <si>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</si>
  <si>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</si>
  <si>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</si>
  <si>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</si>
  <si>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</si>
  <si>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</si>
  <si>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</si>
  <si>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</si>
  <si>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</si>
  <si>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</si>
  <si>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</si>
  <si>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</si>
  <si>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</si>
  <si>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</si>
  <si>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</si>
  <si>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</si>
  <si>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</si>
  <si>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</si>
  <si>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</si>
  <si>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</si>
  <si>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</si>
  <si>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</si>
  <si>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</si>
  <si>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</si>
  <si>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</si>
  <si>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</si>
  <si>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</si>
  <si>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</si>
  <si>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</si>
  <si>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</si>
  <si>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</si>
  <si>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</si>
  <si>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</si>
  <si>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</si>
  <si>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</si>
  <si>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</si>
  <si>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</si>
  <si>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</si>
  <si>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</si>
  <si>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</si>
  <si>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</si>
  <si>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</si>
  <si>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</si>
  <si>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</si>
  <si>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</si>
  <si>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</si>
  <si>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</si>
  <si>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</si>
  <si>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</si>
  <si>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</si>
  <si>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</si>
  <si>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</si>
  <si>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</si>
  <si>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</si>
  <si>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</si>
  <si>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</si>
  <si>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</si>
  <si>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</si>
  <si>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</si>
  <si>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</si>
  <si>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</si>
  <si>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</si>
  <si>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</si>
  <si>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</si>
  <si>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</si>
  <si>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</si>
  <si>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</si>
  <si>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</si>
  <si>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</si>
  <si>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</si>
  <si>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</si>
  <si>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</si>
  <si>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</si>
  <si>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</si>
  <si>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</si>
  <si>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</si>
  <si>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</si>
  <si>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</si>
  <si>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</si>
  <si>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</si>
  <si>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</si>
  <si>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</si>
  <si>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</si>
  <si>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</si>
  <si>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</si>
  <si>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</si>
  <si>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</si>
  <si>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</si>
  <si>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</si>
  <si>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</si>
  <si>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</si>
  <si>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</si>
  <si>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</si>
  <si>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</si>
  <si>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</si>
  <si>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</si>
  <si>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</si>
  <si>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</si>
  <si>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</si>
  <si>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</si>
  <si>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</si>
  <si>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</si>
  <si>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</si>
  <si>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</si>
  <si>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</si>
  <si>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</si>
  <si>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</si>
  <si>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</si>
  <si>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</si>
  <si>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</si>
  <si>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</si>
  <si>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</si>
  <si>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</si>
  <si>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</si>
  <si>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</si>
  <si>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</si>
  <si>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</si>
  <si>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</si>
  <si>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</si>
  <si>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</si>
  <si>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</si>
  <si>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</si>
  <si>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</si>
  <si>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</si>
  <si>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</si>
  <si>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</si>
  <si>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</si>
  <si>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</si>
  <si>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</si>
  <si>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</si>
  <si>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</si>
  <si>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</si>
  <si>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</si>
  <si>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</si>
  <si>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</si>
  <si>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</si>
  <si>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</si>
  <si>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</si>
  <si>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</si>
  <si>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</si>
  <si>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</si>
  <si>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</si>
  <si>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</si>
  <si>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</si>
  <si>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</si>
  <si>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</si>
  <si>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</si>
  <si>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</si>
  <si>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</si>
  <si>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</si>
  <si>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</si>
  <si>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</si>
  <si>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</si>
  <si>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</si>
  <si>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</si>
  <si>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</si>
  <si>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</si>
  <si>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</si>
  <si>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</si>
  <si>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</si>
  <si>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</si>
  <si>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</si>
  <si>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</si>
  <si>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</si>
  <si>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</si>
  <si>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</si>
  <si>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</si>
  <si>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</si>
  <si>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</si>
  <si>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</si>
  <si>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</si>
  <si>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</si>
  <si>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</si>
  <si>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</si>
  <si>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</si>
  <si>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</si>
  <si>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</si>
  <si>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</si>
  <si>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</si>
  <si>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</si>
  <si>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</si>
  <si>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</si>
  <si>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</si>
  <si>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</si>
  <si>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</si>
  <si>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</si>
  <si>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</si>
  <si>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</si>
  <si>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</si>
  <si>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</si>
  <si>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</si>
  <si>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</si>
  <si>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</si>
  <si>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</si>
  <si>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</si>
  <si>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</si>
  <si>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</si>
  <si>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</si>
  <si>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</si>
  <si>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</si>
  <si>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</si>
  <si>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</si>
  <si>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</si>
  <si>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</si>
  <si>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</si>
  <si>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</si>
  <si>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</si>
  <si>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</si>
  <si>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</si>
  <si>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</si>
  <si>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</si>
  <si>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</si>
  <si>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</si>
  <si>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</si>
  <si>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</si>
  <si>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</si>
  <si>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</si>
  <si>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</si>
  <si>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</si>
  <si>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</si>
  <si>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</si>
  <si>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</si>
  <si>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</si>
  <si>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</si>
  <si>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</si>
  <si>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</si>
  <si>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</si>
  <si>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</si>
  <si>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</si>
  <si>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</si>
  <si>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</si>
  <si>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</si>
  <si>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</si>
  <si>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</si>
  <si>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</si>
  <si>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</si>
  <si>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</si>
  <si>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</si>
  <si>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</si>
  <si>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</si>
  <si>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</si>
  <si>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</si>
  <si>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</si>
  <si>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</si>
  <si>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</si>
  <si>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</si>
  <si>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</si>
  <si>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</si>
  <si>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</si>
  <si>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</si>
  <si>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</si>
  <si>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</si>
  <si>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</si>
  <si>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</si>
  <si>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</si>
  <si>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</si>
  <si>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</si>
  <si>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</si>
  <si>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</si>
  <si>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</si>
  <si>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</si>
  <si>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</si>
  <si>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</si>
  <si>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</si>
  <si>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</si>
  <si>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</si>
  <si>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</si>
  <si>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</si>
  <si>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</si>
  <si>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</si>
  <si>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</si>
  <si>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</si>
  <si>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</si>
  <si>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</si>
  <si>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</si>
  <si>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</si>
  <si>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</si>
  <si>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</si>
  <si>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</si>
  <si>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</si>
  <si>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</si>
  <si>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</si>
  <si>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</si>
  <si>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</si>
  <si>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</si>
  <si>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</si>
  <si>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</si>
  <si>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</si>
  <si>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</si>
  <si>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</si>
  <si>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</si>
  <si>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</si>
  <si>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</si>
  <si>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</si>
  <si>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</si>
  <si>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</si>
  <si>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</si>
  <si>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</si>
  <si>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</si>
  <si>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</si>
  <si>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</si>
  <si>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</si>
  <si>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</si>
  <si>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</si>
  <si>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</si>
  <si>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</si>
  <si>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</si>
  <si>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</si>
  <si>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</si>
  <si>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</si>
  <si>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</si>
  <si>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</si>
  <si>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</si>
  <si>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</si>
  <si>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</si>
  <si>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</si>
  <si>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</si>
  <si>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</si>
  <si>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</si>
  <si>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</si>
  <si>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</si>
  <si>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</si>
  <si>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</si>
  <si>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</si>
  <si>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</si>
  <si>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</si>
  <si>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</si>
  <si>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</si>
  <si>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</si>
  <si>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</si>
  <si>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</si>
  <si>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</si>
  <si>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</si>
  <si>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</si>
  <si>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</si>
  <si>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</si>
  <si>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</si>
  <si>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</si>
  <si>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</si>
  <si>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</si>
  <si>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</si>
  <si>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</si>
  <si>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</si>
  <si>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</si>
  <si>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</si>
  <si>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</si>
  <si>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</si>
  <si>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</si>
  <si>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</si>
  <si>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</si>
  <si>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</si>
  <si>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</si>
  <si>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</si>
  <si>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</si>
  <si>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</si>
  <si>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</si>
  <si>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</si>
  <si>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</si>
  <si>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</si>
  <si>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</si>
  <si>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</si>
  <si>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</si>
  <si>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</si>
  <si>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</si>
  <si>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</si>
  <si>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</si>
  <si>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</si>
  <si>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</si>
  <si>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</si>
  <si>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</si>
  <si>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</si>
  <si>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</si>
  <si>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</si>
  <si>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</si>
  <si>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</si>
  <si>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</si>
  <si>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</si>
  <si>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</si>
  <si>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</si>
  <si>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</si>
  <si>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</si>
  <si>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</si>
  <si>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</si>
  <si>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</si>
  <si>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</si>
  <si>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</si>
  <si>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</si>
  <si>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</si>
  <si>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</si>
  <si>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</si>
  <si>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</si>
  <si>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</si>
  <si>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</si>
  <si>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</si>
  <si>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</si>
  <si>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</si>
  <si>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</si>
  <si>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</si>
  <si>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</si>
  <si>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</si>
  <si>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</si>
  <si>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</si>
  <si>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</si>
  <si>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</si>
  <si>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</si>
  <si>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</si>
  <si>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</si>
  <si>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</si>
  <si>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</si>
  <si>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</si>
  <si>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</si>
  <si>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</si>
  <si>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</si>
  <si>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</si>
  <si>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</si>
  <si>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</si>
  <si>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</si>
  <si>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</si>
  <si>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</si>
  <si>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</si>
  <si>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</si>
  <si>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</si>
  <si>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</si>
  <si>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</si>
  <si>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</si>
  <si>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</si>
  <si>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</si>
  <si>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</si>
  <si>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</si>
  <si>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</si>
  <si>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</si>
  <si>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</si>
  <si>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</si>
  <si>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</si>
  <si>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</si>
  <si>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</si>
  <si>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</si>
  <si>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</si>
  <si>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</si>
  <si>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</si>
  <si>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</si>
  <si>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</si>
  <si>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</si>
  <si>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</si>
  <si>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</si>
  <si>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</si>
  <si>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</si>
  <si>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</si>
  <si>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</si>
  <si>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</si>
  <si>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</si>
  <si>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</si>
  <si>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</si>
  <si>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</si>
  <si>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</si>
  <si>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</si>
  <si>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</si>
  <si>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</si>
  <si>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</si>
  <si>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</si>
  <si>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</si>
  <si>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</si>
  <si>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</si>
  <si>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</si>
  <si>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</si>
  <si>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</si>
  <si>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</si>
  <si>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</si>
  <si>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</si>
  <si>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</si>
  <si>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</si>
  <si>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</si>
  <si>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</si>
  <si>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</si>
  <si>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</si>
  <si>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</si>
  <si>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</si>
  <si>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</si>
  <si>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</si>
  <si>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</si>
  <si>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</si>
  <si>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</si>
  <si>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</si>
  <si>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</si>
  <si>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</si>
  <si>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</si>
  <si>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</si>
  <si>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</si>
  <si>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</si>
  <si>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</si>
  <si>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</si>
  <si>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</si>
  <si>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</si>
  <si>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</si>
  <si>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</si>
  <si>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</si>
  <si>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</si>
  <si>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</si>
  <si>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</si>
  <si>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</si>
  <si>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</si>
  <si>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</si>
  <si>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</si>
  <si>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</si>
  <si>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</si>
  <si>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</si>
  <si>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</si>
  <si>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</si>
  <si>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</si>
  <si>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</si>
  <si>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</si>
  <si>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</si>
  <si>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</si>
  <si>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</si>
  <si>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</si>
  <si>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</si>
  <si>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</si>
  <si>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</si>
  <si>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</si>
  <si>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</si>
  <si>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</si>
  <si>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</si>
  <si>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</si>
  <si>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</si>
  <si>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</si>
  <si>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</si>
  <si>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</si>
  <si>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</si>
  <si>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</si>
  <si>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</si>
  <si>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</si>
  <si>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</si>
  <si>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</si>
  <si>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</si>
  <si>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</si>
  <si>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</si>
  <si>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</si>
  <si>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</si>
  <si>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</si>
  <si>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</si>
  <si>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</si>
  <si>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</si>
  <si>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</si>
  <si>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</si>
  <si>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</si>
  <si>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</si>
  <si>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</si>
  <si>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</si>
  <si>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</si>
  <si>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</si>
  <si>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</si>
  <si>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</si>
  <si>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</si>
  <si>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</si>
  <si>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</si>
  <si>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</si>
  <si>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</si>
  <si>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</si>
  <si>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</si>
  <si>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</si>
  <si>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</si>
  <si>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</si>
  <si>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</si>
  <si>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</si>
  <si>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</si>
  <si>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</si>
  <si>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</si>
  <si>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</si>
  <si>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</si>
  <si>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</si>
  <si>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</si>
  <si>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</si>
  <si>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</si>
  <si>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</si>
  <si>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</si>
  <si>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</si>
  <si>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</si>
  <si>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</si>
  <si>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</si>
  <si>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</si>
  <si>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</si>
  <si>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</si>
  <si>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</si>
  <si>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</si>
  <si>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</si>
  <si>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</si>
  <si>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</si>
  <si>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</si>
  <si>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</si>
  <si>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</si>
  <si>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</si>
  <si>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</si>
  <si>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</si>
  <si>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</si>
  <si>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</si>
  <si>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</si>
  <si>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</si>
  <si>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</si>
  <si>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</si>
  <si>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</si>
  <si>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</si>
  <si>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</si>
  <si>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</si>
  <si>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</si>
  <si>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</si>
  <si>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</si>
  <si>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</si>
  <si>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</si>
  <si>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</si>
  <si>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</si>
  <si>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</si>
  <si>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</si>
  <si>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</si>
  <si>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</si>
  <si>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</si>
  <si>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</si>
  <si>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</si>
  <si>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</si>
  <si>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</si>
  <si>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</si>
  <si>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</si>
  <si>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</si>
  <si>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</si>
  <si>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</si>
  <si>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</si>
  <si>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</si>
  <si>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</si>
  <si>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</si>
  <si>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</si>
  <si>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</si>
  <si>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</si>
  <si>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</si>
  <si>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</si>
  <si>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</si>
  <si>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</si>
  <si>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</si>
  <si>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</si>
  <si>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</si>
  <si>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</si>
  <si>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</si>
  <si>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</si>
  <si>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</si>
  <si>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</si>
  <si>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</si>
  <si>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</si>
  <si>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</si>
  <si>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</si>
  <si>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</si>
  <si>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</si>
  <si>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</si>
  <si>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</si>
  <si>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</si>
  <si>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</si>
  <si>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</si>
  <si>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</si>
  <si>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</si>
  <si>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</si>
  <si>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</si>
  <si>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</si>
  <si>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</si>
  <si>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</si>
  <si>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</si>
  <si>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</si>
  <si>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</si>
  <si>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</si>
  <si>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</si>
  <si>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</si>
  <si>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</si>
  <si>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</si>
  <si>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</si>
  <si>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</si>
  <si>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</si>
  <si>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</si>
  <si>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</si>
  <si>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</si>
  <si>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</si>
  <si>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</si>
  <si>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</si>
  <si>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</si>
  <si>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</si>
  <si>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</si>
  <si>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</si>
  <si>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</si>
  <si>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</si>
  <si>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</si>
  <si>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</si>
  <si>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</si>
  <si>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</si>
  <si>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</si>
  <si>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</si>
  <si>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</si>
  <si>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</si>
  <si>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</si>
  <si>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</si>
  <si>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</si>
  <si>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</si>
  <si>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</si>
  <si>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</si>
  <si>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</si>
  <si>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</si>
  <si>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</si>
  <si>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</si>
  <si>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</si>
  <si>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</si>
  <si>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</si>
  <si>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</si>
  <si>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</si>
  <si>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</si>
  <si>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</si>
  <si>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</si>
  <si>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</si>
  <si>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</si>
  <si>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</si>
  <si>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</si>
  <si>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</si>
  <si>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</si>
  <si>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</si>
  <si>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</si>
  <si>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</si>
  <si>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</si>
  <si>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</si>
  <si>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</si>
  <si>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</si>
  <si>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</si>
  <si>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</si>
  <si>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</si>
  <si>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</si>
  <si>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</si>
  <si>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</si>
  <si>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</si>
  <si>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</si>
  <si>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</si>
  <si>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</si>
  <si>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</si>
  <si>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</si>
  <si>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</si>
  <si>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</si>
  <si>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</si>
  <si>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</si>
  <si>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</si>
  <si>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</si>
  <si>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</si>
  <si>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</si>
  <si>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</si>
  <si>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</si>
  <si>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</si>
  <si>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</si>
  <si>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</si>
  <si>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</si>
  <si>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</si>
  <si>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</si>
  <si>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</si>
  <si>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</si>
  <si>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</si>
  <si>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</si>
  <si>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</si>
  <si>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</si>
  <si>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</si>
  <si>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</si>
  <si>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</si>
  <si>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</si>
  <si>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</si>
  <si>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</si>
  <si>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</si>
  <si>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</si>
  <si>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</si>
  <si>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</si>
  <si>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</si>
  <si>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</si>
  <si>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</si>
  <si>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</si>
  <si>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</si>
  <si>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</si>
  <si>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</si>
  <si>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</si>
  <si>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</si>
  <si>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</si>
  <si>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</si>
  <si>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</si>
  <si>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</si>
  <si>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</si>
  <si>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</si>
  <si>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</si>
  <si>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</si>
  <si>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</si>
  <si>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</si>
  <si>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</si>
  <si>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</si>
  <si>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</si>
  <si>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</si>
  <si>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</si>
  <si>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</si>
  <si>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</si>
  <si>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</si>
  <si>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</si>
  <si>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</si>
  <si>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</si>
  <si>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</si>
  <si>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</si>
  <si>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</si>
  <si>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</si>
  <si>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</si>
  <si>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</si>
  <si>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</si>
  <si>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</si>
  <si>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</si>
  <si>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</si>
  <si>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</si>
  <si>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</si>
  <si>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</si>
  <si>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</si>
  <si>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</si>
  <si>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</si>
  <si>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</si>
  <si>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</si>
  <si>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</si>
  <si>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</si>
  <si>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</si>
  <si>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</si>
  <si>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</si>
  <si>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</si>
  <si>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</si>
  <si>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</si>
  <si>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</si>
  <si>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</si>
  <si>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</si>
  <si>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</si>
  <si>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</si>
  <si>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</si>
  <si>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</si>
  <si>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</si>
  <si>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</si>
  <si>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</si>
  <si>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</si>
  <si>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</si>
  <si>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</si>
  <si>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</si>
  <si>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</si>
  <si>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</si>
  <si>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</si>
  <si>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</si>
  <si>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</si>
  <si>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</si>
  <si>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</si>
  <si>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</si>
  <si>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</si>
  <si>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</si>
  <si>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</si>
  <si>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</si>
  <si>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</si>
  <si>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</si>
  <si>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</si>
  <si>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</si>
  <si>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</si>
  <si>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</si>
  <si>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</si>
  <si>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</si>
  <si>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</si>
  <si>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</si>
  <si>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</si>
  <si>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</si>
  <si>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</si>
  <si>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</si>
  <si>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</si>
  <si>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</si>
  <si>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</si>
  <si>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</si>
  <si>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</si>
  <si>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</si>
  <si>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</si>
  <si>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</si>
  <si>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</si>
  <si>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</si>
  <si>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</si>
  <si>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</si>
  <si>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</si>
  <si>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</si>
  <si>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</si>
  <si>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</si>
  <si>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</si>
  <si>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</si>
  <si>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</si>
  <si>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</si>
  <si>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</si>
  <si>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</si>
  <si>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</si>
  <si>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</si>
  <si>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</si>
  <si>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</si>
  <si>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</si>
  <si>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</si>
  <si>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</si>
  <si>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</si>
  <si>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</si>
  <si>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</si>
  <si>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</si>
  <si>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</si>
  <si>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</si>
  <si>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</si>
  <si>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</si>
  <si>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</si>
  <si>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</si>
  <si>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</si>
  <si>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</si>
  <si>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</si>
  <si>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</si>
  <si>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</si>
  <si>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</si>
  <si>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</si>
  <si>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</si>
  <si>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</si>
  <si>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</si>
  <si>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</si>
  <si>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</si>
  <si>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</si>
  <si>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</si>
  <si>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</si>
  <si>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</si>
  <si>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</si>
  <si>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</si>
  <si>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</si>
  <si>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</si>
  <si>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</si>
  <si>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</si>
  <si>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</si>
  <si>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</si>
  <si>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</si>
  <si>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</si>
  <si>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</si>
  <si>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</si>
  <si>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</si>
  <si>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</si>
  <si>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</si>
  <si>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</si>
  <si>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</si>
  <si>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</si>
  <si>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</si>
  <si>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</si>
  <si>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</si>
  <si>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</si>
  <si>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</si>
  <si>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</si>
  <si>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</si>
  <si>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</si>
  <si>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</si>
  <si>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</si>
  <si>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</si>
  <si>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</si>
  <si>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</si>
  <si>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</si>
  <si>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</si>
  <si>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</si>
  <si>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</si>
  <si>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</si>
  <si>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</si>
  <si>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</si>
  <si>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</si>
  <si>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</si>
  <si>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</si>
  <si>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</si>
  <si>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</si>
  <si>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</si>
  <si>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</si>
  <si>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</si>
  <si>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</si>
  <si>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</si>
  <si>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</si>
  <si>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</si>
  <si>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</si>
  <si>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</si>
  <si>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</si>
  <si>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</si>
  <si>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</si>
  <si>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</si>
  <si>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</si>
  <si>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</si>
  <si>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</si>
  <si>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</si>
  <si>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</si>
  <si>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</si>
  <si>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</si>
  <si>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</si>
  <si>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</si>
  <si>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</si>
  <si>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</si>
  <si>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</si>
  <si>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</si>
  <si>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</si>
  <si>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</si>
  <si>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</si>
  <si>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</si>
  <si>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</si>
  <si>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</si>
  <si>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</si>
  <si>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</si>
  <si>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</si>
  <si>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</si>
  <si>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</si>
  <si>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</si>
  <si>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</si>
  <si>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</si>
  <si>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</si>
  <si>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</si>
  <si>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</si>
  <si>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</si>
  <si>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</si>
  <si>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</si>
  <si>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</si>
  <si>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</si>
  <si>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</si>
  <si>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</si>
  <si>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</si>
  <si>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</si>
  <si>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</si>
  <si>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</si>
  <si>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</si>
  <si>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</si>
  <si>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</si>
  <si>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</si>
  <si>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</si>
  <si>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</si>
  <si>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</si>
  <si>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</si>
  <si>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</si>
  <si>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</si>
  <si>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</si>
  <si>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</si>
  <si>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</si>
  <si>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</si>
  <si>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</si>
  <si>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</si>
  <si>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</si>
  <si>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</si>
  <si>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</si>
  <si>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</si>
  <si>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</si>
  <si>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</si>
  <si>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</si>
  <si>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</si>
  <si>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</si>
  <si>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</si>
  <si>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</si>
  <si>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</si>
  <si>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</si>
  <si>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</si>
  <si>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</si>
  <si>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</si>
  <si>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</si>
  <si>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</si>
  <si>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</si>
  <si>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</si>
  <si>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</si>
  <si>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</si>
  <si>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</si>
  <si>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</si>
  <si>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</si>
  <si>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</si>
  <si>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</si>
  <si>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</si>
  <si>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</si>
  <si>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</si>
  <si>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</si>
  <si>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</si>
  <si>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</si>
  <si>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</si>
  <si>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</si>
  <si>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</si>
  <si>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</si>
  <si>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</si>
  <si>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</si>
  <si>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</si>
  <si>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</si>
  <si>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</si>
  <si>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</si>
  <si>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</si>
  <si>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</si>
  <si>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</si>
  <si>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</si>
  <si>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</si>
  <si>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</si>
  <si>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</si>
  <si>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</si>
  <si>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</si>
  <si>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</si>
  <si>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</si>
  <si>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</si>
  <si>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</si>
  <si>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</si>
  <si>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</si>
  <si>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</si>
  <si>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</si>
  <si>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</si>
  <si>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</si>
  <si>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</si>
  <si>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</si>
  <si>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</si>
  <si>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</si>
  <si>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</si>
  <si>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</si>
  <si>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</si>
  <si>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</si>
  <si>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</si>
  <si>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</si>
  <si>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</si>
  <si>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</si>
  <si>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</si>
  <si>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</si>
  <si>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</si>
  <si>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</si>
  <si>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</si>
  <si>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</si>
  <si>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</si>
  <si>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</si>
  <si>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</si>
  <si>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</si>
  <si>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</si>
  <si>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</si>
  <si>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</si>
  <si>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</si>
  <si>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</si>
  <si>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</si>
  <si>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</si>
  <si>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</si>
  <si>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</si>
  <si>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</si>
  <si>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</si>
  <si>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</si>
  <si>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</si>
  <si>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</si>
  <si>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</si>
  <si>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</si>
  <si>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</si>
  <si>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</si>
  <si>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</si>
  <si>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</si>
  <si>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</si>
  <si>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</si>
  <si>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</si>
  <si>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</si>
  <si>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</si>
  <si>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</si>
  <si>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</si>
  <si>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</si>
  <si>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</si>
  <si>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</si>
  <si>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</si>
  <si>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</si>
  <si>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</si>
  <si>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</si>
  <si>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</si>
  <si>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</si>
  <si>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</si>
  <si>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</si>
  <si>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</si>
  <si>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</si>
  <si>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</si>
  <si>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</si>
  <si>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</si>
  <si>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</si>
  <si>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</si>
  <si>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</si>
  <si>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</si>
  <si>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</si>
  <si>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</si>
  <si>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</si>
  <si>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</si>
  <si>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</si>
  <si>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</si>
  <si>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</si>
  <si>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</si>
  <si>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</si>
  <si>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</si>
  <si>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</si>
  <si>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</si>
  <si>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</si>
  <si>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</si>
  <si>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</si>
  <si>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</si>
  <si>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</si>
  <si>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</si>
  <si>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</si>
  <si>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</si>
  <si>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</si>
  <si>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</si>
  <si>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</si>
  <si>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</si>
  <si>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</si>
  <si>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</si>
  <si>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</si>
  <si>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</si>
  <si>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</si>
  <si>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</si>
  <si>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</si>
  <si>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</si>
  <si>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</si>
  <si>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</si>
  <si>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</si>
  <si>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</si>
  <si>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</si>
  <si>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</si>
  <si>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</si>
  <si>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</si>
  <si>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</si>
  <si>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</si>
  <si>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</si>
  <si>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</si>
  <si>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</si>
  <si>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</si>
  <si>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</si>
  <si>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</si>
  <si>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</si>
  <si>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</si>
  <si>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</si>
  <si>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</si>
  <si>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</si>
  <si>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</si>
  <si>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</si>
  <si>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</si>
  <si>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</si>
  <si>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</si>
  <si>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</si>
  <si>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</si>
  <si>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</si>
  <si>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</si>
  <si>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</si>
  <si>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</si>
  <si>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</si>
  <si>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</si>
  <si>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</si>
  <si>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</si>
  <si>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</si>
  <si>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</si>
  <si>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</si>
  <si>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</si>
  <si>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</si>
  <si>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</si>
  <si>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</si>
  <si>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</si>
  <si>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</si>
  <si>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</si>
  <si>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</si>
  <si>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</si>
  <si>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</si>
  <si>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</si>
  <si>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</si>
  <si>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</si>
  <si>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</si>
  <si>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</si>
  <si>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</si>
  <si>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</si>
  <si>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</si>
  <si>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</si>
  <si>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</si>
  <si>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</si>
  <si>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</si>
  <si>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</si>
  <si>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</si>
  <si>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</si>
  <si>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</si>
  <si>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</si>
  <si>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</si>
  <si>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</si>
  <si>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</si>
  <si>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</si>
  <si>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</si>
  <si>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</si>
  <si>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</si>
  <si>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</si>
  <si>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</si>
  <si>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</si>
  <si>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</si>
  <si>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</si>
  <si>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</si>
  <si>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</si>
  <si>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</si>
  <si>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</si>
  <si>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</si>
  <si>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</si>
  <si>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</si>
  <si>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</si>
  <si>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</si>
  <si>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</si>
  <si>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</si>
  <si>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</si>
  <si>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</si>
  <si>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</si>
  <si>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</si>
  <si>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</si>
  <si>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</si>
  <si>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</si>
  <si>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</si>
  <si>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</si>
  <si>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</si>
  <si>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</si>
  <si>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</si>
  <si>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</si>
  <si>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</si>
  <si>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</si>
  <si>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</si>
  <si>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</si>
  <si>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</si>
  <si>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</si>
  <si>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</si>
  <si>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</si>
  <si>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</si>
  <si>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</si>
  <si>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</si>
  <si>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</si>
  <si>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</si>
  <si>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</si>
  <si>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</si>
  <si>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</si>
  <si>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</si>
  <si>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</si>
  <si>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</si>
  <si>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</si>
  <si>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</si>
  <si>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</si>
  <si>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</si>
  <si>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</si>
  <si>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</si>
  <si>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</si>
  <si>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</si>
  <si>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</si>
  <si>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</si>
  <si>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</si>
  <si>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</si>
  <si>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</si>
  <si>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</si>
  <si>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</si>
  <si>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</si>
  <si>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</si>
  <si>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</si>
  <si>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</si>
  <si>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</si>
  <si>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</si>
  <si>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</si>
  <si>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</si>
  <si>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</si>
  <si>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</si>
  <si>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</si>
  <si>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</si>
  <si>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</si>
  <si>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</si>
  <si>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</si>
  <si>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</si>
  <si>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</si>
  <si>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</si>
  <si>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</si>
  <si>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</si>
  <si>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</si>
  <si>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</si>
  <si>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</si>
  <si>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</si>
  <si>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</si>
  <si>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</si>
  <si>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</si>
  <si>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</si>
  <si>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</si>
  <si>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</si>
  <si>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</si>
  <si>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</si>
  <si>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</si>
  <si>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</si>
  <si>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</si>
  <si>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</si>
  <si>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</si>
  <si>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</si>
  <si>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</si>
  <si>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</si>
  <si>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</si>
  <si>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</si>
  <si>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</si>
  <si>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</si>
  <si>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</si>
  <si>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</si>
  <si>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</si>
  <si>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</si>
  <si>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</si>
  <si>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</si>
  <si>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</si>
  <si>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</si>
  <si>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</si>
  <si>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</si>
  <si>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</si>
  <si>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</si>
  <si>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</si>
  <si>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</si>
  <si>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</si>
  <si>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</si>
  <si>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</si>
  <si>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</si>
  <si>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</si>
  <si>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</si>
  <si>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</si>
  <si>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</si>
  <si>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</si>
  <si>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</si>
  <si>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</si>
  <si>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</si>
  <si>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</si>
  <si>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</si>
  <si>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</si>
  <si>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</si>
  <si>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</si>
  <si>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</si>
  <si>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</si>
  <si>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</si>
  <si>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</si>
  <si>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</si>
  <si>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</si>
  <si>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</si>
  <si>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</si>
  <si>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</si>
  <si>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</si>
  <si>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</si>
  <si>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</si>
  <si>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</si>
  <si>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</si>
  <si>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</si>
  <si>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</si>
  <si>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</si>
  <si>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</si>
  <si>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</si>
  <si>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</si>
  <si>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</si>
  <si>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</si>
  <si>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</si>
  <si>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</si>
  <si>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</si>
  <si>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</si>
  <si>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</si>
  <si>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</si>
  <si>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</si>
  <si>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</si>
  <si>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</si>
  <si>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</si>
  <si>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</si>
  <si>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</si>
  <si>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</si>
  <si>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</si>
  <si>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</si>
  <si>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</si>
  <si>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</si>
  <si>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</si>
  <si>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</si>
  <si>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</si>
  <si>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</si>
  <si>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</si>
  <si>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</si>
  <si>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</si>
  <si>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</si>
  <si>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</si>
  <si>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</si>
  <si>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</si>
  <si>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</si>
  <si>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</si>
  <si>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</si>
  <si>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</si>
  <si>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</si>
  <si>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</si>
  <si>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</si>
  <si>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</si>
  <si>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</si>
  <si>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</si>
  <si>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</si>
  <si>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</si>
  <si>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</si>
  <si>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</si>
  <si>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</si>
  <si>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</si>
  <si>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</si>
  <si>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</si>
  <si>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</si>
  <si>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</si>
  <si>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</si>
  <si>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</si>
  <si>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</si>
  <si>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</si>
  <si>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</si>
  <si>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</si>
  <si>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</si>
  <si>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</si>
  <si>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</si>
  <si>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</si>
  <si>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</si>
  <si>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</si>
  <si>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</si>
  <si>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</si>
  <si>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</si>
  <si>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</si>
  <si>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</si>
  <si>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</si>
  <si>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</si>
  <si>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</si>
  <si>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</si>
  <si>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</si>
  <si>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</si>
  <si>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</si>
  <si>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</si>
  <si>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</si>
  <si>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</si>
  <si>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</si>
  <si>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</si>
  <si>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</si>
  <si>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</si>
  <si>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</si>
  <si>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</si>
  <si>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</si>
  <si>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</si>
  <si>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</si>
  <si>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</si>
  <si>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</si>
  <si>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</si>
  <si>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</si>
  <si>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</si>
  <si>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</si>
  <si>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</si>
  <si>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</si>
  <si>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</si>
  <si>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</si>
  <si>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</si>
  <si>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</si>
  <si>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</si>
  <si>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</si>
  <si>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</si>
  <si>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</si>
  <si>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</si>
  <si>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</si>
  <si>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</si>
  <si>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</si>
  <si>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</si>
  <si>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</si>
  <si>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</si>
  <si>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</si>
  <si>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</si>
  <si>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</si>
  <si>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</si>
  <si>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</si>
  <si>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</si>
  <si>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</si>
  <si>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</si>
  <si>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</si>
  <si>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</si>
  <si>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</si>
  <si>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</si>
  <si>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</si>
  <si>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</si>
  <si>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</si>
  <si>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</si>
  <si>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</si>
  <si>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</si>
  <si>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</si>
  <si>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</si>
  <si>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</si>
  <si>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</si>
  <si>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</si>
  <si>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</si>
  <si>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</si>
  <si>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</si>
  <si>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</si>
  <si>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</si>
  <si>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</si>
  <si>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</si>
  <si>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</si>
  <si>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</si>
  <si>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</si>
  <si>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</si>
  <si>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</si>
  <si>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</si>
  <si>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</si>
  <si>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</si>
  <si>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</si>
  <si>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</si>
  <si>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</si>
  <si>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</si>
  <si>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</si>
  <si>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</si>
  <si>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</si>
  <si>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</si>
  <si>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</si>
  <si>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</si>
  <si>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</si>
  <si>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</si>
  <si>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</si>
  <si>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</si>
  <si>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</si>
  <si>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</si>
  <si>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</si>
  <si>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</si>
  <si>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</si>
  <si>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</si>
  <si>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</si>
  <si>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</si>
  <si>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</si>
  <si>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</si>
  <si>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</si>
  <si>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</si>
  <si>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</si>
  <si>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</si>
  <si>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</si>
  <si>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</si>
  <si>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</si>
  <si>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</si>
  <si>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</si>
  <si>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</si>
  <si>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</si>
  <si>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</si>
  <si>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</si>
  <si>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</si>
  <si>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</si>
  <si>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</si>
  <si>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</si>
  <si>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</si>
  <si>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</si>
  <si>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</si>
  <si>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</si>
  <si>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</si>
  <si>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</si>
  <si>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</si>
  <si>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</si>
  <si>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</si>
  <si>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</si>
  <si>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</si>
  <si>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</si>
  <si>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</si>
  <si>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</si>
  <si>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</si>
  <si>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</si>
  <si>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</si>
  <si>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</si>
  <si>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</si>
  <si>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</si>
  <si>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</si>
  <si>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</si>
  <si>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</si>
  <si>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</si>
  <si>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</si>
  <si>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</si>
  <si>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</si>
  <si>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</si>
  <si>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</si>
  <si>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</si>
  <si>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</si>
  <si>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</si>
  <si>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</si>
  <si>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</si>
  <si>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</si>
  <si>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</si>
  <si>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</si>
  <si>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</si>
  <si>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</si>
  <si>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</si>
  <si>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</si>
  <si>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</si>
  <si>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</si>
  <si>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</si>
  <si>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</si>
  <si>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</si>
  <si>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</si>
  <si>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</si>
  <si>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</si>
  <si>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</si>
  <si>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</si>
  <si>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</si>
  <si>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</si>
  <si>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</si>
  <si>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</si>
  <si>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</si>
  <si>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</si>
  <si>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</si>
  <si>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61041-9601</t>
  </si>
  <si>
    <t>balbrecht@riverridge210.org</t>
  </si>
  <si>
    <t>amercier@roe8.org</t>
  </si>
  <si>
    <t>X</t>
  </si>
  <si>
    <t>ROE - Paper Consortium</t>
  </si>
  <si>
    <t>Jo Daviess - Carroll Career Technical Education Academy</t>
  </si>
  <si>
    <t>Northwest Special Education Cooperative</t>
  </si>
  <si>
    <t>Regional Office - Job Bank</t>
  </si>
  <si>
    <t>ED-Instruction-Other</t>
  </si>
  <si>
    <t>Chileda Institute Inc</t>
  </si>
  <si>
    <t>ED-Other-Other</t>
  </si>
  <si>
    <t>10-2900-600</t>
  </si>
  <si>
    <t>Account</t>
  </si>
  <si>
    <t>Page</t>
  </si>
  <si>
    <t>Line #</t>
  </si>
  <si>
    <t>Miscellaneous</t>
  </si>
  <si>
    <t>Milk money</t>
  </si>
  <si>
    <t>Library grant</t>
  </si>
  <si>
    <t>REAP grant</t>
  </si>
  <si>
    <t>Other federal revenue</t>
  </si>
  <si>
    <t>Copier supplies and materials</t>
  </si>
  <si>
    <t>Special ed room and board</t>
  </si>
  <si>
    <t>Vehicle insurance</t>
  </si>
  <si>
    <t>JO DAVIESS</t>
  </si>
  <si>
    <t>4141 IL RT. 84 SOUTH</t>
  </si>
  <si>
    <t>HANOVER</t>
  </si>
  <si>
    <t>BRAD ALBRECHT</t>
  </si>
  <si>
    <t>815/858-9005</t>
  </si>
  <si>
    <t>815/858-9006</t>
  </si>
  <si>
    <t>AARON MERCIER</t>
  </si>
  <si>
    <t>815/599-1408</t>
  </si>
  <si>
    <t>815/297-9032</t>
  </si>
  <si>
    <t>River Ridge CUSD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</si>
</sst>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6" fillId="0" borderId="0" xfId="0" applyFont="1" applyAlignment="1">
      <alignment horizontal="center"/>
    </xf>
    <xf numFmtId="0" fontId="74" fillId="0" borderId="0" xfId="0" applyFont="1" applyAlignment="1">
      <alignment horizontal="center"/>
    </xf>
    <xf numFmtId="181" fontId="56" fillId="0" borderId="165" xfId="19" applyNumberFormat="1" applyFont="1" applyBorder="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484909</xdr:colOff>
          <xdr:row>4</xdr:row>
          <xdr:rowOff>77932</xdr:rowOff>
        </xdr:from>
        <xdr:to>
          <xdr:col>1</xdr:col>
          <xdr:colOff>1399309</xdr:colOff>
          <xdr:row>8</xdr:row>
          <xdr:rowOff>116032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8" t="s">
        <v>405</v>
      </c>
      <c r="J1" s="2019"/>
      <c r="K1" s="2019"/>
      <c r="L1" s="2019"/>
      <c r="M1" s="2019"/>
      <c r="N1" s="2019"/>
      <c r="O1" s="2019"/>
      <c r="P1" s="2019"/>
      <c r="Q1" s="2019"/>
      <c r="R1" s="2019"/>
      <c r="S1" s="2019"/>
    </row>
    <row r="2" spans="1:28" ht="12" customHeight="1" x14ac:dyDescent="0.2">
      <c r="A2" s="47" t="s">
        <v>1993</v>
      </c>
      <c r="D2" s="48"/>
      <c r="I2" s="2020" t="s">
        <v>979</v>
      </c>
      <c r="J2" s="2019"/>
      <c r="K2" s="2019"/>
      <c r="L2" s="2019"/>
      <c r="M2" s="2019"/>
      <c r="N2" s="2019"/>
      <c r="O2" s="2019"/>
      <c r="P2" s="2019"/>
      <c r="Q2" s="2019"/>
      <c r="R2" s="2019"/>
      <c r="S2" s="2019"/>
    </row>
    <row r="3" spans="1:28" ht="12" customHeight="1" x14ac:dyDescent="0.2">
      <c r="A3" s="155" t="s">
        <v>1945</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t="s">
        <v>2076</v>
      </c>
      <c r="C5" s="26" t="s">
        <v>910</v>
      </c>
      <c r="D5" s="84"/>
      <c r="E5" s="84"/>
      <c r="H5" s="38"/>
      <c r="I5" s="2027" t="s">
        <v>680</v>
      </c>
      <c r="J5" s="1972"/>
      <c r="K5" s="1972"/>
      <c r="L5" s="1972"/>
      <c r="M5" s="1972"/>
      <c r="N5" s="1972"/>
      <c r="O5" s="1972"/>
      <c r="P5" s="1972"/>
      <c r="Q5" s="1972"/>
      <c r="R5" s="1972"/>
      <c r="S5" s="1972"/>
    </row>
    <row r="6" spans="1:28" ht="14.1" customHeight="1" x14ac:dyDescent="0.2">
      <c r="B6" s="104"/>
      <c r="C6" s="26" t="s">
        <v>911</v>
      </c>
      <c r="D6" s="84"/>
      <c r="E6" s="84"/>
      <c r="I6" s="2026" t="s">
        <v>883</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t="s">
        <v>2076</v>
      </c>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8">
        <v>8043210026</v>
      </c>
      <c r="B13" s="1989"/>
      <c r="C13" s="1989"/>
      <c r="D13" s="1989"/>
      <c r="E13" s="1989"/>
      <c r="F13" s="1989"/>
      <c r="G13" s="1989"/>
      <c r="H13" s="1990"/>
      <c r="I13" s="31"/>
      <c r="J13" s="30"/>
      <c r="K13" s="28"/>
      <c r="L13" s="30"/>
      <c r="M13" s="30"/>
      <c r="N13" s="30"/>
      <c r="O13" s="30"/>
      <c r="P13" s="30"/>
      <c r="Q13" s="30"/>
      <c r="R13" s="30"/>
      <c r="S13" s="30"/>
      <c r="T13" s="1993" t="s">
        <v>2064</v>
      </c>
      <c r="U13" s="1994"/>
      <c r="V13" s="1994"/>
      <c r="W13" s="1994"/>
      <c r="X13" s="1994"/>
      <c r="Y13" s="1995"/>
      <c r="Z13" s="1995"/>
      <c r="AA13" s="19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2096</v>
      </c>
      <c r="B15" s="1991"/>
      <c r="C15" s="1991"/>
      <c r="D15" s="1991"/>
      <c r="E15" s="1991"/>
      <c r="F15" s="1991"/>
      <c r="G15" s="1991"/>
      <c r="H15" s="1992"/>
      <c r="T15" s="1954" t="s">
        <v>2065</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2105</v>
      </c>
      <c r="B17" s="2016"/>
      <c r="C17" s="2016"/>
      <c r="D17" s="2016"/>
      <c r="E17" s="2016"/>
      <c r="F17" s="2016"/>
      <c r="G17" s="2016"/>
      <c r="H17" s="2017"/>
      <c r="T17" s="2003" t="s">
        <v>2066</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6" t="s">
        <v>2097</v>
      </c>
      <c r="B19" s="1987"/>
      <c r="C19" s="1987"/>
      <c r="D19" s="1987"/>
      <c r="E19" s="1987"/>
      <c r="F19" s="1987"/>
      <c r="G19" s="1987"/>
      <c r="H19" s="1985"/>
      <c r="I19" s="30"/>
      <c r="J19" s="99"/>
      <c r="K19" s="40"/>
      <c r="L19" s="38"/>
      <c r="M19" s="112" t="s">
        <v>315</v>
      </c>
      <c r="P19" s="27"/>
      <c r="Q19" s="27"/>
      <c r="R19" s="27"/>
      <c r="S19" s="31"/>
      <c r="T19" s="1986" t="s">
        <v>2067</v>
      </c>
      <c r="U19" s="1984"/>
      <c r="V19" s="1984"/>
      <c r="W19" s="1985"/>
      <c r="X19" s="2001" t="s">
        <v>2068</v>
      </c>
      <c r="Y19" s="2002"/>
      <c r="Z19" s="1999">
        <v>61032</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2098</v>
      </c>
      <c r="B21" s="1984"/>
      <c r="C21" s="1984"/>
      <c r="D21" s="1984"/>
      <c r="E21" s="1984"/>
      <c r="F21" s="1984"/>
      <c r="G21" s="1984"/>
      <c r="H21" s="1985"/>
      <c r="I21" s="2009" t="s">
        <v>678</v>
      </c>
      <c r="J21" s="1972"/>
      <c r="K21" s="1972"/>
      <c r="L21" s="1972"/>
      <c r="M21" s="1972"/>
      <c r="N21" s="1972"/>
      <c r="O21" s="1972"/>
      <c r="P21" s="1972"/>
      <c r="Q21" s="1972"/>
      <c r="R21" s="1972"/>
      <c r="S21" s="1973"/>
      <c r="T21" s="1951" t="s">
        <v>2069</v>
      </c>
      <c r="U21" s="1952"/>
      <c r="V21" s="1952"/>
      <c r="W21" s="1952"/>
      <c r="X21" s="1965" t="s">
        <v>2070</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6"/>
      <c r="B23" s="2007"/>
      <c r="C23" s="2007"/>
      <c r="D23" s="2007"/>
      <c r="E23" s="2007"/>
      <c r="F23" s="2007"/>
      <c r="G23" s="2007"/>
      <c r="H23" s="2008"/>
      <c r="T23" s="1946" t="s">
        <v>2071</v>
      </c>
      <c r="U23" s="1947"/>
      <c r="V23" s="1947"/>
      <c r="W23" s="1947"/>
      <c r="X23" s="1962">
        <v>44530</v>
      </c>
      <c r="Y23" s="1963"/>
      <c r="Z23" s="1963"/>
      <c r="AA23" s="1964"/>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3" t="s">
        <v>2073</v>
      </c>
      <c r="B25" s="1984"/>
      <c r="C25" s="1984"/>
      <c r="D25" s="1984"/>
      <c r="E25" s="1984"/>
      <c r="F25" s="1984"/>
      <c r="G25" s="1984"/>
      <c r="H25" s="1985"/>
      <c r="I25" s="113"/>
      <c r="J25" s="2050"/>
      <c r="K25" s="2050"/>
      <c r="L25" s="2050"/>
      <c r="M25" s="2050"/>
      <c r="N25" s="2050"/>
      <c r="O25" s="2050"/>
      <c r="P25" s="2050"/>
      <c r="Q25" s="2050"/>
      <c r="R25" s="2050"/>
      <c r="S25" s="2051"/>
      <c r="T25" s="1943" t="s">
        <v>2072</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6" t="s">
        <v>2099</v>
      </c>
      <c r="B38" s="2016"/>
      <c r="C38" s="2016"/>
      <c r="D38" s="2016"/>
      <c r="E38" s="2016"/>
      <c r="F38" s="1984"/>
      <c r="G38" s="1984"/>
      <c r="H38" s="1985"/>
      <c r="I38" s="2035"/>
      <c r="J38" s="1955"/>
      <c r="K38" s="1955"/>
      <c r="L38" s="1955"/>
      <c r="M38" s="1955"/>
      <c r="N38" s="1955"/>
      <c r="O38" s="1955"/>
      <c r="P38" s="1956"/>
      <c r="Q38" s="1956"/>
      <c r="R38" s="1956"/>
      <c r="S38" s="1957"/>
      <c r="T38" s="1954" t="s">
        <v>2102</v>
      </c>
      <c r="U38" s="1955"/>
      <c r="V38" s="1955"/>
      <c r="W38" s="1955"/>
      <c r="X38" s="1956"/>
      <c r="Y38" s="1956"/>
      <c r="Z38" s="1956"/>
      <c r="AA38" s="1957"/>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2074</v>
      </c>
      <c r="B40" s="2043"/>
      <c r="C40" s="2044"/>
      <c r="D40" s="2044"/>
      <c r="E40" s="2044"/>
      <c r="F40" s="2045"/>
      <c r="G40" s="2045"/>
      <c r="H40" s="2046"/>
      <c r="I40" s="1958"/>
      <c r="J40" s="1960"/>
      <c r="K40" s="1960"/>
      <c r="L40" s="1960"/>
      <c r="M40" s="1960"/>
      <c r="N40" s="1960"/>
      <c r="O40" s="1960"/>
      <c r="P40" s="1960"/>
      <c r="Q40" s="1960"/>
      <c r="R40" s="1960"/>
      <c r="S40" s="1961"/>
      <c r="T40" s="1958" t="s">
        <v>2075</v>
      </c>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2100</v>
      </c>
      <c r="B42" s="2033"/>
      <c r="C42" s="2034"/>
      <c r="D42" s="2047" t="s">
        <v>2101</v>
      </c>
      <c r="E42" s="2033"/>
      <c r="F42" s="2033"/>
      <c r="G42" s="2033"/>
      <c r="H42" s="2034"/>
      <c r="I42" s="1953"/>
      <c r="J42" s="1949"/>
      <c r="K42" s="1949"/>
      <c r="L42" s="1949"/>
      <c r="M42" s="1949"/>
      <c r="N42" s="1949"/>
      <c r="O42" s="1950"/>
      <c r="P42" s="1948"/>
      <c r="Q42" s="1949"/>
      <c r="R42" s="1949"/>
      <c r="S42" s="1950"/>
      <c r="T42" s="1953" t="s">
        <v>2103</v>
      </c>
      <c r="U42" s="1949"/>
      <c r="V42" s="1949"/>
      <c r="W42" s="1950"/>
      <c r="X42" s="1948" t="s">
        <v>2104</v>
      </c>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topLeftCell="A114"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2076</v>
      </c>
      <c r="C53" s="179">
        <v>22</v>
      </c>
      <c r="D53" s="247" t="s">
        <v>1462</v>
      </c>
      <c r="E53" s="248"/>
      <c r="F53" s="249"/>
      <c r="G53" s="249" t="s">
        <v>1461</v>
      </c>
      <c r="H53" s="250">
        <v>35738</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2064</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colorId="8" zoomScale="110" zoomScaleNormal="110" workbookViewId="0">
      <selection activeCell="J15" sqref="J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162660336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3.1154999999999999E-2</v>
      </c>
      <c r="E10" s="356" t="s">
        <v>1005</v>
      </c>
      <c r="F10" s="355">
        <v>4.9550999999999996E-3</v>
      </c>
      <c r="G10" s="356" t="s">
        <v>1005</v>
      </c>
      <c r="H10" s="355">
        <v>2.3536999999999998E-3</v>
      </c>
      <c r="I10" s="356" t="s">
        <v>1006</v>
      </c>
      <c r="J10" s="1732">
        <f>ROUND(D10+F10+H10,5)</f>
        <v>3.8460000000000001E-2</v>
      </c>
      <c r="K10" s="222"/>
      <c r="L10" s="355">
        <v>0</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7933650</v>
      </c>
      <c r="E16" s="356"/>
      <c r="F16" s="1733">
        <f>SUM('Acct Summary 7-8'!C17,'Acct Summary 7-8'!D17,'Acct Summary 7-8'!F17)</f>
        <v>7466767</v>
      </c>
      <c r="G16" s="356"/>
      <c r="H16" s="1733">
        <f>SUM(D16-F16)</f>
        <v>466883</v>
      </c>
      <c r="I16" s="222"/>
      <c r="J16" s="1733">
        <f>SUM('Acct Summary 7-8'!C81,'Acct Summary 7-8'!D81,'Acct Summary 7-8'!F81,'Acct Summary 7-8'!I81)</f>
        <v>11103051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22447126.368000001</v>
      </c>
      <c r="I31" s="368"/>
      <c r="J31" s="222"/>
      <c r="K31" s="222"/>
      <c r="L31" s="222"/>
      <c r="M31" s="222"/>
    </row>
    <row r="32" spans="1:13" ht="13.35" customHeight="1" x14ac:dyDescent="0.2">
      <c r="B32" s="369" t="s">
        <v>2076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zoomScale="110" zoomScaleNormal="110" workbookViewId="0">
      <selection activeCell="L31" sqref="L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River Ridge CUSD 210</v>
      </c>
      <c r="E7" s="391"/>
      <c r="G7" s="252"/>
      <c r="H7" s="387"/>
      <c r="I7" s="387"/>
      <c r="J7" s="387"/>
      <c r="K7" s="387"/>
      <c r="L7" s="329"/>
      <c r="M7" s="329"/>
      <c r="N7" s="329"/>
      <c r="O7" s="329"/>
      <c r="P7" s="329"/>
    </row>
    <row r="8" spans="1:18" ht="12.75" x14ac:dyDescent="0.2">
      <c r="A8" s="329"/>
      <c r="B8" s="329"/>
      <c r="C8" s="389" t="s">
        <v>1125</v>
      </c>
      <c r="D8" s="392">
        <f>COVER!A13</f>
        <v>8043210026</v>
      </c>
      <c r="E8" s="393"/>
      <c r="G8" s="329"/>
      <c r="H8" s="329"/>
      <c r="I8" s="329"/>
      <c r="J8" s="329"/>
      <c r="K8" s="329"/>
      <c r="L8" s="329"/>
      <c r="M8" s="329"/>
      <c r="N8" s="329"/>
      <c r="O8" s="329"/>
      <c r="P8" s="329"/>
    </row>
    <row r="9" spans="1:18" ht="12.75" x14ac:dyDescent="0.2">
      <c r="A9" s="329"/>
      <c r="B9" s="329"/>
      <c r="C9" s="389" t="s">
        <v>713</v>
      </c>
      <c r="D9" s="394" t="str">
        <f>COVER!A15</f>
        <v>JO DAVIESS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11103051</v>
      </c>
      <c r="I12" s="404"/>
      <c r="J12" s="404"/>
      <c r="K12" s="405">
        <f>TRUNC((H12/H13*100000),5)/100000</f>
        <v>1.3994883817000001</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7933650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7466767</v>
      </c>
      <c r="I17" s="404"/>
      <c r="J17" s="416"/>
      <c r="K17" s="405">
        <f>TRUNC((H17/H18*100000),5)/100000</f>
        <v>0.9411515506</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7933650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11103051</v>
      </c>
      <c r="I24" s="422"/>
      <c r="J24" s="422"/>
      <c r="K24" s="423">
        <f>TRUNC(((H24/H25*100000)/100000),2)</f>
        <v>535.30999999999995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20741.01944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5317529.0441800002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22447126.368000001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colorId="8" zoomScale="90" zoomScaleNormal="90" workbookViewId="0">
      <pane ySplit="2" topLeftCell="A27" activePane="bottomLeft" state="frozen"/>
      <selection pane="bottomLeft" activeCell="C38" sqref="C38: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5953023</v>
      </c>
      <c r="D4" s="466">
        <v>3088980</v>
      </c>
      <c r="E4" s="466"/>
      <c r="F4" s="466">
        <v>2061048</v>
      </c>
      <c r="G4" s="466">
        <v>176242</v>
      </c>
      <c r="H4" s="466">
        <v>958871</v>
      </c>
      <c r="I4" s="466"/>
      <c r="J4" s="467">
        <v>225045</v>
      </c>
      <c r="K4" s="466">
        <v>52372</v>
      </c>
      <c r="L4" s="466">
        <v>80429</v>
      </c>
      <c r="M4" s="468"/>
      <c r="N4" s="469"/>
    </row>
    <row r="5" spans="1:14" x14ac:dyDescent="0.2">
      <c r="A5" s="463" t="s">
        <v>992</v>
      </c>
      <c r="B5" s="470">
        <v>120</v>
      </c>
      <c r="C5" s="465"/>
      <c r="D5" s="466"/>
      <c r="E5" s="466"/>
      <c r="F5" s="466"/>
      <c r="G5" s="466"/>
      <c r="H5" s="466"/>
      <c r="I5" s="466"/>
      <c r="J5" s="467"/>
      <c r="K5" s="471"/>
      <c r="L5" s="472">
        <v>551747</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5953023</v>
      </c>
      <c r="D13" s="1737">
        <f t="shared" ref="D13:L13" si="0">SUM(D4:D12)</f>
        <v>3088980</v>
      </c>
      <c r="E13" s="1737">
        <f t="shared" si="0"/>
        <v>0</v>
      </c>
      <c r="F13" s="1737">
        <f t="shared" si="0"/>
        <v>2061048</v>
      </c>
      <c r="G13" s="1737">
        <f t="shared" si="0"/>
        <v>176242</v>
      </c>
      <c r="H13" s="1737">
        <f t="shared" si="0"/>
        <v>958871</v>
      </c>
      <c r="I13" s="1737">
        <f t="shared" si="0"/>
        <v>0</v>
      </c>
      <c r="J13" s="1737">
        <f t="shared" si="0"/>
        <v>225045</v>
      </c>
      <c r="K13" s="1737">
        <f t="shared" si="0"/>
        <v>52372</v>
      </c>
      <c r="L13" s="1737">
        <f t="shared" si="0"/>
        <v>632176</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110000</v>
      </c>
      <c r="N16" s="484"/>
    </row>
    <row r="17" spans="1:14" s="485" customFormat="1" ht="12.75" customHeight="1" x14ac:dyDescent="0.2">
      <c r="A17" s="482" t="s">
        <v>1403</v>
      </c>
      <c r="B17" s="483">
        <v>230</v>
      </c>
      <c r="C17" s="477"/>
      <c r="D17" s="477"/>
      <c r="E17" s="477"/>
      <c r="F17" s="477"/>
      <c r="G17" s="477"/>
      <c r="H17" s="477"/>
      <c r="I17" s="477"/>
      <c r="J17" s="477"/>
      <c r="K17" s="477"/>
      <c r="L17" s="477"/>
      <c r="M17" s="467">
        <v>9618749</v>
      </c>
      <c r="N17" s="484"/>
    </row>
    <row r="18" spans="1:14" s="485" customFormat="1" ht="12.75" customHeight="1" x14ac:dyDescent="0.2">
      <c r="A18" s="482" t="s">
        <v>1404</v>
      </c>
      <c r="B18" s="483">
        <v>240</v>
      </c>
      <c r="C18" s="477"/>
      <c r="D18" s="477"/>
      <c r="E18" s="477"/>
      <c r="F18" s="477"/>
      <c r="G18" s="477"/>
      <c r="H18" s="477"/>
      <c r="I18" s="477"/>
      <c r="J18" s="477"/>
      <c r="K18" s="477"/>
      <c r="L18" s="477"/>
      <c r="M18" s="467">
        <v>1660843</v>
      </c>
      <c r="N18" s="484"/>
    </row>
    <row r="19" spans="1:14" s="485" customFormat="1" ht="12.75" customHeight="1" x14ac:dyDescent="0.2">
      <c r="A19" s="482" t="s">
        <v>1405</v>
      </c>
      <c r="B19" s="483">
        <v>250</v>
      </c>
      <c r="C19" s="477"/>
      <c r="D19" s="477"/>
      <c r="E19" s="477"/>
      <c r="F19" s="477"/>
      <c r="G19" s="477"/>
      <c r="H19" s="477"/>
      <c r="I19" s="477"/>
      <c r="J19" s="477"/>
      <c r="K19" s="477"/>
      <c r="L19" s="477"/>
      <c r="M19" s="467">
        <v>1555900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12945492</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632176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632176</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7</v>
      </c>
      <c r="D38" s="466"/>
      <c r="E38" s="466"/>
      <c r="F38" s="466"/>
      <c r="G38" s="466">
        <v>27741</v>
      </c>
      <c r="H38" s="466">
        <v>958871</v>
      </c>
      <c r="I38" s="466"/>
      <c r="J38" s="467"/>
      <c r="K38" s="466"/>
      <c r="L38" s="481"/>
      <c r="M38" s="497"/>
      <c r="N38" s="497"/>
    </row>
    <row r="39" spans="1:14" s="329" customFormat="1" ht="13.5" customHeight="1" x14ac:dyDescent="0.2">
      <c r="A39" s="496" t="s">
        <v>342</v>
      </c>
      <c r="B39" s="483">
        <v>730</v>
      </c>
      <c r="C39" s="466">
        <v>5953016</v>
      </c>
      <c r="D39" s="466">
        <v>3088980</v>
      </c>
      <c r="E39" s="466"/>
      <c r="F39" s="466">
        <v>2061048</v>
      </c>
      <c r="G39" s="466">
        <v>148501</v>
      </c>
      <c r="H39" s="466"/>
      <c r="I39" s="466"/>
      <c r="J39" s="467">
        <v>225045</v>
      </c>
      <c r="K39" s="466">
        <v>52372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12945492</v>
      </c>
      <c r="N40" s="497"/>
    </row>
    <row r="41" spans="1:14" ht="13.5" customHeight="1" thickBot="1" x14ac:dyDescent="0.25">
      <c r="A41" s="1736" t="s">
        <v>655</v>
      </c>
      <c r="B41" s="1706"/>
      <c r="C41" s="1688">
        <f>(SUM(C34,C37,C38,C39))</f>
        <v>5953023</v>
      </c>
      <c r="D41" s="1688">
        <f t="shared" ref="D41:L41" si="2">SUM(D34,D37,D38:D39)</f>
        <v>3088980</v>
      </c>
      <c r="E41" s="1688">
        <f t="shared" si="2"/>
        <v>0</v>
      </c>
      <c r="F41" s="1688">
        <f t="shared" si="2"/>
        <v>2061048</v>
      </c>
      <c r="G41" s="1688">
        <f t="shared" si="2"/>
        <v>176242</v>
      </c>
      <c r="H41" s="1688">
        <f t="shared" si="2"/>
        <v>958871</v>
      </c>
      <c r="I41" s="1688">
        <f t="shared" si="2"/>
        <v>0</v>
      </c>
      <c r="J41" s="1688">
        <f t="shared" si="2"/>
        <v>225045</v>
      </c>
      <c r="K41" s="1688">
        <f t="shared" si="2"/>
        <v>52372</v>
      </c>
      <c r="L41" s="1688">
        <f t="shared" si="2"/>
        <v>632176</v>
      </c>
      <c r="M41" s="1688">
        <f>SUM(M40)</f>
        <v>12945492</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colorId="8" zoomScaleNormal="100" zoomScaleSheetLayoutView="100" workbookViewId="0">
      <pane ySplit="2" topLeftCell="A69" activePane="bottomLeft" state="frozen"/>
      <selection pane="bottomLeft" activeCell="F84" sqref="F8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5382901</v>
      </c>
      <c r="D4" s="1742">
        <f>'Revenues 9-14'!D109</f>
        <v>987382</v>
      </c>
      <c r="E4" s="1742">
        <f>'Revenues 9-14'!E109</f>
        <v>0</v>
      </c>
      <c r="F4" s="1742">
        <f>'Revenues 9-14'!F109</f>
        <v>408635</v>
      </c>
      <c r="G4" s="1742">
        <f>'Revenues 9-14'!G109</f>
        <v>259937</v>
      </c>
      <c r="H4" s="1742">
        <f>'Revenues 9-14'!H109</f>
        <v>318719</v>
      </c>
      <c r="I4" s="1742">
        <f>'Revenues 9-14'!I109</f>
        <v>0</v>
      </c>
      <c r="J4" s="1742">
        <f>'Revenues 9-14'!J109</f>
        <v>112401</v>
      </c>
      <c r="K4" s="1742">
        <f>'Revenues 9-14'!K109</f>
        <v>2965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505680</v>
      </c>
      <c r="D6" s="1743">
        <f>'Revenues 9-14'!D170</f>
        <v>0</v>
      </c>
      <c r="E6" s="1743">
        <f>'Revenues 9-14'!E170</f>
        <v>0</v>
      </c>
      <c r="F6" s="1743">
        <f>'Revenues 9-14'!F170</f>
        <v>123396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525656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6414237</v>
      </c>
      <c r="D8" s="1688">
        <f t="shared" ref="D8:K8" si="0">SUM(D4:D7)</f>
        <v>987382</v>
      </c>
      <c r="E8" s="1688">
        <f t="shared" si="0"/>
        <v>0</v>
      </c>
      <c r="F8" s="1688">
        <f t="shared" si="0"/>
        <v>532031</v>
      </c>
      <c r="G8" s="1688">
        <f t="shared" si="0"/>
        <v>259937</v>
      </c>
      <c r="H8" s="1688">
        <f t="shared" si="0"/>
        <v>318719</v>
      </c>
      <c r="I8" s="1688">
        <f t="shared" si="0"/>
        <v>0</v>
      </c>
      <c r="J8" s="1688">
        <f t="shared" si="0"/>
        <v>112401</v>
      </c>
      <c r="K8" s="1688">
        <f t="shared" si="0"/>
        <v>2965</v>
      </c>
      <c r="L8" s="347"/>
    </row>
    <row r="9" spans="1:13" ht="15.75" thickTop="1" x14ac:dyDescent="0.2">
      <c r="A9" s="514" t="s">
        <v>1653</v>
      </c>
      <c r="B9" s="515">
        <v>3998</v>
      </c>
      <c r="C9" s="481">
        <v>2883423</v>
      </c>
      <c r="D9" s="516"/>
      <c r="E9" s="481"/>
      <c r="F9" s="481"/>
      <c r="G9" s="517"/>
      <c r="H9" s="481"/>
      <c r="I9" s="509" t="s">
        <v>1169</v>
      </c>
      <c r="J9" s="478"/>
      <c r="K9" s="481"/>
      <c r="L9" s="347"/>
    </row>
    <row r="10" spans="1:13" s="519" customFormat="1" ht="13.5" thickBot="1" x14ac:dyDescent="0.25">
      <c r="A10" s="1736" t="s">
        <v>1173</v>
      </c>
      <c r="B10" s="1709"/>
      <c r="C10" s="1688">
        <f>SUM(C8:C9)</f>
        <v>9297660</v>
      </c>
      <c r="D10" s="1688">
        <f t="shared" ref="D10:K10" si="1">SUM(D8:D9)</f>
        <v>987382</v>
      </c>
      <c r="E10" s="1688">
        <f t="shared" si="1"/>
        <v>0</v>
      </c>
      <c r="F10" s="1688">
        <f t="shared" si="1"/>
        <v>532031</v>
      </c>
      <c r="G10" s="1688">
        <f t="shared" si="1"/>
        <v>259937</v>
      </c>
      <c r="H10" s="1688">
        <f t="shared" si="1"/>
        <v>318719</v>
      </c>
      <c r="I10" s="1688">
        <f t="shared" si="1"/>
        <v>0</v>
      </c>
      <c r="J10" s="1688">
        <f t="shared" si="1"/>
        <v>112401</v>
      </c>
      <c r="K10" s="1688">
        <f t="shared" si="1"/>
        <v>2965</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4513158</v>
      </c>
      <c r="D12" s="520" t="s">
        <v>1169</v>
      </c>
      <c r="E12" s="468" t="s">
        <v>1169</v>
      </c>
      <c r="F12" s="468" t="s">
        <v>1169</v>
      </c>
      <c r="G12" s="1742">
        <f>'Expenditures 15-22'!K229</f>
        <v>93115</v>
      </c>
      <c r="H12" s="521"/>
      <c r="I12" s="468" t="s">
        <v>1169</v>
      </c>
      <c r="J12" s="468" t="s">
        <v>1169</v>
      </c>
      <c r="K12" s="521" t="s">
        <v>1169</v>
      </c>
      <c r="L12" s="347"/>
    </row>
    <row r="13" spans="1:13" ht="15.75" customHeight="1" x14ac:dyDescent="0.2">
      <c r="A13" s="1576" t="s">
        <v>457</v>
      </c>
      <c r="B13" s="1578">
        <v>2000</v>
      </c>
      <c r="C13" s="1743">
        <f>'Expenditures 15-22'!K74</f>
        <v>1522390</v>
      </c>
      <c r="D13" s="1743">
        <f>'Expenditures 15-22'!K129</f>
        <v>661592</v>
      </c>
      <c r="E13" s="469" t="s">
        <v>1169</v>
      </c>
      <c r="F13" s="1743">
        <f>'Expenditures 15-22'!K184</f>
        <v>463149</v>
      </c>
      <c r="G13" s="1743">
        <f>'Expenditures 15-22'!K279</f>
        <v>166503</v>
      </c>
      <c r="H13" s="1743">
        <f>'Expenditures 15-22'!K303</f>
        <v>43425</v>
      </c>
      <c r="I13" s="468" t="s">
        <v>1169</v>
      </c>
      <c r="J13" s="1743">
        <f>'Expenditures 15-22'!K330</f>
        <v>76700</v>
      </c>
      <c r="K13" s="1747">
        <f>'Expenditures 15-22'!K352</f>
        <v>2280</v>
      </c>
      <c r="L13" s="347"/>
    </row>
    <row r="14" spans="1:13" ht="15.75" customHeight="1" x14ac:dyDescent="0.2">
      <c r="A14" s="1576" t="s">
        <v>449</v>
      </c>
      <c r="B14" s="1578">
        <v>3000</v>
      </c>
      <c r="C14" s="1743">
        <f>'Expenditures 15-22'!K75</f>
        <v>760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305718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6342026</v>
      </c>
      <c r="D17" s="1688">
        <f t="shared" si="2"/>
        <v>661592</v>
      </c>
      <c r="E17" s="1688">
        <f t="shared" si="2"/>
        <v>0</v>
      </c>
      <c r="F17" s="1688">
        <f t="shared" si="2"/>
        <v>463149</v>
      </c>
      <c r="G17" s="1688">
        <f t="shared" si="2"/>
        <v>259618</v>
      </c>
      <c r="H17" s="1688">
        <f t="shared" si="2"/>
        <v>43425</v>
      </c>
      <c r="I17" s="468"/>
      <c r="J17" s="1688">
        <f>SUM(J12:J16)</f>
        <v>76700</v>
      </c>
      <c r="K17" s="1688">
        <f>SUM(K12:K16)</f>
        <v>2280</v>
      </c>
      <c r="L17" s="347"/>
    </row>
    <row r="18" spans="1:12" ht="15" customHeight="1" thickTop="1" x14ac:dyDescent="0.2">
      <c r="A18" s="1744" t="s">
        <v>1654</v>
      </c>
      <c r="B18" s="1745">
        <v>4180</v>
      </c>
      <c r="C18" s="1742">
        <f t="shared" ref="C18:H18" si="3">C9</f>
        <v>2883423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9225449</v>
      </c>
      <c r="D19" s="1688">
        <f t="shared" si="4"/>
        <v>661592</v>
      </c>
      <c r="E19" s="1688">
        <f t="shared" si="4"/>
        <v>0</v>
      </c>
      <c r="F19" s="1688">
        <f t="shared" si="4"/>
        <v>463149</v>
      </c>
      <c r="G19" s="1688">
        <f t="shared" si="4"/>
        <v>259618</v>
      </c>
      <c r="H19" s="1688">
        <f t="shared" si="4"/>
        <v>43425</v>
      </c>
      <c r="I19" s="468"/>
      <c r="J19" s="1688">
        <f>SUM(J17:J18)</f>
        <v>76700</v>
      </c>
      <c r="K19" s="1688">
        <f>SUM(K17:K18)</f>
        <v>2280</v>
      </c>
      <c r="L19" s="347"/>
    </row>
    <row r="20" spans="1:12" ht="16.5" thickTop="1" thickBot="1" x14ac:dyDescent="0.25">
      <c r="A20" s="2128" t="s">
        <v>1655</v>
      </c>
      <c r="B20" s="2129"/>
      <c r="C20" s="1746">
        <f>C8-C17</f>
        <v>72211</v>
      </c>
      <c r="D20" s="1746">
        <f t="shared" ref="D20:K20" si="5">D8-D17</f>
        <v>325790</v>
      </c>
      <c r="E20" s="1746">
        <f t="shared" si="5"/>
        <v>0</v>
      </c>
      <c r="F20" s="1746">
        <f t="shared" si="5"/>
        <v>68882</v>
      </c>
      <c r="G20" s="1746">
        <f t="shared" si="5"/>
        <v>319</v>
      </c>
      <c r="H20" s="1746">
        <f t="shared" si="5"/>
        <v>275294</v>
      </c>
      <c r="I20" s="1746">
        <f t="shared" si="5"/>
        <v>0</v>
      </c>
      <c r="J20" s="1746">
        <f t="shared" si="5"/>
        <v>35701</v>
      </c>
      <c r="K20" s="1746">
        <f t="shared" si="5"/>
        <v>685</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72211</v>
      </c>
      <c r="D78" s="1702">
        <f t="shared" si="9"/>
        <v>325790</v>
      </c>
      <c r="E78" s="1702">
        <f t="shared" si="9"/>
        <v>0</v>
      </c>
      <c r="F78" s="1702">
        <f t="shared" si="9"/>
        <v>68882</v>
      </c>
      <c r="G78" s="1702">
        <f t="shared" si="9"/>
        <v>319</v>
      </c>
      <c r="H78" s="1702">
        <f t="shared" si="9"/>
        <v>275294</v>
      </c>
      <c r="I78" s="1702">
        <f t="shared" si="9"/>
        <v>0</v>
      </c>
      <c r="J78" s="1702">
        <f t="shared" si="9"/>
        <v>35701</v>
      </c>
      <c r="K78" s="1702">
        <f t="shared" si="9"/>
        <v>685</v>
      </c>
      <c r="L78" s="533"/>
    </row>
    <row r="79" spans="1:12" ht="13.5" thickTop="1" x14ac:dyDescent="0.2">
      <c r="A79" s="1494" t="s">
        <v>1949</v>
      </c>
      <c r="B79" s="534"/>
      <c r="C79" s="478">
        <v>5880812</v>
      </c>
      <c r="D79" s="535">
        <v>2763190</v>
      </c>
      <c r="E79" s="535">
        <v>0</v>
      </c>
      <c r="F79" s="535">
        <v>1992166</v>
      </c>
      <c r="G79" s="535">
        <v>175923</v>
      </c>
      <c r="H79" s="535">
        <v>683577</v>
      </c>
      <c r="I79" s="535">
        <v>0</v>
      </c>
      <c r="J79" s="535">
        <v>189344</v>
      </c>
      <c r="K79" s="535">
        <v>51687</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1950</v>
      </c>
      <c r="B81" s="2123"/>
      <c r="C81" s="1688">
        <f>(SUM(C78:C80))</f>
        <v>5953023</v>
      </c>
      <c r="D81" s="1688">
        <f>SUM(D78:D80)</f>
        <v>3088980</v>
      </c>
      <c r="E81" s="1688">
        <f t="shared" ref="E81:K81" si="10">SUM(E78:E80)</f>
        <v>0</v>
      </c>
      <c r="F81" s="1688">
        <f t="shared" si="10"/>
        <v>2061048</v>
      </c>
      <c r="G81" s="1688">
        <f t="shared" si="10"/>
        <v>176242</v>
      </c>
      <c r="H81" s="1688">
        <f t="shared" si="10"/>
        <v>958871</v>
      </c>
      <c r="I81" s="1688">
        <f t="shared" si="10"/>
        <v>0</v>
      </c>
      <c r="J81" s="1688">
        <f t="shared" si="10"/>
        <v>225045</v>
      </c>
      <c r="K81" s="1688">
        <f t="shared" si="10"/>
        <v>52372</v>
      </c>
      <c r="L81" s="347"/>
    </row>
    <row r="82" spans="1:12" ht="0.75" customHeight="1" thickTop="1" thickBot="1" x14ac:dyDescent="0.25">
      <c r="A82" s="536" t="s">
        <v>343</v>
      </c>
      <c r="B82" s="537"/>
      <c r="C82" s="538">
        <f>(C81-C79)</f>
        <v>72211</v>
      </c>
      <c r="D82" s="538">
        <f t="shared" ref="D82:K82" si="11">(D81-D79)</f>
        <v>325790</v>
      </c>
      <c r="E82" s="538">
        <f t="shared" si="11"/>
        <v>0</v>
      </c>
      <c r="F82" s="538">
        <f t="shared" si="11"/>
        <v>68882</v>
      </c>
      <c r="G82" s="538">
        <f t="shared" si="11"/>
        <v>319</v>
      </c>
      <c r="H82" s="538">
        <f t="shared" si="11"/>
        <v>275294</v>
      </c>
      <c r="I82" s="538">
        <f t="shared" si="11"/>
        <v>0</v>
      </c>
      <c r="J82" s="538">
        <f t="shared" si="11"/>
        <v>35701</v>
      </c>
      <c r="K82" s="538">
        <f t="shared" si="11"/>
        <v>685</v>
      </c>
    </row>
    <row r="83" spans="1:12" ht="14.25" hidden="1" thickTop="1" thickBot="1" x14ac:dyDescent="0.25">
      <c r="A83" s="539" t="s">
        <v>344</v>
      </c>
      <c r="B83" s="464"/>
      <c r="C83" s="540">
        <f>C82/C81</f>
        <v>1.2130139594622766E-2</v>
      </c>
      <c r="D83" s="540">
        <f t="shared" ref="D83:K83" si="12">D82/D81</f>
        <v>0.10546847179327803</v>
      </c>
      <c r="E83" s="540" t="e">
        <f t="shared" si="12"/>
        <v>#DIV/0!</v>
      </c>
      <c r="F83" s="540">
        <f t="shared" si="12"/>
        <v>3.3420861619913755E-2</v>
      </c>
      <c r="G83" s="540">
        <f t="shared" si="12"/>
        <v>1.8100112345524903E-3</v>
      </c>
      <c r="H83" s="540">
        <f t="shared" si="12"/>
        <v>0.28710222751548437</v>
      </c>
      <c r="I83" s="540" t="e">
        <f t="shared" si="12"/>
        <v>#DIV/0!</v>
      </c>
      <c r="J83" s="540">
        <f t="shared" si="12"/>
        <v>0.15863938323446422</v>
      </c>
      <c r="K83" s="540">
        <f t="shared" si="12"/>
        <v>1.3079508134117467E-2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213" activePane="bottomLeft" state="frozen"/>
      <selection pane="bottomLeft" activeCell="C214" sqref="C21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5014666</v>
      </c>
      <c r="D5" s="481">
        <v>801388</v>
      </c>
      <c r="E5" s="466"/>
      <c r="F5" s="548">
        <v>380661</v>
      </c>
      <c r="G5" s="466">
        <v>109192</v>
      </c>
      <c r="H5" s="466"/>
      <c r="I5" s="466"/>
      <c r="J5" s="467">
        <v>110201</v>
      </c>
      <c r="K5" s="466">
        <v>2608</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100063</v>
      </c>
      <c r="D7" s="466"/>
      <c r="E7" s="468"/>
      <c r="F7" s="467"/>
      <c r="G7" s="467"/>
      <c r="H7" s="467"/>
      <c r="I7" s="468"/>
      <c r="J7" s="468"/>
      <c r="K7" s="468"/>
    </row>
    <row r="8" spans="1:12" x14ac:dyDescent="0.2">
      <c r="A8" s="463" t="s">
        <v>413</v>
      </c>
      <c r="B8" s="470">
        <v>1150</v>
      </c>
      <c r="C8" s="475"/>
      <c r="D8" s="475"/>
      <c r="E8" s="477"/>
      <c r="F8" s="477"/>
      <c r="G8" s="481">
        <v>133234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5114729</v>
      </c>
      <c r="D12" s="1707">
        <f t="shared" si="0"/>
        <v>801388</v>
      </c>
      <c r="E12" s="1707">
        <f t="shared" si="0"/>
        <v>0</v>
      </c>
      <c r="F12" s="1707">
        <f t="shared" si="0"/>
        <v>380661</v>
      </c>
      <c r="G12" s="1707">
        <f t="shared" si="0"/>
        <v>242426</v>
      </c>
      <c r="H12" s="1707">
        <f t="shared" si="0"/>
        <v>0</v>
      </c>
      <c r="I12" s="1707">
        <f t="shared" si="0"/>
        <v>0</v>
      </c>
      <c r="J12" s="1707">
        <f t="shared" si="0"/>
        <v>110201</v>
      </c>
      <c r="K12" s="1688">
        <f t="shared" si="0"/>
        <v>2608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146477</v>
      </c>
      <c r="E16" s="466"/>
      <c r="F16" s="466"/>
      <c r="G16" s="466">
        <v>15805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146477</v>
      </c>
      <c r="E18" s="1710">
        <f t="shared" si="1"/>
        <v>0</v>
      </c>
      <c r="F18" s="1710">
        <f t="shared" si="1"/>
        <v>0</v>
      </c>
      <c r="G18" s="1710">
        <f t="shared" si="1"/>
        <v>15805</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87829</v>
      </c>
      <c r="D65" s="466">
        <v>39517</v>
      </c>
      <c r="E65" s="466"/>
      <c r="F65" s="467">
        <v>27974</v>
      </c>
      <c r="G65" s="466">
        <v>1706</v>
      </c>
      <c r="H65" s="466">
        <v>8305</v>
      </c>
      <c r="I65" s="466"/>
      <c r="J65" s="467">
        <v>2200</v>
      </c>
      <c r="K65" s="466">
        <v>357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87829</v>
      </c>
      <c r="D67" s="1688">
        <f t="shared" ref="D67:K67" si="2">SUM(D65:D66)</f>
        <v>39517</v>
      </c>
      <c r="E67" s="1688">
        <f t="shared" si="2"/>
        <v>0</v>
      </c>
      <c r="F67" s="1688">
        <f t="shared" si="2"/>
        <v>27974</v>
      </c>
      <c r="G67" s="1688">
        <f t="shared" si="2"/>
        <v>1706</v>
      </c>
      <c r="H67" s="1688">
        <f t="shared" si="2"/>
        <v>8305</v>
      </c>
      <c r="I67" s="1688">
        <f t="shared" si="2"/>
        <v>0</v>
      </c>
      <c r="J67" s="1688">
        <f t="shared" si="2"/>
        <v>2200</v>
      </c>
      <c r="K67" s="1688">
        <f t="shared" si="2"/>
        <v>357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78028</v>
      </c>
      <c r="D69" s="468"/>
      <c r="E69" s="468"/>
      <c r="F69" s="468"/>
      <c r="G69" s="468"/>
      <c r="H69" s="468"/>
      <c r="I69" s="468"/>
      <c r="J69" s="468"/>
      <c r="K69" s="468"/>
    </row>
    <row r="70" spans="1:11" ht="12.75" customHeight="1" x14ac:dyDescent="0.2">
      <c r="A70" s="463" t="s">
        <v>997</v>
      </c>
      <c r="B70" s="470">
        <v>1612</v>
      </c>
      <c r="C70" s="551">
        <v>7001</v>
      </c>
      <c r="D70" s="468"/>
      <c r="E70" s="468"/>
      <c r="F70" s="468"/>
      <c r="G70" s="468"/>
      <c r="H70" s="468"/>
      <c r="I70" s="468"/>
      <c r="J70" s="468"/>
      <c r="K70" s="468"/>
    </row>
    <row r="71" spans="1:11" ht="12.75" customHeight="1" x14ac:dyDescent="0.2">
      <c r="A71" s="463" t="s">
        <v>273</v>
      </c>
      <c r="B71" s="470">
        <v>1613</v>
      </c>
      <c r="C71" s="551">
        <v>12188</v>
      </c>
      <c r="D71" s="468"/>
      <c r="E71" s="468"/>
      <c r="F71" s="468"/>
      <c r="G71" s="468"/>
      <c r="H71" s="468"/>
      <c r="I71" s="468"/>
      <c r="J71" s="468"/>
      <c r="K71" s="468"/>
    </row>
    <row r="72" spans="1:11" ht="12.75" customHeight="1" x14ac:dyDescent="0.2">
      <c r="A72" s="463" t="s">
        <v>24</v>
      </c>
      <c r="B72" s="470">
        <v>1614</v>
      </c>
      <c r="C72" s="551">
        <v>6796</v>
      </c>
      <c r="D72" s="468"/>
      <c r="E72" s="468"/>
      <c r="F72" s="468"/>
      <c r="G72" s="468"/>
      <c r="H72" s="468"/>
      <c r="I72" s="468"/>
      <c r="J72" s="468"/>
      <c r="K72" s="468"/>
    </row>
    <row r="73" spans="1:11" ht="12.75" customHeight="1" x14ac:dyDescent="0.2">
      <c r="A73" s="463" t="s">
        <v>998</v>
      </c>
      <c r="B73" s="470">
        <v>1620</v>
      </c>
      <c r="C73" s="551">
        <v>9018</v>
      </c>
      <c r="D73" s="468"/>
      <c r="E73" s="468"/>
      <c r="F73" s="468"/>
      <c r="G73" s="468"/>
      <c r="H73" s="468"/>
      <c r="I73" s="468"/>
      <c r="J73" s="468"/>
      <c r="K73" s="468"/>
    </row>
    <row r="74" spans="1:11" ht="12.75" customHeight="1" x14ac:dyDescent="0.2">
      <c r="A74" s="463" t="s">
        <v>25</v>
      </c>
      <c r="B74" s="470">
        <v>1690</v>
      </c>
      <c r="C74" s="551">
        <v>23621</v>
      </c>
      <c r="D74" s="468"/>
      <c r="E74" s="468"/>
      <c r="F74" s="468"/>
      <c r="G74" s="468"/>
      <c r="H74" s="468"/>
      <c r="I74" s="468"/>
      <c r="J74" s="468"/>
      <c r="K74" s="468"/>
    </row>
    <row r="75" spans="1:11" ht="12.75" customHeight="1" thickBot="1" x14ac:dyDescent="0.25">
      <c r="A75" s="1708" t="s">
        <v>548</v>
      </c>
      <c r="B75" s="1709"/>
      <c r="C75" s="1688">
        <f>SUM(C69:C74)</f>
        <v>136652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20582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20582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16980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16980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1950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310414</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4179</v>
      </c>
      <c r="D107" s="466"/>
      <c r="E107" s="466"/>
      <c r="F107" s="466"/>
      <c r="G107" s="466"/>
      <c r="H107" s="466"/>
      <c r="I107" s="466"/>
      <c r="J107" s="467"/>
      <c r="K107" s="466"/>
    </row>
    <row r="108" spans="1:12" ht="12.75" customHeight="1" thickBot="1" x14ac:dyDescent="0.25">
      <c r="A108" s="1708" t="s">
        <v>487</v>
      </c>
      <c r="B108" s="1712"/>
      <c r="C108" s="1707">
        <f>SUM(C95:C107)</f>
        <v>6129</v>
      </c>
      <c r="D108" s="1707">
        <f t="shared" ref="D108:K108" si="3">SUM(D95:D107)</f>
        <v>0</v>
      </c>
      <c r="E108" s="1707">
        <f t="shared" si="3"/>
        <v>0</v>
      </c>
      <c r="F108" s="1707">
        <f t="shared" si="3"/>
        <v>0</v>
      </c>
      <c r="G108" s="1707">
        <f t="shared" si="3"/>
        <v>0</v>
      </c>
      <c r="H108" s="1707">
        <f t="shared" si="3"/>
        <v>310414</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5382901</v>
      </c>
      <c r="D109" s="1715">
        <f t="shared" si="4"/>
        <v>987382</v>
      </c>
      <c r="E109" s="1715">
        <f t="shared" si="4"/>
        <v>0</v>
      </c>
      <c r="F109" s="1715">
        <f t="shared" si="4"/>
        <v>408635</v>
      </c>
      <c r="G109" s="1715">
        <f t="shared" si="4"/>
        <v>259937</v>
      </c>
      <c r="H109" s="1715">
        <f t="shared" si="4"/>
        <v>318719</v>
      </c>
      <c r="I109" s="1715">
        <f t="shared" si="4"/>
        <v>0</v>
      </c>
      <c r="J109" s="1715">
        <f t="shared" si="4"/>
        <v>112401</v>
      </c>
      <c r="K109" s="1702">
        <f t="shared" si="4"/>
        <v>2965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441123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441123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8572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8572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7228</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7228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2041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6028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105454</v>
      </c>
      <c r="G152" s="467"/>
      <c r="H152" s="468"/>
      <c r="I152" s="468"/>
      <c r="J152" s="468"/>
      <c r="K152" s="468"/>
    </row>
    <row r="153" spans="1:11" ht="12.75" customHeight="1" x14ac:dyDescent="0.2">
      <c r="A153" s="463" t="s">
        <v>1057</v>
      </c>
      <c r="B153" s="562">
        <v>3510</v>
      </c>
      <c r="C153" s="551"/>
      <c r="D153" s="466"/>
      <c r="E153" s="561"/>
      <c r="F153" s="466">
        <v>17942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123396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39792</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896</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64557</v>
      </c>
      <c r="D169" s="1722">
        <f t="shared" si="6"/>
        <v>0</v>
      </c>
      <c r="E169" s="1722">
        <f t="shared" si="6"/>
        <v>0</v>
      </c>
      <c r="F169" s="1722">
        <f t="shared" si="6"/>
        <v>123396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505680</v>
      </c>
      <c r="D170" s="1715">
        <f t="shared" si="7"/>
        <v>0</v>
      </c>
      <c r="E170" s="1715">
        <f t="shared" si="7"/>
        <v>0</v>
      </c>
      <c r="F170" s="1715">
        <f t="shared" si="7"/>
        <v>123396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6971</v>
      </c>
      <c r="D180" s="466"/>
      <c r="E180" s="468"/>
      <c r="F180" s="466"/>
      <c r="G180" s="466"/>
      <c r="H180" s="466"/>
      <c r="I180" s="468"/>
      <c r="J180" s="468"/>
      <c r="K180" s="466"/>
    </row>
    <row r="181" spans="1:11" ht="13.5" thickBot="1" x14ac:dyDescent="0.25">
      <c r="A181" s="2154" t="s">
        <v>785</v>
      </c>
      <c r="B181" s="2155"/>
      <c r="C181" s="1707">
        <f>SUM(C177:C180)</f>
        <v>6971</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98810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25335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124145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76503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76503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3800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3800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5646</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134328</v>
      </c>
      <c r="D213" s="466"/>
      <c r="E213" s="468"/>
      <c r="F213" s="466"/>
      <c r="G213" s="466"/>
      <c r="H213" s="468"/>
      <c r="I213" s="468"/>
      <c r="J213" s="468"/>
      <c r="K213" s="468"/>
    </row>
    <row r="214" spans="1:11" ht="12.75" customHeight="1" x14ac:dyDescent="0.2">
      <c r="A214" s="463" t="s">
        <v>1054</v>
      </c>
      <c r="B214" s="470">
        <v>4625</v>
      </c>
      <c r="C214" s="551">
        <v>113146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253120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15970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13587</v>
      </c>
      <c r="D263" s="576"/>
      <c r="E263" s="468"/>
      <c r="F263" s="576"/>
      <c r="G263" s="576"/>
      <c r="H263" s="468"/>
      <c r="I263" s="468"/>
      <c r="J263" s="468"/>
      <c r="K263" s="468"/>
    </row>
    <row r="264" spans="1:11" ht="12.75" customHeight="1" thickTop="1" thickBot="1" x14ac:dyDescent="0.25">
      <c r="A264" s="463" t="s">
        <v>377</v>
      </c>
      <c r="B264" s="470">
        <v>4992</v>
      </c>
      <c r="C264" s="575">
        <v>30291</v>
      </c>
      <c r="D264" s="576"/>
      <c r="E264" s="468"/>
      <c r="F264" s="576"/>
      <c r="G264" s="576"/>
      <c r="H264" s="468"/>
      <c r="I264" s="468"/>
      <c r="J264" s="468"/>
      <c r="K264" s="468"/>
    </row>
    <row r="265" spans="1:11" s="593" customFormat="1" ht="12.75" customHeight="1" thickTop="1" thickBot="1" x14ac:dyDescent="0.25">
      <c r="A265" s="563" t="s">
        <v>75</v>
      </c>
      <c r="B265" s="557">
        <v>4999</v>
      </c>
      <c r="C265" s="575">
        <v>1269</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518685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525656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6414237</v>
      </c>
      <c r="D268" s="1715">
        <f t="shared" si="12"/>
        <v>987382</v>
      </c>
      <c r="E268" s="1715">
        <f t="shared" si="12"/>
        <v>0</v>
      </c>
      <c r="F268" s="1715">
        <f t="shared" si="12"/>
        <v>532031</v>
      </c>
      <c r="G268" s="1715">
        <f t="shared" si="12"/>
        <v>259937</v>
      </c>
      <c r="H268" s="1715">
        <f t="shared" si="12"/>
        <v>318719</v>
      </c>
      <c r="I268" s="1715">
        <f t="shared" si="12"/>
        <v>0</v>
      </c>
      <c r="J268" s="1715">
        <f t="shared" si="12"/>
        <v>112401</v>
      </c>
      <c r="K268" s="1702">
        <f t="shared" si="12"/>
        <v>2965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colorId="8" zoomScaleNormal="100" workbookViewId="0">
      <pane ySplit="2" topLeftCell="A33" activePane="bottomLeft" state="frozen"/>
      <selection pane="bottomLeft" activeCell="A53" sqref="A5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2436980</v>
      </c>
      <c r="D5" s="466">
        <v>591703</v>
      </c>
      <c r="E5" s="466">
        <v>2245</v>
      </c>
      <c r="F5" s="466">
        <v>34795</v>
      </c>
      <c r="G5" s="466">
        <v>7791</v>
      </c>
      <c r="H5" s="466">
        <v>1596</v>
      </c>
      <c r="I5" s="467"/>
      <c r="J5" s="467"/>
      <c r="K5" s="1671">
        <f>SUM(C5:J5)</f>
        <v>3075110</v>
      </c>
      <c r="L5" s="466">
        <v>3223095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97953</v>
      </c>
      <c r="D7" s="467">
        <v>19075</v>
      </c>
      <c r="E7" s="467">
        <v>420</v>
      </c>
      <c r="F7" s="467">
        <v>397</v>
      </c>
      <c r="G7" s="467"/>
      <c r="H7" s="467"/>
      <c r="I7" s="467"/>
      <c r="J7" s="467"/>
      <c r="K7" s="1671">
        <f t="shared" ref="K7:K32" si="0">SUM(C7:J7)</f>
        <v>117845</v>
      </c>
      <c r="L7" s="466">
        <v>119403</v>
      </c>
    </row>
    <row r="8" spans="1:14" x14ac:dyDescent="0.2">
      <c r="A8" s="1504" t="s">
        <v>164</v>
      </c>
      <c r="B8" s="614">
        <v>1200</v>
      </c>
      <c r="C8" s="466">
        <v>506629</v>
      </c>
      <c r="D8" s="466">
        <v>84104</v>
      </c>
      <c r="E8" s="466">
        <v>3344</v>
      </c>
      <c r="F8" s="466">
        <v>4494</v>
      </c>
      <c r="G8" s="466"/>
      <c r="H8" s="466"/>
      <c r="I8" s="467"/>
      <c r="J8" s="467"/>
      <c r="K8" s="1671">
        <f t="shared" si="0"/>
        <v>598571</v>
      </c>
      <c r="L8" s="466">
        <v>578871</v>
      </c>
    </row>
    <row r="9" spans="1:14" x14ac:dyDescent="0.2">
      <c r="A9" s="1504" t="s">
        <v>721</v>
      </c>
      <c r="B9" s="614" t="s">
        <v>968</v>
      </c>
      <c r="C9" s="467">
        <v>44581</v>
      </c>
      <c r="D9" s="467">
        <v>6952</v>
      </c>
      <c r="E9" s="467"/>
      <c r="F9" s="467">
        <v>12</v>
      </c>
      <c r="G9" s="467"/>
      <c r="H9" s="467"/>
      <c r="I9" s="467"/>
      <c r="J9" s="467"/>
      <c r="K9" s="1671">
        <f t="shared" si="0"/>
        <v>51545</v>
      </c>
      <c r="L9" s="466">
        <v>87026</v>
      </c>
    </row>
    <row r="10" spans="1:14" x14ac:dyDescent="0.2">
      <c r="A10" s="1504" t="s">
        <v>722</v>
      </c>
      <c r="B10" s="614">
        <v>1250</v>
      </c>
      <c r="C10" s="466">
        <v>65063</v>
      </c>
      <c r="D10" s="466">
        <v>21253</v>
      </c>
      <c r="E10" s="466"/>
      <c r="F10" s="466">
        <v>538</v>
      </c>
      <c r="G10" s="466"/>
      <c r="H10" s="466"/>
      <c r="I10" s="467"/>
      <c r="J10" s="467"/>
      <c r="K10" s="1671">
        <f t="shared" si="0"/>
        <v>86854</v>
      </c>
      <c r="L10" s="466">
        <v>89462</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223473</v>
      </c>
      <c r="D13" s="466">
        <v>51824</v>
      </c>
      <c r="E13" s="466">
        <v>5389</v>
      </c>
      <c r="F13" s="466">
        <v>4784</v>
      </c>
      <c r="G13" s="466">
        <v>6936</v>
      </c>
      <c r="H13" s="466"/>
      <c r="I13" s="467"/>
      <c r="J13" s="467"/>
      <c r="K13" s="1671">
        <f t="shared" si="0"/>
        <v>292406</v>
      </c>
      <c r="L13" s="466">
        <v>309586</v>
      </c>
    </row>
    <row r="14" spans="1:14" x14ac:dyDescent="0.2">
      <c r="A14" s="1504" t="s">
        <v>963</v>
      </c>
      <c r="B14" s="614">
        <v>1500</v>
      </c>
      <c r="C14" s="466">
        <v>143538</v>
      </c>
      <c r="D14" s="466">
        <v>12255</v>
      </c>
      <c r="E14" s="466">
        <v>15334</v>
      </c>
      <c r="F14" s="466">
        <v>72</v>
      </c>
      <c r="G14" s="466">
        <v>9190</v>
      </c>
      <c r="H14" s="466">
        <v>5029</v>
      </c>
      <c r="I14" s="467"/>
      <c r="J14" s="467"/>
      <c r="K14" s="1671">
        <f t="shared" si="0"/>
        <v>185418</v>
      </c>
      <c r="L14" s="466">
        <v>218097</v>
      </c>
    </row>
    <row r="15" spans="1:14" x14ac:dyDescent="0.2">
      <c r="A15" s="1504" t="s">
        <v>964</v>
      </c>
      <c r="B15" s="614">
        <v>1600</v>
      </c>
      <c r="C15" s="466">
        <v>3461</v>
      </c>
      <c r="D15" s="466">
        <v>436</v>
      </c>
      <c r="E15" s="466"/>
      <c r="F15" s="466"/>
      <c r="G15" s="466"/>
      <c r="H15" s="466"/>
      <c r="I15" s="467"/>
      <c r="J15" s="467"/>
      <c r="K15" s="1671">
        <f t="shared" si="0"/>
        <v>3897</v>
      </c>
      <c r="L15" s="466">
        <v>5126</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41537</v>
      </c>
      <c r="D17" s="467">
        <v>8613</v>
      </c>
      <c r="E17" s="467">
        <v>3234</v>
      </c>
      <c r="F17" s="467">
        <v>509</v>
      </c>
      <c r="G17" s="467"/>
      <c r="H17" s="467"/>
      <c r="I17" s="467"/>
      <c r="J17" s="467"/>
      <c r="K17" s="1671">
        <f t="shared" si="0"/>
        <v>53893</v>
      </c>
      <c r="L17" s="466">
        <v>56330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v>4686</v>
      </c>
      <c r="I19" s="467"/>
      <c r="J19" s="467"/>
      <c r="K19" s="1671">
        <f t="shared" si="0"/>
        <v>4686</v>
      </c>
      <c r="L19" s="466">
        <v>4000</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v>500</v>
      </c>
    </row>
    <row r="22" spans="1:12" x14ac:dyDescent="0.2">
      <c r="A22" s="1505" t="s">
        <v>740</v>
      </c>
      <c r="B22" s="602" t="s">
        <v>727</v>
      </c>
      <c r="C22" s="477"/>
      <c r="D22" s="477"/>
      <c r="E22" s="477"/>
      <c r="F22" s="477"/>
      <c r="G22" s="477"/>
      <c r="H22" s="474">
        <v>42933</v>
      </c>
      <c r="I22" s="616"/>
      <c r="J22" s="477"/>
      <c r="K22" s="1671">
        <f t="shared" si="0"/>
        <v>42933</v>
      </c>
      <c r="L22" s="471">
        <v>46000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3563215</v>
      </c>
      <c r="D33" s="1670">
        <f t="shared" ref="D33:L33" si="1">SUM(D5:D32)</f>
        <v>796215</v>
      </c>
      <c r="E33" s="1670">
        <f t="shared" si="1"/>
        <v>29966</v>
      </c>
      <c r="F33" s="1670">
        <f t="shared" si="1"/>
        <v>45601</v>
      </c>
      <c r="G33" s="1670">
        <f t="shared" si="1"/>
        <v>23917</v>
      </c>
      <c r="H33" s="1670">
        <f t="shared" si="1"/>
        <v>54244</v>
      </c>
      <c r="I33" s="1670">
        <f t="shared" si="1"/>
        <v>0</v>
      </c>
      <c r="J33" s="1670">
        <f t="shared" si="1"/>
        <v>0</v>
      </c>
      <c r="K33" s="1670">
        <f t="shared" si="1"/>
        <v>4513158</v>
      </c>
      <c r="L33" s="1670">
        <f t="shared" si="1"/>
        <v>4737496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150144</v>
      </c>
      <c r="D37" s="466">
        <v>35790</v>
      </c>
      <c r="E37" s="466">
        <v>1098</v>
      </c>
      <c r="F37" s="466">
        <v>331</v>
      </c>
      <c r="G37" s="466"/>
      <c r="H37" s="466">
        <v>100</v>
      </c>
      <c r="I37" s="467"/>
      <c r="J37" s="467"/>
      <c r="K37" s="1671">
        <f t="shared" si="2"/>
        <v>187463</v>
      </c>
      <c r="L37" s="466">
        <v>190862</v>
      </c>
    </row>
    <row r="38" spans="1:14" x14ac:dyDescent="0.2">
      <c r="A38" s="1504" t="s">
        <v>198</v>
      </c>
      <c r="B38" s="614">
        <v>2130</v>
      </c>
      <c r="C38" s="466">
        <v>39038</v>
      </c>
      <c r="D38" s="466">
        <v>9838</v>
      </c>
      <c r="E38" s="466">
        <v>710</v>
      </c>
      <c r="F38" s="466">
        <v>1204</v>
      </c>
      <c r="G38" s="466"/>
      <c r="H38" s="466"/>
      <c r="I38" s="467"/>
      <c r="J38" s="467"/>
      <c r="K38" s="1671">
        <f t="shared" si="2"/>
        <v>50790</v>
      </c>
      <c r="L38" s="466">
        <v>58346</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73852</v>
      </c>
      <c r="D40" s="466">
        <v>19387</v>
      </c>
      <c r="E40" s="466"/>
      <c r="F40" s="466">
        <v>145</v>
      </c>
      <c r="G40" s="466"/>
      <c r="H40" s="466"/>
      <c r="I40" s="467"/>
      <c r="J40" s="467"/>
      <c r="K40" s="1671">
        <f t="shared" si="2"/>
        <v>93384</v>
      </c>
      <c r="L40" s="466">
        <v>93859</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263034</v>
      </c>
      <c r="D42" s="1670">
        <f t="shared" ref="D42:L42" si="3">SUM(D36:D41)</f>
        <v>65015</v>
      </c>
      <c r="E42" s="1670">
        <f t="shared" si="3"/>
        <v>1808</v>
      </c>
      <c r="F42" s="1670">
        <f t="shared" si="3"/>
        <v>1680</v>
      </c>
      <c r="G42" s="1670">
        <f t="shared" si="3"/>
        <v>0</v>
      </c>
      <c r="H42" s="1670">
        <f t="shared" si="3"/>
        <v>100</v>
      </c>
      <c r="I42" s="1670">
        <f t="shared" si="3"/>
        <v>0</v>
      </c>
      <c r="J42" s="1670">
        <f t="shared" si="3"/>
        <v>0</v>
      </c>
      <c r="K42" s="1670">
        <f t="shared" si="3"/>
        <v>331637</v>
      </c>
      <c r="L42" s="1670">
        <f t="shared" si="3"/>
        <v>343067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4673</v>
      </c>
      <c r="F44" s="481"/>
      <c r="G44" s="481"/>
      <c r="H44" s="481"/>
      <c r="I44" s="467"/>
      <c r="J44" s="467"/>
      <c r="K44" s="1672">
        <f>SUM(C44:J44)</f>
        <v>4673</v>
      </c>
      <c r="L44" s="481">
        <v>8000</v>
      </c>
    </row>
    <row r="45" spans="1:14" x14ac:dyDescent="0.2">
      <c r="A45" s="1504" t="s">
        <v>815</v>
      </c>
      <c r="B45" s="614">
        <v>2220</v>
      </c>
      <c r="C45" s="466">
        <v>157071</v>
      </c>
      <c r="D45" s="466">
        <v>23722</v>
      </c>
      <c r="E45" s="466">
        <v>500</v>
      </c>
      <c r="F45" s="466">
        <v>13731</v>
      </c>
      <c r="G45" s="466"/>
      <c r="H45" s="466">
        <v>327</v>
      </c>
      <c r="I45" s="467"/>
      <c r="J45" s="467"/>
      <c r="K45" s="1672">
        <f>SUM(C45:J45)</f>
        <v>195351</v>
      </c>
      <c r="L45" s="466">
        <v>196545</v>
      </c>
    </row>
    <row r="46" spans="1:14" x14ac:dyDescent="0.2">
      <c r="A46" s="1504" t="s">
        <v>816</v>
      </c>
      <c r="B46" s="614">
        <v>2230</v>
      </c>
      <c r="C46" s="466"/>
      <c r="D46" s="466"/>
      <c r="E46" s="466">
        <v>2100</v>
      </c>
      <c r="F46" s="466"/>
      <c r="G46" s="466"/>
      <c r="H46" s="466"/>
      <c r="I46" s="467"/>
      <c r="J46" s="467"/>
      <c r="K46" s="1672">
        <f>SUM(C46:J46)</f>
        <v>2100</v>
      </c>
      <c r="L46" s="466"/>
    </row>
    <row r="47" spans="1:14" ht="12.75" customHeight="1" thickBot="1" x14ac:dyDescent="0.25">
      <c r="A47" s="1668" t="s">
        <v>561</v>
      </c>
      <c r="B47" s="1669" t="s">
        <v>32</v>
      </c>
      <c r="C47" s="1670">
        <f>SUM(C44:C46)</f>
        <v>157071</v>
      </c>
      <c r="D47" s="1670">
        <f t="shared" ref="D47:K47" si="4">SUM(D44:D46)</f>
        <v>23722</v>
      </c>
      <c r="E47" s="1670">
        <f t="shared" si="4"/>
        <v>7273</v>
      </c>
      <c r="F47" s="1670">
        <f t="shared" si="4"/>
        <v>13731</v>
      </c>
      <c r="G47" s="1670">
        <f t="shared" si="4"/>
        <v>0</v>
      </c>
      <c r="H47" s="1670">
        <f t="shared" si="4"/>
        <v>327</v>
      </c>
      <c r="I47" s="1670">
        <f t="shared" si="4"/>
        <v>0</v>
      </c>
      <c r="J47" s="1670">
        <f t="shared" si="4"/>
        <v>0</v>
      </c>
      <c r="K47" s="1670">
        <f t="shared" si="4"/>
        <v>202124</v>
      </c>
      <c r="L47" s="1670">
        <f>SUM(L44:L46)</f>
        <v>204545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5629</v>
      </c>
      <c r="D49" s="481"/>
      <c r="E49" s="481">
        <v>23729</v>
      </c>
      <c r="F49" s="481">
        <v>1096</v>
      </c>
      <c r="G49" s="481">
        <v>600</v>
      </c>
      <c r="H49" s="481">
        <v>13114</v>
      </c>
      <c r="I49" s="467"/>
      <c r="J49" s="467"/>
      <c r="K49" s="1672">
        <f>SUM(C49:J49)</f>
        <v>44168</v>
      </c>
      <c r="L49" s="481">
        <v>50139</v>
      </c>
    </row>
    <row r="50" spans="1:14" x14ac:dyDescent="0.2">
      <c r="A50" s="1504" t="s">
        <v>818</v>
      </c>
      <c r="B50" s="614">
        <v>2320</v>
      </c>
      <c r="C50" s="466">
        <v>129588</v>
      </c>
      <c r="D50" s="466">
        <v>18906</v>
      </c>
      <c r="E50" s="466">
        <v>2339</v>
      </c>
      <c r="F50" s="466">
        <v>920</v>
      </c>
      <c r="G50" s="466">
        <v>600</v>
      </c>
      <c r="H50" s="466">
        <v>2410</v>
      </c>
      <c r="I50" s="467"/>
      <c r="J50" s="467"/>
      <c r="K50" s="1672">
        <f>SUM(C50:J50)</f>
        <v>154763</v>
      </c>
      <c r="L50" s="466">
        <v>166535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v>7301</v>
      </c>
      <c r="F52" s="474"/>
      <c r="G52" s="474"/>
      <c r="H52" s="474"/>
      <c r="I52" s="474"/>
      <c r="J52" s="474"/>
      <c r="K52" s="1672">
        <f>SUM(C52:J52)</f>
        <v>7301</v>
      </c>
      <c r="L52" s="474">
        <v>4600</v>
      </c>
    </row>
    <row r="53" spans="1:14" ht="12.75" customHeight="1" thickBot="1" x14ac:dyDescent="0.25">
      <c r="A53" s="1668" t="s">
        <v>717</v>
      </c>
      <c r="B53" s="1669" t="s">
        <v>33</v>
      </c>
      <c r="C53" s="1670">
        <f>SUM(C49:C52)</f>
        <v>135217</v>
      </c>
      <c r="D53" s="1670">
        <f t="shared" ref="D53:L53" si="5">SUM(D49:D52)</f>
        <v>18906</v>
      </c>
      <c r="E53" s="1670">
        <f t="shared" si="5"/>
        <v>33369</v>
      </c>
      <c r="F53" s="1670">
        <f t="shared" si="5"/>
        <v>2016</v>
      </c>
      <c r="G53" s="1670">
        <f t="shared" si="5"/>
        <v>1200</v>
      </c>
      <c r="H53" s="1670">
        <f t="shared" si="5"/>
        <v>15524</v>
      </c>
      <c r="I53" s="1670">
        <f t="shared" si="5"/>
        <v>0</v>
      </c>
      <c r="J53" s="1670">
        <f t="shared" si="5"/>
        <v>0</v>
      </c>
      <c r="K53" s="1670">
        <f t="shared" si="5"/>
        <v>206232</v>
      </c>
      <c r="L53" s="1670">
        <f t="shared" si="5"/>
        <v>221274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218158</v>
      </c>
      <c r="D55" s="481">
        <v>79985</v>
      </c>
      <c r="E55" s="481">
        <v>2818</v>
      </c>
      <c r="F55" s="481">
        <v>3616</v>
      </c>
      <c r="G55" s="481">
        <v>1200</v>
      </c>
      <c r="H55" s="481">
        <v>5185</v>
      </c>
      <c r="I55" s="467"/>
      <c r="J55" s="467"/>
      <c r="K55" s="1672">
        <f>SUM(C55:J55)</f>
        <v>310962</v>
      </c>
      <c r="L55" s="481">
        <v>314212</v>
      </c>
    </row>
    <row r="56" spans="1:14" ht="12.75" customHeight="1" x14ac:dyDescent="0.2">
      <c r="A56" s="1508" t="s">
        <v>376</v>
      </c>
      <c r="B56" s="628">
        <v>2490</v>
      </c>
      <c r="C56" s="466"/>
      <c r="D56" s="466"/>
      <c r="E56" s="466"/>
      <c r="F56" s="466">
        <v>15675</v>
      </c>
      <c r="G56" s="466"/>
      <c r="H56" s="466"/>
      <c r="I56" s="467"/>
      <c r="J56" s="467"/>
      <c r="K56" s="1672">
        <f>SUM(C56:J56)</f>
        <v>15675</v>
      </c>
      <c r="L56" s="466">
        <v>18100</v>
      </c>
    </row>
    <row r="57" spans="1:14" s="343" customFormat="1" ht="12.75" customHeight="1" thickBot="1" x14ac:dyDescent="0.25">
      <c r="A57" s="1668" t="s">
        <v>263</v>
      </c>
      <c r="B57" s="1673" t="s">
        <v>34</v>
      </c>
      <c r="C57" s="1674">
        <f>SUM(C55:C56)</f>
        <v>218158</v>
      </c>
      <c r="D57" s="1674">
        <f t="shared" ref="D57:K57" si="6">SUM(D55:D56)</f>
        <v>79985</v>
      </c>
      <c r="E57" s="1674">
        <f t="shared" si="6"/>
        <v>2818</v>
      </c>
      <c r="F57" s="1674">
        <f t="shared" si="6"/>
        <v>19291</v>
      </c>
      <c r="G57" s="1674">
        <f t="shared" si="6"/>
        <v>1200</v>
      </c>
      <c r="H57" s="1674">
        <f t="shared" si="6"/>
        <v>5185</v>
      </c>
      <c r="I57" s="1674">
        <f t="shared" si="6"/>
        <v>0</v>
      </c>
      <c r="J57" s="1674">
        <f t="shared" si="6"/>
        <v>0</v>
      </c>
      <c r="K57" s="1674">
        <f t="shared" si="6"/>
        <v>326637</v>
      </c>
      <c r="L57" s="1670">
        <f>SUM(L55:L56)</f>
        <v>332312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61012</v>
      </c>
      <c r="D60" s="466">
        <v>8703</v>
      </c>
      <c r="E60" s="466">
        <v>349</v>
      </c>
      <c r="F60" s="466">
        <v>685</v>
      </c>
      <c r="G60" s="466">
        <v>600</v>
      </c>
      <c r="H60" s="466">
        <v>2388</v>
      </c>
      <c r="I60" s="467"/>
      <c r="J60" s="467"/>
      <c r="K60" s="1672">
        <f t="shared" si="7"/>
        <v>73737</v>
      </c>
      <c r="L60" s="466">
        <v>84060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95803</v>
      </c>
      <c r="D63" s="466">
        <v>9838</v>
      </c>
      <c r="E63" s="466">
        <v>5714</v>
      </c>
      <c r="F63" s="466">
        <v>113376</v>
      </c>
      <c r="G63" s="466">
        <v>4672</v>
      </c>
      <c r="H63" s="466">
        <v>1134</v>
      </c>
      <c r="I63" s="467"/>
      <c r="J63" s="467"/>
      <c r="K63" s="1672">
        <f t="shared" si="7"/>
        <v>230537</v>
      </c>
      <c r="L63" s="466">
        <v>237975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156815</v>
      </c>
      <c r="D65" s="1670">
        <f t="shared" ref="D65:L65" si="8">SUM(D59:D64)</f>
        <v>18541</v>
      </c>
      <c r="E65" s="1670">
        <f t="shared" si="8"/>
        <v>6063</v>
      </c>
      <c r="F65" s="1670">
        <f t="shared" si="8"/>
        <v>114061</v>
      </c>
      <c r="G65" s="1670">
        <f t="shared" si="8"/>
        <v>5272</v>
      </c>
      <c r="H65" s="1670">
        <f t="shared" si="8"/>
        <v>3522</v>
      </c>
      <c r="I65" s="1670">
        <f t="shared" si="8"/>
        <v>0</v>
      </c>
      <c r="J65" s="1670">
        <f t="shared" si="8"/>
        <v>0</v>
      </c>
      <c r="K65" s="1670">
        <f t="shared" si="8"/>
        <v>304274</v>
      </c>
      <c r="L65" s="1670">
        <f t="shared" si="8"/>
        <v>322035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v>500</v>
      </c>
      <c r="D70" s="466">
        <v>65</v>
      </c>
      <c r="E70" s="466"/>
      <c r="F70" s="466"/>
      <c r="G70" s="466"/>
      <c r="H70" s="466"/>
      <c r="I70" s="467"/>
      <c r="J70" s="467"/>
      <c r="K70" s="1672">
        <f>SUM(C70:J70)</f>
        <v>565</v>
      </c>
      <c r="L70" s="466">
        <v>345</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500</v>
      </c>
      <c r="D72" s="1670">
        <f t="shared" ref="D72:K72" si="9">SUM(D67:D71)</f>
        <v>65</v>
      </c>
      <c r="E72" s="1670">
        <f t="shared" si="9"/>
        <v>0</v>
      </c>
      <c r="F72" s="1670">
        <f t="shared" si="9"/>
        <v>0</v>
      </c>
      <c r="G72" s="1670">
        <f t="shared" si="9"/>
        <v>0</v>
      </c>
      <c r="H72" s="1670">
        <f t="shared" si="9"/>
        <v>0</v>
      </c>
      <c r="I72" s="1670">
        <f t="shared" si="9"/>
        <v>0</v>
      </c>
      <c r="J72" s="1670">
        <f t="shared" si="9"/>
        <v>0</v>
      </c>
      <c r="K72" s="1670">
        <f t="shared" si="9"/>
        <v>565</v>
      </c>
      <c r="L72" s="1670">
        <f>SUM(L67:L71)</f>
        <v>345</v>
      </c>
      <c r="M72" s="609"/>
      <c r="N72" s="609"/>
    </row>
    <row r="73" spans="1:14" s="343" customFormat="1" ht="14.25" thickTop="1" thickBot="1" x14ac:dyDescent="0.25">
      <c r="A73" s="1510" t="s">
        <v>980</v>
      </c>
      <c r="B73" s="632" t="s">
        <v>574</v>
      </c>
      <c r="C73" s="573"/>
      <c r="D73" s="573"/>
      <c r="E73" s="573"/>
      <c r="F73" s="573"/>
      <c r="G73" s="573"/>
      <c r="H73" s="573">
        <v>150921</v>
      </c>
      <c r="I73" s="531"/>
      <c r="J73" s="531"/>
      <c r="K73" s="1670">
        <f>SUM(C73:J73)</f>
        <v>150921</v>
      </c>
      <c r="L73" s="576">
        <v>148190</v>
      </c>
      <c r="M73" s="609"/>
      <c r="N73" s="609"/>
    </row>
    <row r="74" spans="1:14" ht="12.75" customHeight="1" thickTop="1" thickBot="1" x14ac:dyDescent="0.25">
      <c r="A74" s="1668" t="s">
        <v>811</v>
      </c>
      <c r="B74" s="1676">
        <v>2000</v>
      </c>
      <c r="C74" s="1677">
        <f>SUM(C42,C47,C53,C57,C65,C72,C73)</f>
        <v>930795</v>
      </c>
      <c r="D74" s="1677">
        <f t="shared" ref="D74:K74" si="10">SUM(D42,D47,D53,D57,D65,D72,D73)</f>
        <v>206234</v>
      </c>
      <c r="E74" s="1677">
        <f t="shared" si="10"/>
        <v>51331</v>
      </c>
      <c r="F74" s="1677">
        <f t="shared" si="10"/>
        <v>150779</v>
      </c>
      <c r="G74" s="1677">
        <f t="shared" si="10"/>
        <v>7672</v>
      </c>
      <c r="H74" s="1677">
        <f t="shared" si="10"/>
        <v>175579</v>
      </c>
      <c r="I74" s="1677">
        <f t="shared" si="10"/>
        <v>0</v>
      </c>
      <c r="J74" s="1677">
        <f t="shared" si="10"/>
        <v>0</v>
      </c>
      <c r="K74" s="1677">
        <f t="shared" si="10"/>
        <v>1522390</v>
      </c>
      <c r="L74" s="1677">
        <f>SUM(L42,L47,L53,L57,L65,L72,L73)</f>
        <v>1571768</v>
      </c>
    </row>
    <row r="75" spans="1:14" s="259" customFormat="1" ht="15.75" customHeight="1" thickTop="1" thickBot="1" x14ac:dyDescent="0.25">
      <c r="A75" s="1610" t="s">
        <v>47</v>
      </c>
      <c r="B75" s="1611" t="s">
        <v>575</v>
      </c>
      <c r="C75" s="573"/>
      <c r="D75" s="573"/>
      <c r="E75" s="573"/>
      <c r="F75" s="573">
        <v>760</v>
      </c>
      <c r="G75" s="573"/>
      <c r="H75" s="573"/>
      <c r="I75" s="531"/>
      <c r="J75" s="531"/>
      <c r="K75" s="1670">
        <f>SUM(C75:J75)</f>
        <v>760</v>
      </c>
      <c r="L75" s="576">
        <v>1000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165506</v>
      </c>
      <c r="F79" s="616"/>
      <c r="G79" s="616"/>
      <c r="H79" s="466"/>
      <c r="I79" s="477"/>
      <c r="J79" s="477"/>
      <c r="K79" s="1671">
        <f t="shared" si="11"/>
        <v>165506</v>
      </c>
      <c r="L79" s="466">
        <v>260000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103926</v>
      </c>
      <c r="I81" s="477"/>
      <c r="J81" s="477"/>
      <c r="K81" s="1671">
        <f t="shared" si="11"/>
        <v>103926</v>
      </c>
      <c r="L81" s="466">
        <v>145000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165506</v>
      </c>
      <c r="F84" s="616"/>
      <c r="G84" s="616"/>
      <c r="H84" s="1670">
        <f>SUM(H78:H83)</f>
        <v>103926</v>
      </c>
      <c r="I84" s="477"/>
      <c r="J84" s="477"/>
      <c r="K84" s="1670">
        <f>SUM(K78:K83)</f>
        <v>269432</v>
      </c>
      <c r="L84" s="1670">
        <f>SUM(L78:L83)</f>
        <v>405000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36286</v>
      </c>
      <c r="I86" s="477"/>
      <c r="J86" s="477"/>
      <c r="K86" s="1677">
        <f t="shared" ref="K86:K98" si="12">H86</f>
        <v>36286</v>
      </c>
      <c r="L86" s="530">
        <v>63000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36286</v>
      </c>
      <c r="I92" s="477"/>
      <c r="J92" s="477"/>
      <c r="K92" s="1677">
        <f t="shared" si="12"/>
        <v>36286</v>
      </c>
      <c r="L92" s="1670">
        <f>SUM(L85:L91)</f>
        <v>63000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165506</v>
      </c>
      <c r="F102" s="616"/>
      <c r="G102" s="616"/>
      <c r="H102" s="1677">
        <f>SUM(H84,H92,H100,H101)</f>
        <v>140212</v>
      </c>
      <c r="I102" s="477"/>
      <c r="J102" s="477"/>
      <c r="K102" s="1677">
        <f>SUM(K84,K92,K100,K101)</f>
        <v>305718</v>
      </c>
      <c r="L102" s="1677">
        <f>SUM(L84,L92,L100,L101)</f>
        <v>468000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4494010</v>
      </c>
      <c r="D114" s="1670">
        <f t="shared" ref="D114:K114" si="13">SUM(D33,D74,D75,D102,D112,D113)</f>
        <v>1002449</v>
      </c>
      <c r="E114" s="1670">
        <f t="shared" si="13"/>
        <v>246803</v>
      </c>
      <c r="F114" s="1670">
        <f t="shared" si="13"/>
        <v>197140</v>
      </c>
      <c r="G114" s="1670">
        <f t="shared" si="13"/>
        <v>31589</v>
      </c>
      <c r="H114" s="1670">
        <f>SUM(H33,H74,H75,H102,H112,H113)</f>
        <v>370035</v>
      </c>
      <c r="I114" s="1670">
        <f t="shared" si="13"/>
        <v>0</v>
      </c>
      <c r="J114" s="1670">
        <f t="shared" si="13"/>
        <v>0</v>
      </c>
      <c r="K114" s="1670">
        <f t="shared" si="13"/>
        <v>6342026</v>
      </c>
      <c r="L114" s="1670">
        <f>SUM(L33,L74,L75,L102,L112,L113)</f>
        <v>6778264</v>
      </c>
    </row>
    <row r="115" spans="1:14" ht="13.5" thickTop="1" x14ac:dyDescent="0.2">
      <c r="A115" s="2183" t="s">
        <v>996</v>
      </c>
      <c r="B115" s="2184"/>
      <c r="C115" s="618"/>
      <c r="D115" s="618"/>
      <c r="E115" s="618"/>
      <c r="F115" s="618"/>
      <c r="G115" s="618"/>
      <c r="H115" s="618"/>
      <c r="I115" s="618"/>
      <c r="J115" s="618"/>
      <c r="K115" s="1684">
        <f>'Revenues 9-14'!C268-'Expenditures 15-22'!K114</f>
        <v>72211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200188</v>
      </c>
      <c r="D124" s="466">
        <v>37165</v>
      </c>
      <c r="E124" s="466">
        <v>101272</v>
      </c>
      <c r="F124" s="466">
        <v>294976</v>
      </c>
      <c r="G124" s="466">
        <v>27991</v>
      </c>
      <c r="H124" s="466"/>
      <c r="I124" s="467"/>
      <c r="J124" s="467"/>
      <c r="K124" s="1670">
        <f>SUM(C124:J124)</f>
        <v>661592</v>
      </c>
      <c r="L124" s="466">
        <v>759862</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200188</v>
      </c>
      <c r="D127" s="1670">
        <f t="shared" ref="D127:L127" si="14">SUM(D122:D126)</f>
        <v>37165</v>
      </c>
      <c r="E127" s="1670">
        <f t="shared" si="14"/>
        <v>101272</v>
      </c>
      <c r="F127" s="1670">
        <f t="shared" si="14"/>
        <v>294976</v>
      </c>
      <c r="G127" s="1670">
        <f t="shared" si="14"/>
        <v>27991</v>
      </c>
      <c r="H127" s="1670">
        <f t="shared" si="14"/>
        <v>0</v>
      </c>
      <c r="I127" s="1670">
        <f t="shared" si="14"/>
        <v>0</v>
      </c>
      <c r="J127" s="1670">
        <f t="shared" si="14"/>
        <v>0</v>
      </c>
      <c r="K127" s="1670">
        <f t="shared" si="14"/>
        <v>661592</v>
      </c>
      <c r="L127" s="1670">
        <f t="shared" si="14"/>
        <v>759862</v>
      </c>
    </row>
    <row r="128" spans="1:14" ht="12.75" customHeight="1" thickTop="1" x14ac:dyDescent="0.2">
      <c r="A128" s="1511" t="s">
        <v>980</v>
      </c>
      <c r="B128" s="655" t="s">
        <v>574</v>
      </c>
      <c r="C128" s="656"/>
      <c r="D128" s="656"/>
      <c r="E128" s="656"/>
      <c r="F128" s="656"/>
      <c r="G128" s="656"/>
      <c r="H128" s="656"/>
      <c r="I128" s="535"/>
      <c r="J128" s="535"/>
      <c r="K128" s="1685">
        <f>SUM(C128:J128)</f>
        <v>0</v>
      </c>
      <c r="L128" s="656">
        <v>9000</v>
      </c>
    </row>
    <row r="129" spans="1:14" ht="12.75" customHeight="1" thickBot="1" x14ac:dyDescent="0.25">
      <c r="A129" s="1686" t="s">
        <v>811</v>
      </c>
      <c r="B129" s="1687" t="s">
        <v>569</v>
      </c>
      <c r="C129" s="1677">
        <f>SUM(C120,C127,C128)</f>
        <v>200188</v>
      </c>
      <c r="D129" s="1677">
        <f t="shared" ref="D129:L129" si="15">SUM(D120,D127,D128)</f>
        <v>37165</v>
      </c>
      <c r="E129" s="1677">
        <f t="shared" si="15"/>
        <v>101272</v>
      </c>
      <c r="F129" s="1677">
        <f t="shared" si="15"/>
        <v>294976</v>
      </c>
      <c r="G129" s="1677">
        <f t="shared" si="15"/>
        <v>27991</v>
      </c>
      <c r="H129" s="1677">
        <f t="shared" si="15"/>
        <v>0</v>
      </c>
      <c r="I129" s="1677">
        <f t="shared" si="15"/>
        <v>0</v>
      </c>
      <c r="J129" s="1677">
        <f t="shared" si="15"/>
        <v>0</v>
      </c>
      <c r="K129" s="1677">
        <f t="shared" si="15"/>
        <v>661592</v>
      </c>
      <c r="L129" s="1677">
        <f t="shared" si="15"/>
        <v>768862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200188</v>
      </c>
      <c r="D151" s="1670">
        <f t="shared" ref="D151:K151" si="16">SUM(D129,D130,D139,D149,D150)</f>
        <v>37165</v>
      </c>
      <c r="E151" s="1670">
        <f t="shared" si="16"/>
        <v>101272</v>
      </c>
      <c r="F151" s="1670">
        <f t="shared" si="16"/>
        <v>294976</v>
      </c>
      <c r="G151" s="1670">
        <f t="shared" si="16"/>
        <v>27991</v>
      </c>
      <c r="H151" s="1670">
        <f t="shared" si="16"/>
        <v>0</v>
      </c>
      <c r="I151" s="1670">
        <f t="shared" si="16"/>
        <v>0</v>
      </c>
      <c r="J151" s="1670">
        <f t="shared" si="16"/>
        <v>0</v>
      </c>
      <c r="K151" s="1670">
        <f t="shared" si="16"/>
        <v>661592</v>
      </c>
      <c r="L151" s="1670">
        <f>SUM(L129,L130,L139,L149,L150)</f>
        <v>768862</v>
      </c>
    </row>
    <row r="152" spans="1:14" ht="12.75" customHeight="1" thickTop="1" x14ac:dyDescent="0.2">
      <c r="A152" s="2176" t="s">
        <v>1178</v>
      </c>
      <c r="B152" s="2177"/>
      <c r="C152" s="618"/>
      <c r="D152" s="618"/>
      <c r="E152" s="618"/>
      <c r="F152" s="618"/>
      <c r="G152" s="618"/>
      <c r="H152" s="618"/>
      <c r="I152" s="618"/>
      <c r="J152" s="616"/>
      <c r="K152" s="1684">
        <f>'Revenues 9-14'!D268-'Expenditures 15-22'!K151</f>
        <v>325790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3" t="s">
        <v>996</v>
      </c>
      <c r="B175" s="218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205658</v>
      </c>
      <c r="D182" s="466">
        <v>5577</v>
      </c>
      <c r="E182" s="466">
        <v>17502</v>
      </c>
      <c r="F182" s="466">
        <v>47061</v>
      </c>
      <c r="G182" s="466">
        <v>179110</v>
      </c>
      <c r="H182" s="466">
        <v>235</v>
      </c>
      <c r="I182" s="467"/>
      <c r="J182" s="467"/>
      <c r="K182" s="1671">
        <f>SUM(C182:J182)</f>
        <v>455143</v>
      </c>
      <c r="L182" s="466">
        <v>487250</v>
      </c>
    </row>
    <row r="183" spans="1:14" ht="12.75" customHeight="1" thickBot="1" x14ac:dyDescent="0.25">
      <c r="A183" s="1509" t="s">
        <v>980</v>
      </c>
      <c r="B183" s="677">
        <v>2900</v>
      </c>
      <c r="C183" s="573"/>
      <c r="D183" s="573"/>
      <c r="E183" s="573">
        <v>8006</v>
      </c>
      <c r="F183" s="573"/>
      <c r="G183" s="573"/>
      <c r="H183" s="573"/>
      <c r="I183" s="532"/>
      <c r="J183" s="532"/>
      <c r="K183" s="1677">
        <f>SUM(C183:J183)</f>
        <v>8006</v>
      </c>
      <c r="L183" s="573">
        <v>4200</v>
      </c>
    </row>
    <row r="184" spans="1:14" ht="12.75" customHeight="1" thickTop="1" thickBot="1" x14ac:dyDescent="0.25">
      <c r="A184" s="1691" t="s">
        <v>811</v>
      </c>
      <c r="B184" s="1669" t="s">
        <v>569</v>
      </c>
      <c r="C184" s="1677">
        <f>SUM(C180,C182,C183)</f>
        <v>205658</v>
      </c>
      <c r="D184" s="1677">
        <f t="shared" ref="D184:J184" si="17">SUM(D180,D182,D183)</f>
        <v>5577</v>
      </c>
      <c r="E184" s="1677">
        <f t="shared" si="17"/>
        <v>25508</v>
      </c>
      <c r="F184" s="1677">
        <f t="shared" si="17"/>
        <v>47061</v>
      </c>
      <c r="G184" s="1677">
        <f t="shared" si="17"/>
        <v>179110</v>
      </c>
      <c r="H184" s="1677">
        <f t="shared" si="17"/>
        <v>235</v>
      </c>
      <c r="I184" s="1677">
        <f t="shared" si="17"/>
        <v>0</v>
      </c>
      <c r="J184" s="1677">
        <f t="shared" si="17"/>
        <v>0</v>
      </c>
      <c r="K184" s="1677">
        <f>SUM(K180,K182,K183)</f>
        <v>463149</v>
      </c>
      <c r="L184" s="1677">
        <f>SUM(L180, L182:L183)</f>
        <v>491450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205658</v>
      </c>
      <c r="D210" s="1670">
        <f>SUM(D184,D185)</f>
        <v>5577</v>
      </c>
      <c r="E210" s="1670">
        <f>SUM(E184,E185,E196)</f>
        <v>25508</v>
      </c>
      <c r="F210" s="1670">
        <f>SUM(F184,F185)</f>
        <v>47061</v>
      </c>
      <c r="G210" s="1670">
        <f>SUM(G184,G185)</f>
        <v>179110</v>
      </c>
      <c r="H210" s="1670">
        <f>SUM(H184,H185,H196,H208,H209)</f>
        <v>235</v>
      </c>
      <c r="I210" s="1670">
        <f>SUM(I184,I185)</f>
        <v>0</v>
      </c>
      <c r="J210" s="1670">
        <f>SUM(J184,J185)</f>
        <v>0</v>
      </c>
      <c r="K210" s="1671">
        <f>SUM(K184,K185,K196,K208,K209)</f>
        <v>463149</v>
      </c>
      <c r="L210" s="1670">
        <f>SUM(L184,L185,L196,L208,L209)</f>
        <v>491450</v>
      </c>
    </row>
    <row r="211" spans="1:14" ht="13.5" thickTop="1" x14ac:dyDescent="0.2">
      <c r="A211" s="2183" t="s">
        <v>996</v>
      </c>
      <c r="B211" s="2184"/>
      <c r="C211" s="618"/>
      <c r="D211" s="618"/>
      <c r="E211" s="618"/>
      <c r="F211" s="618"/>
      <c r="G211" s="618"/>
      <c r="H211" s="618"/>
      <c r="I211" s="616"/>
      <c r="J211" s="616"/>
      <c r="K211" s="1684">
        <f>'Revenues 9-14'!F268-'Expenditures 15-22'!K210</f>
        <v>68882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37380</v>
      </c>
      <c r="E215" s="616"/>
      <c r="F215" s="616"/>
      <c r="G215" s="616"/>
      <c r="H215" s="616"/>
      <c r="I215" s="616"/>
      <c r="J215" s="616"/>
      <c r="K215" s="1671">
        <f>D215</f>
        <v>37380</v>
      </c>
      <c r="L215" s="466">
        <v>42221</v>
      </c>
    </row>
    <row r="216" spans="1:14" x14ac:dyDescent="0.2">
      <c r="A216" s="1504" t="s">
        <v>163</v>
      </c>
      <c r="B216" s="614" t="s">
        <v>967</v>
      </c>
      <c r="C216" s="616"/>
      <c r="D216" s="467">
        <v>4885</v>
      </c>
      <c r="E216" s="616"/>
      <c r="F216" s="616"/>
      <c r="G216" s="616"/>
      <c r="H216" s="616"/>
      <c r="I216" s="616"/>
      <c r="J216" s="616"/>
      <c r="K216" s="1671">
        <f t="shared" ref="K216:K228" si="19">D216</f>
        <v>4885</v>
      </c>
      <c r="L216" s="466">
        <v>4055</v>
      </c>
    </row>
    <row r="217" spans="1:14" x14ac:dyDescent="0.2">
      <c r="A217" s="1504" t="s">
        <v>164</v>
      </c>
      <c r="B217" s="614">
        <v>1200</v>
      </c>
      <c r="C217" s="616"/>
      <c r="D217" s="466">
        <v>35771</v>
      </c>
      <c r="E217" s="616"/>
      <c r="F217" s="616"/>
      <c r="G217" s="616"/>
      <c r="H217" s="616"/>
      <c r="I217" s="616"/>
      <c r="J217" s="616"/>
      <c r="K217" s="1671">
        <f t="shared" si="19"/>
        <v>35771</v>
      </c>
      <c r="L217" s="466">
        <v>45700</v>
      </c>
    </row>
    <row r="218" spans="1:14" x14ac:dyDescent="0.2">
      <c r="A218" s="1504" t="s">
        <v>278</v>
      </c>
      <c r="B218" s="614" t="s">
        <v>968</v>
      </c>
      <c r="C218" s="616"/>
      <c r="D218" s="467">
        <v>3770</v>
      </c>
      <c r="E218" s="616"/>
      <c r="F218" s="616"/>
      <c r="G218" s="616"/>
      <c r="H218" s="616"/>
      <c r="I218" s="616"/>
      <c r="J218" s="616"/>
      <c r="K218" s="1671">
        <f t="shared" si="19"/>
        <v>3770</v>
      </c>
      <c r="L218" s="466">
        <v>4169</v>
      </c>
    </row>
    <row r="219" spans="1:14" x14ac:dyDescent="0.2">
      <c r="A219" s="1504" t="s">
        <v>279</v>
      </c>
      <c r="B219" s="614">
        <v>1250</v>
      </c>
      <c r="C219" s="616"/>
      <c r="D219" s="466">
        <v>806</v>
      </c>
      <c r="E219" s="616"/>
      <c r="F219" s="616"/>
      <c r="G219" s="616"/>
      <c r="H219" s="616"/>
      <c r="I219" s="616"/>
      <c r="J219" s="616"/>
      <c r="K219" s="1671">
        <f t="shared" si="19"/>
        <v>806</v>
      </c>
      <c r="L219" s="466">
        <v>1073</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3105</v>
      </c>
      <c r="E222" s="616"/>
      <c r="F222" s="616"/>
      <c r="G222" s="616"/>
      <c r="H222" s="616"/>
      <c r="I222" s="616"/>
      <c r="J222" s="616"/>
      <c r="K222" s="1671">
        <f t="shared" si="19"/>
        <v>3105</v>
      </c>
      <c r="L222" s="466">
        <v>3276</v>
      </c>
    </row>
    <row r="223" spans="1:14" x14ac:dyDescent="0.2">
      <c r="A223" s="1504" t="s">
        <v>963</v>
      </c>
      <c r="B223" s="614">
        <v>1500</v>
      </c>
      <c r="C223" s="616"/>
      <c r="D223" s="466">
        <v>6750</v>
      </c>
      <c r="E223" s="616"/>
      <c r="F223" s="616"/>
      <c r="G223" s="616"/>
      <c r="H223" s="616"/>
      <c r="I223" s="616"/>
      <c r="J223" s="616"/>
      <c r="K223" s="1671">
        <f t="shared" si="19"/>
        <v>6750</v>
      </c>
      <c r="L223" s="466">
        <v>5887</v>
      </c>
    </row>
    <row r="224" spans="1:14" x14ac:dyDescent="0.2">
      <c r="A224" s="1504" t="s">
        <v>964</v>
      </c>
      <c r="B224" s="614">
        <v>1600</v>
      </c>
      <c r="C224" s="616"/>
      <c r="D224" s="466">
        <v>46</v>
      </c>
      <c r="E224" s="616"/>
      <c r="F224" s="616"/>
      <c r="G224" s="616"/>
      <c r="H224" s="616"/>
      <c r="I224" s="616"/>
      <c r="J224" s="616"/>
      <c r="K224" s="1671">
        <f t="shared" si="19"/>
        <v>46</v>
      </c>
      <c r="L224" s="466">
        <v>149</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602</v>
      </c>
      <c r="E226" s="616"/>
      <c r="F226" s="616"/>
      <c r="G226" s="616"/>
      <c r="H226" s="616"/>
      <c r="I226" s="616"/>
      <c r="J226" s="616"/>
      <c r="K226" s="1671">
        <f t="shared" si="19"/>
        <v>602</v>
      </c>
      <c r="L226" s="466">
        <v>603</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93115</v>
      </c>
      <c r="E229" s="616"/>
      <c r="F229" s="616"/>
      <c r="G229" s="616"/>
      <c r="H229" s="616"/>
      <c r="I229" s="616"/>
      <c r="J229" s="616"/>
      <c r="K229" s="1670">
        <f>SUM(K215:K228)</f>
        <v>93115</v>
      </c>
      <c r="L229" s="1670">
        <f>SUM(L215:L228)</f>
        <v>107133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2001</v>
      </c>
      <c r="E233" s="616"/>
      <c r="F233" s="616"/>
      <c r="G233" s="616"/>
      <c r="H233" s="616"/>
      <c r="I233" s="616"/>
      <c r="J233" s="616"/>
      <c r="K233" s="1671">
        <f t="shared" si="20"/>
        <v>2001</v>
      </c>
      <c r="L233" s="466">
        <v>2187</v>
      </c>
    </row>
    <row r="234" spans="1:12" x14ac:dyDescent="0.2">
      <c r="A234" s="1504" t="s">
        <v>198</v>
      </c>
      <c r="B234" s="614">
        <v>2130</v>
      </c>
      <c r="C234" s="616"/>
      <c r="D234" s="466">
        <v>8476</v>
      </c>
      <c r="E234" s="616"/>
      <c r="F234" s="616"/>
      <c r="G234" s="616"/>
      <c r="H234" s="616"/>
      <c r="I234" s="616"/>
      <c r="J234" s="616"/>
      <c r="K234" s="1671">
        <f t="shared" si="20"/>
        <v>8476</v>
      </c>
      <c r="L234" s="466">
        <v>10140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898</v>
      </c>
      <c r="E236" s="616"/>
      <c r="F236" s="616"/>
      <c r="G236" s="616"/>
      <c r="H236" s="616"/>
      <c r="I236" s="616"/>
      <c r="J236" s="616"/>
      <c r="K236" s="1671">
        <f t="shared" si="20"/>
        <v>898</v>
      </c>
      <c r="L236" s="466">
        <v>1073</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11375</v>
      </c>
      <c r="E238" s="616"/>
      <c r="F238" s="616"/>
      <c r="G238" s="616"/>
      <c r="H238" s="616"/>
      <c r="I238" s="616"/>
      <c r="J238" s="616"/>
      <c r="K238" s="1670">
        <f>SUM(K232:K237)</f>
        <v>11375</v>
      </c>
      <c r="L238" s="1670">
        <f>SUM(L232:L237)</f>
        <v>13400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16871</v>
      </c>
      <c r="E241" s="616"/>
      <c r="F241" s="616"/>
      <c r="G241" s="616"/>
      <c r="H241" s="616"/>
      <c r="I241" s="616"/>
      <c r="J241" s="616"/>
      <c r="K241" s="1672">
        <f>D241</f>
        <v>16871</v>
      </c>
      <c r="L241" s="466">
        <v>16075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16871</v>
      </c>
      <c r="E243" s="616"/>
      <c r="F243" s="616"/>
      <c r="G243" s="616"/>
      <c r="H243" s="616"/>
      <c r="I243" s="616"/>
      <c r="J243" s="616"/>
      <c r="K243" s="1670">
        <f>SUM(K240:K242)</f>
        <v>16871</v>
      </c>
      <c r="L243" s="1670">
        <f>SUM(L240:L242)</f>
        <v>16075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1215</v>
      </c>
      <c r="E245" s="616"/>
      <c r="F245" s="616"/>
      <c r="G245" s="616"/>
      <c r="H245" s="616"/>
      <c r="I245" s="616"/>
      <c r="J245" s="616"/>
      <c r="K245" s="1672">
        <f>D245</f>
        <v>1215</v>
      </c>
      <c r="L245" s="481">
        <v>1104</v>
      </c>
    </row>
    <row r="246" spans="1:12" x14ac:dyDescent="0.2">
      <c r="A246" s="1504" t="s">
        <v>818</v>
      </c>
      <c r="B246" s="614">
        <v>2320</v>
      </c>
      <c r="C246" s="616"/>
      <c r="D246" s="466">
        <v>12061</v>
      </c>
      <c r="E246" s="616"/>
      <c r="F246" s="616"/>
      <c r="G246" s="616"/>
      <c r="H246" s="616"/>
      <c r="I246" s="616"/>
      <c r="J246" s="616"/>
      <c r="K246" s="1672">
        <f t="shared" ref="K246:K256" si="21">D246</f>
        <v>12061</v>
      </c>
      <c r="L246" s="466">
        <v>13061</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13276</v>
      </c>
      <c r="E257" s="616"/>
      <c r="F257" s="616"/>
      <c r="G257" s="616"/>
      <c r="H257" s="616"/>
      <c r="I257" s="616"/>
      <c r="J257" s="616"/>
      <c r="K257" s="1670">
        <f>SUM(K245:K256)</f>
        <v>13276</v>
      </c>
      <c r="L257" s="1670">
        <f>SUM(L245:L256)</f>
        <v>14165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13361</v>
      </c>
      <c r="E259" s="616"/>
      <c r="F259" s="616"/>
      <c r="G259" s="616"/>
      <c r="H259" s="616"/>
      <c r="I259" s="616"/>
      <c r="J259" s="616"/>
      <c r="K259" s="1672">
        <f>D259</f>
        <v>13361</v>
      </c>
      <c r="L259" s="481">
        <v>13708</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13361</v>
      </c>
      <c r="E261" s="616"/>
      <c r="F261" s="616"/>
      <c r="G261" s="616"/>
      <c r="H261" s="616"/>
      <c r="I261" s="616"/>
      <c r="J261" s="616"/>
      <c r="K261" s="1670">
        <f>SUM(K259:K260)</f>
        <v>13361</v>
      </c>
      <c r="L261" s="1670">
        <f>SUM(L259:L260)</f>
        <v>13708</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12743</v>
      </c>
      <c r="E264" s="616"/>
      <c r="F264" s="616"/>
      <c r="G264" s="616"/>
      <c r="H264" s="616"/>
      <c r="I264" s="616"/>
      <c r="J264" s="616"/>
      <c r="K264" s="1672">
        <f t="shared" ref="K264:K269" si="22">D264</f>
        <v>12743</v>
      </c>
      <c r="L264" s="466">
        <v>14339</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42707</v>
      </c>
      <c r="E266" s="616"/>
      <c r="F266" s="616"/>
      <c r="G266" s="616"/>
      <c r="H266" s="616"/>
      <c r="I266" s="616"/>
      <c r="J266" s="616"/>
      <c r="K266" s="1672">
        <f t="shared" si="22"/>
        <v>42707</v>
      </c>
      <c r="L266" s="466">
        <v>42108</v>
      </c>
    </row>
    <row r="267" spans="1:14" x14ac:dyDescent="0.2">
      <c r="A267" s="1504" t="s">
        <v>953</v>
      </c>
      <c r="B267" s="614">
        <v>2550</v>
      </c>
      <c r="C267" s="616"/>
      <c r="D267" s="466">
        <v>36046</v>
      </c>
      <c r="E267" s="616"/>
      <c r="F267" s="616"/>
      <c r="G267" s="616"/>
      <c r="H267" s="616"/>
      <c r="I267" s="616"/>
      <c r="J267" s="616"/>
      <c r="K267" s="1672">
        <f t="shared" si="22"/>
        <v>36046</v>
      </c>
      <c r="L267" s="466">
        <v>34654</v>
      </c>
    </row>
    <row r="268" spans="1:14" x14ac:dyDescent="0.2">
      <c r="A268" s="1504" t="s">
        <v>100</v>
      </c>
      <c r="B268" s="614">
        <v>2560</v>
      </c>
      <c r="C268" s="616"/>
      <c r="D268" s="466">
        <v>20117</v>
      </c>
      <c r="E268" s="616"/>
      <c r="F268" s="616"/>
      <c r="G268" s="616"/>
      <c r="H268" s="616"/>
      <c r="I268" s="616"/>
      <c r="J268" s="616"/>
      <c r="K268" s="1672">
        <f t="shared" si="22"/>
        <v>20117</v>
      </c>
      <c r="L268" s="466">
        <v>20790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111613</v>
      </c>
      <c r="E270" s="616"/>
      <c r="F270" s="616"/>
      <c r="G270" s="616"/>
      <c r="H270" s="616"/>
      <c r="I270" s="616"/>
      <c r="J270" s="616"/>
      <c r="K270" s="1670">
        <f>SUM(K263:K269)</f>
        <v>111613</v>
      </c>
      <c r="L270" s="1670">
        <f>SUM(L263:L269)</f>
        <v>111891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v>7</v>
      </c>
      <c r="E275" s="616"/>
      <c r="F275" s="616"/>
      <c r="G275" s="616"/>
      <c r="H275" s="616"/>
      <c r="I275" s="616"/>
      <c r="J275" s="616"/>
      <c r="K275" s="1672">
        <f>D275</f>
        <v>7</v>
      </c>
      <c r="L275" s="466">
        <v>12</v>
      </c>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7</v>
      </c>
      <c r="E277" s="616"/>
      <c r="F277" s="616"/>
      <c r="G277" s="616"/>
      <c r="H277" s="616"/>
      <c r="I277" s="616"/>
      <c r="J277" s="616"/>
      <c r="K277" s="1670">
        <f>SUM(K272:K276)</f>
        <v>7</v>
      </c>
      <c r="L277" s="1670">
        <f>SUM(L272:L276)</f>
        <v>12</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166503</v>
      </c>
      <c r="E279" s="616"/>
      <c r="F279" s="616"/>
      <c r="G279" s="616"/>
      <c r="H279" s="616"/>
      <c r="I279" s="616"/>
      <c r="J279" s="616"/>
      <c r="K279" s="1677">
        <f>SUM(K238,K243,K257,K261,K270,K277,K278)</f>
        <v>166503</v>
      </c>
      <c r="L279" s="1677">
        <f>SUM(L238,L243,L257,L261,L270,L277,L278)</f>
        <v>169251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259618</v>
      </c>
      <c r="E295" s="616"/>
      <c r="F295" s="616"/>
      <c r="G295" s="616"/>
      <c r="H295" s="1670">
        <f>H293</f>
        <v>0</v>
      </c>
      <c r="I295" s="616"/>
      <c r="J295" s="616"/>
      <c r="K295" s="1670">
        <f>SUM(K229,K279,K280,K285,K293,K294)</f>
        <v>259618</v>
      </c>
      <c r="L295" s="1670">
        <f>SUM(L229,L279,L280,L285,L293,L294)</f>
        <v>276384</v>
      </c>
    </row>
    <row r="296" spans="1:14" ht="13.5" thickTop="1" x14ac:dyDescent="0.2">
      <c r="A296" s="2183" t="s">
        <v>996</v>
      </c>
      <c r="B296" s="2184"/>
      <c r="C296" s="616"/>
      <c r="D296" s="618"/>
      <c r="E296" s="616"/>
      <c r="F296" s="616"/>
      <c r="G296" s="616"/>
      <c r="H296" s="687"/>
      <c r="I296" s="616"/>
      <c r="J296" s="616"/>
      <c r="K296" s="1684">
        <f>'Revenues 9-14'!G268-'Expenditures 15-22'!K295</f>
        <v>319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43425</v>
      </c>
      <c r="H301" s="466"/>
      <c r="I301" s="467"/>
      <c r="J301" s="467"/>
      <c r="K301" s="1671">
        <f>SUM(C301:J301)</f>
        <v>43425</v>
      </c>
      <c r="L301" s="467">
        <v>40000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43425</v>
      </c>
      <c r="H303" s="1677">
        <f t="shared" si="23"/>
        <v>0</v>
      </c>
      <c r="I303" s="1677">
        <f t="shared" si="23"/>
        <v>0</v>
      </c>
      <c r="J303" s="1677">
        <f t="shared" si="23"/>
        <v>0</v>
      </c>
      <c r="K303" s="1677">
        <f t="shared" si="23"/>
        <v>43425</v>
      </c>
      <c r="L303" s="1677">
        <f t="shared" si="23"/>
        <v>40000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43425</v>
      </c>
      <c r="H312" s="1670">
        <f>SUM(H303,H310)</f>
        <v>0</v>
      </c>
      <c r="I312" s="1670">
        <f>SUM(I303)</f>
        <v>0</v>
      </c>
      <c r="J312" s="1670">
        <f>SUM(J303)</f>
        <v>0</v>
      </c>
      <c r="K312" s="1670">
        <f>SUM(K303,K310,K311)</f>
        <v>43425</v>
      </c>
      <c r="L312" s="1670">
        <f>SUM(L303,L310,L311)</f>
        <v>40000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275294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35074</v>
      </c>
      <c r="F320" s="467"/>
      <c r="G320" s="467"/>
      <c r="H320" s="467"/>
      <c r="I320" s="467"/>
      <c r="J320" s="467"/>
      <c r="K320" s="1671">
        <f t="shared" ref="K320:K327" si="24">SUM(C320:J320)</f>
        <v>35074</v>
      </c>
      <c r="L320" s="467">
        <v>43000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7140</v>
      </c>
      <c r="F322" s="467"/>
      <c r="G322" s="467"/>
      <c r="H322" s="467"/>
      <c r="I322" s="467"/>
      <c r="J322" s="467"/>
      <c r="K322" s="1671">
        <f t="shared" si="24"/>
        <v>7140</v>
      </c>
      <c r="L322" s="467">
        <v>5200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34486</v>
      </c>
      <c r="D325" s="467"/>
      <c r="E325" s="467"/>
      <c r="F325" s="467"/>
      <c r="G325" s="467"/>
      <c r="H325" s="467"/>
      <c r="I325" s="467"/>
      <c r="J325" s="467"/>
      <c r="K325" s="1671">
        <f t="shared" si="24"/>
        <v>34486</v>
      </c>
      <c r="L325" s="467">
        <v>40000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1200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34486</v>
      </c>
      <c r="D330" s="1670">
        <f t="shared" ref="D330:J330" si="25">SUM(D319:D329)</f>
        <v>0</v>
      </c>
      <c r="E330" s="1670">
        <f t="shared" si="25"/>
        <v>42214</v>
      </c>
      <c r="F330" s="1670">
        <f t="shared" si="25"/>
        <v>0</v>
      </c>
      <c r="G330" s="1670">
        <f t="shared" si="25"/>
        <v>0</v>
      </c>
      <c r="H330" s="1670">
        <f t="shared" si="25"/>
        <v>0</v>
      </c>
      <c r="I330" s="1670">
        <f t="shared" si="25"/>
        <v>0</v>
      </c>
      <c r="J330" s="1670">
        <f t="shared" si="25"/>
        <v>0</v>
      </c>
      <c r="K330" s="1670">
        <f>SUM(K319:K329)</f>
        <v>76700</v>
      </c>
      <c r="L330" s="1670">
        <f>SUM(L319:L329)</f>
        <v>89400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34486</v>
      </c>
      <c r="D342" s="1670">
        <f>SUM(D330)</f>
        <v>0</v>
      </c>
      <c r="E342" s="1670">
        <f>SUM(E330)</f>
        <v>42214</v>
      </c>
      <c r="F342" s="1670">
        <f>SUM(F330)</f>
        <v>0</v>
      </c>
      <c r="G342" s="1670">
        <f>SUM(G330)</f>
        <v>0</v>
      </c>
      <c r="H342" s="1670">
        <f>SUM(H330,H334,H340)</f>
        <v>0</v>
      </c>
      <c r="I342" s="1670">
        <f>SUM(I330)</f>
        <v>0</v>
      </c>
      <c r="J342" s="1670">
        <f>SUM(J330)</f>
        <v>0</v>
      </c>
      <c r="K342" s="1670">
        <f>SUM(K330,K334,K340)</f>
        <v>76700</v>
      </c>
      <c r="L342" s="1677">
        <f>SUM(L330,L340,L341)</f>
        <v>89400</v>
      </c>
    </row>
    <row r="343" spans="1:14" ht="12.75" customHeight="1" thickTop="1" x14ac:dyDescent="0.2">
      <c r="A343" s="2169" t="s">
        <v>996</v>
      </c>
      <c r="B343" s="2170"/>
      <c r="C343" s="616"/>
      <c r="D343" s="616"/>
      <c r="E343" s="616"/>
      <c r="F343" s="616"/>
      <c r="G343" s="616"/>
      <c r="H343" s="616"/>
      <c r="I343" s="616"/>
      <c r="J343" s="616"/>
      <c r="K343" s="1684">
        <f>'Revenues 9-14'!J268-'Expenditures 15-22'!K342</f>
        <v>35701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v>2280</v>
      </c>
      <c r="H349" s="466"/>
      <c r="I349" s="467"/>
      <c r="J349" s="467"/>
      <c r="K349" s="1671">
        <f>SUM(C349:J349)</f>
        <v>2280</v>
      </c>
      <c r="L349" s="466">
        <v>8000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2280</v>
      </c>
      <c r="H350" s="1670">
        <f t="shared" si="26"/>
        <v>0</v>
      </c>
      <c r="I350" s="1670">
        <f t="shared" si="26"/>
        <v>0</v>
      </c>
      <c r="J350" s="1670">
        <f t="shared" si="26"/>
        <v>0</v>
      </c>
      <c r="K350" s="1670">
        <f t="shared" si="26"/>
        <v>2280</v>
      </c>
      <c r="L350" s="1670">
        <f t="shared" si="26"/>
        <v>8000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2280</v>
      </c>
      <c r="H352" s="1670">
        <f t="shared" si="27"/>
        <v>0</v>
      </c>
      <c r="I352" s="1670">
        <f t="shared" si="27"/>
        <v>0</v>
      </c>
      <c r="J352" s="1670">
        <f t="shared" si="27"/>
        <v>0</v>
      </c>
      <c r="K352" s="1670">
        <f t="shared" si="27"/>
        <v>2280</v>
      </c>
      <c r="L352" s="1670">
        <f t="shared" si="27"/>
        <v>8000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2280</v>
      </c>
      <c r="H367" s="1670">
        <f t="shared" si="28"/>
        <v>0</v>
      </c>
      <c r="I367" s="1670">
        <f t="shared" si="28"/>
        <v>0</v>
      </c>
      <c r="J367" s="1670">
        <f t="shared" si="28"/>
        <v>0</v>
      </c>
      <c r="K367" s="1670">
        <f t="shared" si="28"/>
        <v>2280</v>
      </c>
      <c r="L367" s="1670">
        <f t="shared" si="28"/>
        <v>8000</v>
      </c>
    </row>
    <row r="368" spans="1:14" ht="13.5" thickTop="1" x14ac:dyDescent="0.2">
      <c r="A368" s="2183" t="s">
        <v>996</v>
      </c>
      <c r="B368" s="2184"/>
      <c r="C368" s="654"/>
      <c r="D368" s="654"/>
      <c r="E368" s="626"/>
      <c r="F368" s="626"/>
      <c r="G368" s="626"/>
      <c r="H368" s="626"/>
      <c r="I368" s="626"/>
      <c r="J368" s="623"/>
      <c r="K368" s="1671">
        <f>'Revenues 9-14'!K268-'Expenditures 15-22'!K367</f>
        <v>685</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F36"/>
  <sheetViews>
    <sheetView showGridLines="0" defaultGridColor="0" topLeftCell="A4" colorId="8" zoomScale="110" zoomScaleNormal="110" workbookViewId="0">
      <selection activeCell="C16" activeCellId="1" sqref="C8 C1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1951</v>
      </c>
      <c r="C2" s="714" t="s">
        <v>1952</v>
      </c>
      <c r="D2" s="714" t="s">
        <v>1953</v>
      </c>
      <c r="E2" s="714" t="s">
        <v>1954</v>
      </c>
      <c r="F2" s="714" t="s">
        <v>1955</v>
      </c>
    </row>
    <row r="3" spans="1:6" ht="12" customHeight="1" x14ac:dyDescent="0.2">
      <c r="A3" s="2186"/>
      <c r="B3" s="1525"/>
      <c r="C3" s="1526"/>
      <c r="D3" s="1527" t="s">
        <v>256</v>
      </c>
      <c r="E3" s="1526"/>
      <c r="F3" s="1527" t="s">
        <v>257</v>
      </c>
    </row>
    <row r="4" spans="1:6" ht="13.7" customHeight="1" x14ac:dyDescent="0.2">
      <c r="A4" s="715" t="s">
        <v>1155</v>
      </c>
      <c r="B4" s="1749">
        <f>'Revenues 9-14'!C5</f>
        <v>5014666</v>
      </c>
      <c r="C4" s="1524">
        <v>1006790</v>
      </c>
      <c r="D4" s="1752">
        <f>B4-C4</f>
        <v>4007876</v>
      </c>
      <c r="E4" s="1524">
        <v>5030002</v>
      </c>
      <c r="F4" s="1752">
        <f>E4-C4</f>
        <v>4023212</v>
      </c>
    </row>
    <row r="5" spans="1:6" ht="13.7" customHeight="1" x14ac:dyDescent="0.2">
      <c r="A5" s="715" t="s">
        <v>870</v>
      </c>
      <c r="B5" s="1750">
        <f>'Revenues 9-14'!D5</f>
        <v>801388</v>
      </c>
      <c r="C5" s="585">
        <v>160126</v>
      </c>
      <c r="D5" s="1753">
        <f t="shared" ref="D5:D18" si="0">B5-C5</f>
        <v>641262</v>
      </c>
      <c r="E5" s="585">
        <v>800005</v>
      </c>
      <c r="F5" s="1753">
        <f>E5-C5</f>
        <v>639879</v>
      </c>
    </row>
    <row r="6" spans="1:6" ht="13.7" customHeight="1" x14ac:dyDescent="0.2">
      <c r="A6" s="715" t="s">
        <v>411</v>
      </c>
      <c r="B6" s="1750">
        <f>'Revenues 9-14'!E5</f>
        <v>0</v>
      </c>
      <c r="C6" s="585">
        <v>0</v>
      </c>
      <c r="D6" s="1753">
        <f t="shared" si="0"/>
        <v>0</v>
      </c>
      <c r="E6" s="585">
        <v>0</v>
      </c>
      <c r="F6" s="1753">
        <f t="shared" ref="F6:F18" si="1">E6-C6</f>
        <v>0</v>
      </c>
    </row>
    <row r="7" spans="1:6" ht="13.7" customHeight="1" x14ac:dyDescent="0.2">
      <c r="A7" s="715" t="s">
        <v>155</v>
      </c>
      <c r="B7" s="1750">
        <f>'Revenues 9-14'!F5</f>
        <v>380661</v>
      </c>
      <c r="C7" s="585">
        <v>76060</v>
      </c>
      <c r="D7" s="1753">
        <f t="shared" si="0"/>
        <v>304601</v>
      </c>
      <c r="E7" s="585">
        <v>380007</v>
      </c>
      <c r="F7" s="1753">
        <f t="shared" si="1"/>
        <v>303947</v>
      </c>
    </row>
    <row r="8" spans="1:6" ht="13.7" customHeight="1" x14ac:dyDescent="0.2">
      <c r="A8" s="715" t="s">
        <v>1179</v>
      </c>
      <c r="B8" s="1750">
        <f>'Revenues 9-14'!G5</f>
        <v>109192</v>
      </c>
      <c r="C8" s="585">
        <v>21819</v>
      </c>
      <c r="D8" s="1753">
        <f t="shared" si="0"/>
        <v>87373</v>
      </c>
      <c r="E8" s="585">
        <v>109012</v>
      </c>
      <c r="F8" s="1753">
        <f t="shared" si="1"/>
        <v>87193</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0</v>
      </c>
      <c r="C10" s="585">
        <v>0</v>
      </c>
      <c r="D10" s="1753">
        <f t="shared" si="0"/>
        <v>0</v>
      </c>
      <c r="E10" s="585">
        <v>0</v>
      </c>
      <c r="F10" s="1753">
        <f t="shared" si="1"/>
        <v>0</v>
      </c>
    </row>
    <row r="11" spans="1:6" x14ac:dyDescent="0.2">
      <c r="A11" s="715" t="s">
        <v>409</v>
      </c>
      <c r="B11" s="1750">
        <f>'Revenues 9-14'!J5</f>
        <v>110201</v>
      </c>
      <c r="C11" s="585">
        <v>22019</v>
      </c>
      <c r="D11" s="1753">
        <f t="shared" si="0"/>
        <v>88182</v>
      </c>
      <c r="E11" s="585">
        <v>110013</v>
      </c>
      <c r="F11" s="1753">
        <f t="shared" si="1"/>
        <v>87994</v>
      </c>
    </row>
    <row r="12" spans="1:6" ht="13.7" customHeight="1" x14ac:dyDescent="0.2">
      <c r="A12" s="715" t="s">
        <v>157</v>
      </c>
      <c r="B12" s="1750">
        <f>'Revenues 9-14'!K5</f>
        <v>2608</v>
      </c>
      <c r="C12" s="585">
        <v>201</v>
      </c>
      <c r="D12" s="1753">
        <f t="shared" si="0"/>
        <v>2407</v>
      </c>
      <c r="E12" s="585">
        <v>1001</v>
      </c>
      <c r="F12" s="1753">
        <f t="shared" si="1"/>
        <v>800</v>
      </c>
    </row>
    <row r="13" spans="1:6" ht="13.7" customHeight="1" x14ac:dyDescent="0.2">
      <c r="A13" s="715" t="s">
        <v>936</v>
      </c>
      <c r="B13" s="1750">
        <f>SUM('Revenues 9-14'!C6:D6)</f>
        <v>0</v>
      </c>
      <c r="C13" s="585">
        <v>0</v>
      </c>
      <c r="D13" s="1753">
        <f t="shared" si="0"/>
        <v>0</v>
      </c>
      <c r="E13" s="585">
        <v>0</v>
      </c>
      <c r="F13" s="1753">
        <f t="shared" si="1"/>
        <v>0</v>
      </c>
    </row>
    <row r="14" spans="1:6" ht="13.7" customHeight="1" x14ac:dyDescent="0.2">
      <c r="A14" s="715" t="s">
        <v>410</v>
      </c>
      <c r="B14" s="1750">
        <f>SUM('Revenues 9-14'!C7:D7,'Revenues 9-14'!F7:H7)</f>
        <v>100063</v>
      </c>
      <c r="C14" s="585">
        <v>19994</v>
      </c>
      <c r="D14" s="1753">
        <f t="shared" si="0"/>
        <v>80069</v>
      </c>
      <c r="E14" s="585">
        <v>99890</v>
      </c>
      <c r="F14" s="1753">
        <f t="shared" si="1"/>
        <v>79896</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133234</v>
      </c>
      <c r="C16" s="585">
        <v>29025</v>
      </c>
      <c r="D16" s="1753">
        <f t="shared" si="0"/>
        <v>104209</v>
      </c>
      <c r="E16" s="585">
        <v>145015</v>
      </c>
      <c r="F16" s="1753">
        <f t="shared" si="1"/>
        <v>115990</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6652013</v>
      </c>
      <c r="C19" s="1751">
        <f>SUM(C4:C18)</f>
        <v>1336034</v>
      </c>
      <c r="D19" s="1751">
        <f>SUM(D4:D18)</f>
        <v>5315979</v>
      </c>
      <c r="E19" s="1751">
        <f>SUM(E4:E18)</f>
        <v>6674945</v>
      </c>
      <c r="F19" s="1751">
        <f>SUM(F4:F18)</f>
        <v>5338911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topLeftCell="A34"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1956</v>
      </c>
      <c r="D2" s="723" t="s">
        <v>1957</v>
      </c>
      <c r="E2" s="723" t="s">
        <v>1958</v>
      </c>
      <c r="F2" s="1884" t="s">
        <v>1959</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K48"/>
  <sheetViews>
    <sheetView showGridLines="0" defaultGridColor="0" topLeftCell="A7" colorId="8" zoomScale="110" zoomScaleNormal="110" workbookViewId="0">
      <selection activeCell="K14" sqref="K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1964</v>
      </c>
      <c r="B3" s="2223"/>
      <c r="C3" s="2223"/>
      <c r="D3" s="2223"/>
      <c r="E3" s="2224"/>
      <c r="F3" s="763"/>
      <c r="G3" s="764"/>
      <c r="H3" s="764"/>
      <c r="I3" s="764"/>
      <c r="J3" s="765">
        <v>683577</v>
      </c>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v>100063</v>
      </c>
      <c r="I5" s="772"/>
      <c r="J5" s="773"/>
      <c r="K5" s="773"/>
    </row>
    <row r="6" spans="1:11" x14ac:dyDescent="0.2">
      <c r="A6" s="774" t="s">
        <v>720</v>
      </c>
      <c r="B6" s="775"/>
      <c r="C6" s="775"/>
      <c r="D6" s="775"/>
      <c r="E6" s="776"/>
      <c r="F6" s="777" t="s">
        <v>849</v>
      </c>
      <c r="G6" s="764"/>
      <c r="H6" s="764">
        <v>55</v>
      </c>
      <c r="I6" s="764"/>
      <c r="J6" s="765">
        <v>8305</v>
      </c>
      <c r="K6" s="765"/>
    </row>
    <row r="7" spans="1:11" x14ac:dyDescent="0.2">
      <c r="A7" s="778" t="s">
        <v>246</v>
      </c>
      <c r="B7" s="779"/>
      <c r="C7" s="779"/>
      <c r="D7" s="779"/>
      <c r="E7" s="780"/>
      <c r="F7" s="770" t="s">
        <v>850</v>
      </c>
      <c r="G7" s="767"/>
      <c r="H7" s="767"/>
      <c r="I7" s="767"/>
      <c r="J7" s="781"/>
      <c r="K7" s="765">
        <v>1950</v>
      </c>
    </row>
    <row r="8" spans="1:11" x14ac:dyDescent="0.2">
      <c r="A8" s="778" t="s">
        <v>345</v>
      </c>
      <c r="B8" s="779"/>
      <c r="C8" s="779"/>
      <c r="D8" s="779"/>
      <c r="E8" s="780"/>
      <c r="F8" s="770" t="s">
        <v>851</v>
      </c>
      <c r="G8" s="782"/>
      <c r="H8" s="782"/>
      <c r="I8" s="782"/>
      <c r="J8" s="765">
        <v>310414</v>
      </c>
      <c r="K8" s="769"/>
    </row>
    <row r="9" spans="1:11" x14ac:dyDescent="0.2">
      <c r="A9" s="778" t="s">
        <v>138</v>
      </c>
      <c r="B9" s="779"/>
      <c r="C9" s="779"/>
      <c r="D9" s="779"/>
      <c r="E9" s="780"/>
      <c r="F9" s="777" t="s">
        <v>853</v>
      </c>
      <c r="G9" s="782"/>
      <c r="H9" s="771"/>
      <c r="I9" s="771"/>
      <c r="J9" s="781"/>
      <c r="K9" s="765">
        <v>6028</v>
      </c>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100118</v>
      </c>
      <c r="I12" s="1758">
        <f>SUM(I5:I11)</f>
        <v>0</v>
      </c>
      <c r="J12" s="1758">
        <f>SUM(J5:J11)</f>
        <v>318719</v>
      </c>
      <c r="K12" s="1758">
        <f>SUM(K5:K11)</f>
        <v>7978</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v>100118</v>
      </c>
      <c r="I14" s="771"/>
      <c r="J14" s="773"/>
      <c r="K14" s="765">
        <v>7978</v>
      </c>
    </row>
    <row r="15" spans="1:11" x14ac:dyDescent="0.2">
      <c r="A15" s="2216" t="s">
        <v>4</v>
      </c>
      <c r="B15" s="2216"/>
      <c r="C15" s="2216"/>
      <c r="D15" s="2216"/>
      <c r="E15" s="2244"/>
      <c r="F15" s="789" t="s">
        <v>855</v>
      </c>
      <c r="G15" s="771"/>
      <c r="H15" s="764"/>
      <c r="I15" s="764"/>
      <c r="J15" s="765">
        <v>43425</v>
      </c>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100118</v>
      </c>
      <c r="I23" s="1758">
        <f>SUM(I14:I16,I21,I22)</f>
        <v>0</v>
      </c>
      <c r="J23" s="1758">
        <f>SUM(J14:J16,J21,J22)</f>
        <v>43425</v>
      </c>
      <c r="K23" s="1758">
        <f>SUM(K14:K16,K21,K22)</f>
        <v>7978</v>
      </c>
    </row>
    <row r="24" spans="1:11" ht="14.25" thickTop="1" thickBot="1" x14ac:dyDescent="0.25">
      <c r="A24" s="2237" t="s">
        <v>1965</v>
      </c>
      <c r="B24" s="2236"/>
      <c r="C24" s="2236"/>
      <c r="D24" s="2236"/>
      <c r="E24" s="2236"/>
      <c r="F24" s="1762"/>
      <c r="G24" s="1763">
        <f>SUM(G3,G12)-G23</f>
        <v>0</v>
      </c>
      <c r="H24" s="1763">
        <f>SUM(H3,H12)-H23</f>
        <v>0</v>
      </c>
      <c r="I24" s="1763">
        <f>SUM(I3,I12)-I23</f>
        <v>0</v>
      </c>
      <c r="J24" s="1763">
        <f>SUM(J3,J12)-J23</f>
        <v>958871</v>
      </c>
      <c r="K24" s="1763">
        <f>SUM(K3,K12)-K23</f>
        <v>0</v>
      </c>
    </row>
    <row r="25" spans="1:11" ht="13.5" thickTop="1" x14ac:dyDescent="0.2">
      <c r="A25" s="798" t="s">
        <v>420</v>
      </c>
      <c r="B25" s="799"/>
      <c r="C25" s="799"/>
      <c r="D25" s="799"/>
      <c r="E25" s="800"/>
      <c r="F25" s="801">
        <v>714</v>
      </c>
      <c r="G25" s="802"/>
      <c r="H25" s="802"/>
      <c r="I25" s="802"/>
      <c r="J25" s="797">
        <v>958871</v>
      </c>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colorId="8" zoomScale="110" zoomScaleNormal="110" workbookViewId="0">
      <selection activeCell="N16" sqref="N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1909</v>
      </c>
      <c r="B1" s="2256"/>
      <c r="C1" s="2257"/>
      <c r="D1" s="826"/>
      <c r="E1" s="827"/>
      <c r="F1" s="827"/>
      <c r="G1" s="828"/>
      <c r="H1" s="829"/>
      <c r="I1" s="830"/>
      <c r="J1" s="2253"/>
      <c r="K1" s="2254"/>
      <c r="L1" s="2254"/>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110000</v>
      </c>
      <c r="D5" s="841"/>
      <c r="E5" s="841"/>
      <c r="F5" s="1760">
        <f>(C5+D5)-E5</f>
        <v>110000</v>
      </c>
      <c r="G5" s="837"/>
      <c r="H5" s="842"/>
      <c r="I5" s="842"/>
      <c r="J5" s="842"/>
      <c r="K5" s="793"/>
      <c r="L5" s="1769">
        <f>F5-K5</f>
        <v>110000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9595999</v>
      </c>
      <c r="D8" s="844">
        <v>22750</v>
      </c>
      <c r="E8" s="844"/>
      <c r="F8" s="1760">
        <f>(C8+D8)-E8</f>
        <v>9618749</v>
      </c>
      <c r="G8" s="843">
        <v>50</v>
      </c>
      <c r="H8" s="765">
        <v>2554516</v>
      </c>
      <c r="I8" s="765">
        <v>192303</v>
      </c>
      <c r="J8" s="765"/>
      <c r="K8" s="1769">
        <f>(H8+I8)-J8</f>
        <v>2746819</v>
      </c>
      <c r="L8" s="1769">
        <f>F8-K8</f>
        <v>6871930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1660843</v>
      </c>
      <c r="D10" s="846"/>
      <c r="E10" s="846"/>
      <c r="F10" s="1764">
        <f>(C10+D10)-E10</f>
        <v>1660843</v>
      </c>
      <c r="G10" s="843">
        <v>20</v>
      </c>
      <c r="H10" s="847">
        <v>1178807</v>
      </c>
      <c r="I10" s="847">
        <v>83043</v>
      </c>
      <c r="J10" s="847"/>
      <c r="K10" s="1769">
        <f>(H10+I10)-J10</f>
        <v>1261850</v>
      </c>
      <c r="L10" s="1769">
        <f>F10-K10</f>
        <v>398993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905407</v>
      </c>
      <c r="D12" s="844">
        <v>85435</v>
      </c>
      <c r="E12" s="844">
        <v>117392</v>
      </c>
      <c r="F12" s="1760">
        <f>(C12+D12)-E12</f>
        <v>873450</v>
      </c>
      <c r="G12" s="843">
        <v>10</v>
      </c>
      <c r="H12" s="765">
        <v>511950</v>
      </c>
      <c r="I12" s="765">
        <v>83565</v>
      </c>
      <c r="J12" s="765">
        <v>117392</v>
      </c>
      <c r="K12" s="1769">
        <f>(H12+I12)-J12</f>
        <v>478123</v>
      </c>
      <c r="L12" s="1769">
        <f>F12-K12</f>
        <v>395327</v>
      </c>
    </row>
    <row r="13" spans="1:14" ht="14.25" thickTop="1" thickBot="1" x14ac:dyDescent="0.25">
      <c r="A13" s="848" t="s">
        <v>1122</v>
      </c>
      <c r="B13" s="840">
        <v>252</v>
      </c>
      <c r="C13" s="844">
        <v>679523</v>
      </c>
      <c r="D13" s="844">
        <v>176210</v>
      </c>
      <c r="E13" s="844">
        <v>173283</v>
      </c>
      <c r="F13" s="1760">
        <f>(C13+D13)-E13</f>
        <v>682450</v>
      </c>
      <c r="G13" s="843">
        <v>5</v>
      </c>
      <c r="H13" s="765">
        <v>491725</v>
      </c>
      <c r="I13" s="765">
        <v>98048</v>
      </c>
      <c r="J13" s="765">
        <v>173283</v>
      </c>
      <c r="K13" s="1769">
        <f>(H13+I13)-J13</f>
        <v>416490</v>
      </c>
      <c r="L13" s="1769">
        <f>F13-K13</f>
        <v>265960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12951772</v>
      </c>
      <c r="D16" s="1760">
        <f>SUM(D3,D5:D6,D8:D10,D12:D15)</f>
        <v>284395</v>
      </c>
      <c r="E16" s="1760">
        <f>SUM(E3,E5:E6,E8:E10,E12:E15)</f>
        <v>290675</v>
      </c>
      <c r="F16" s="1760">
        <f>SUM(F3,F5:F6,F8:F10,F12:F15)</f>
        <v>12945492</v>
      </c>
      <c r="G16" s="843"/>
      <c r="H16" s="1760">
        <f>SUM(H3,H6,H8:H10,H12:H14,)</f>
        <v>4736998</v>
      </c>
      <c r="I16" s="1760">
        <f>SUM(I3,I6,I8:I10,I12:I14,)</f>
        <v>456959</v>
      </c>
      <c r="J16" s="1760">
        <f>SUM(J3,J6,J8:J10,J12:J14,)</f>
        <v>290675</v>
      </c>
      <c r="K16" s="1760">
        <f>(H16+I16)-J16</f>
        <v>4903282</v>
      </c>
      <c r="L16" s="1760">
        <f>F16-K16</f>
        <v>8042210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456959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H202"/>
  <sheetViews>
    <sheetView showGridLines="0" defaultGridColor="0" colorId="8" zoomScale="110" zoomScaleNormal="110" workbookViewId="0">
      <pane ySplit="5" topLeftCell="A6"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1975</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6342026</v>
      </c>
      <c r="G8" s="865"/>
    </row>
    <row r="9" spans="1:7" x14ac:dyDescent="0.2">
      <c r="A9" s="869" t="s">
        <v>460</v>
      </c>
      <c r="B9" s="870" t="s">
        <v>1877</v>
      </c>
      <c r="C9" s="871"/>
      <c r="D9" s="869" t="s">
        <v>501</v>
      </c>
      <c r="E9" s="868"/>
      <c r="F9" s="1909">
        <f>'Expenditures 15-22'!K151</f>
        <v>661592</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463149</v>
      </c>
      <c r="G11" s="872"/>
    </row>
    <row r="12" spans="1:7" x14ac:dyDescent="0.2">
      <c r="A12" s="869" t="s">
        <v>462</v>
      </c>
      <c r="B12" s="870" t="s">
        <v>1880</v>
      </c>
      <c r="C12" s="871"/>
      <c r="D12" s="869" t="s">
        <v>501</v>
      </c>
      <c r="E12" s="868"/>
      <c r="F12" s="1909">
        <f>'Expenditures 15-22'!K295</f>
        <v>259618</v>
      </c>
      <c r="G12" s="872"/>
    </row>
    <row r="13" spans="1:7" x14ac:dyDescent="0.2">
      <c r="A13" s="869" t="s">
        <v>106</v>
      </c>
      <c r="B13" s="870" t="s">
        <v>1881</v>
      </c>
      <c r="C13" s="871"/>
      <c r="D13" s="869" t="s">
        <v>501</v>
      </c>
      <c r="E13" s="868"/>
      <c r="F13" s="1909">
        <f>'Expenditures 15-22'!K342</f>
        <v>76700</v>
      </c>
      <c r="G13" s="873"/>
    </row>
    <row r="14" spans="1:7" ht="12" customHeight="1" thickBot="1" x14ac:dyDescent="0.25">
      <c r="A14" s="1770"/>
      <c r="B14" s="1771"/>
      <c r="C14" s="1772"/>
      <c r="D14" s="1773" t="s">
        <v>501</v>
      </c>
      <c r="E14" s="1774" t="s">
        <v>958</v>
      </c>
      <c r="F14" s="1775">
        <f>SUM(F8:F13)</f>
        <v>7803085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117845</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51545</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3897</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42933</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760</v>
      </c>
      <c r="G52" s="865"/>
    </row>
    <row r="53" spans="1:7" x14ac:dyDescent="0.2">
      <c r="A53" s="869" t="s">
        <v>459</v>
      </c>
      <c r="B53" s="869" t="s">
        <v>1475</v>
      </c>
      <c r="C53" s="889">
        <f>'Expenditures 15-22'!B102</f>
        <v>4000</v>
      </c>
      <c r="D53" s="888" t="str">
        <f>'Expenditures 15-22'!A102</f>
        <v>Total Payments to Other Govt Units</v>
      </c>
      <c r="E53" s="868"/>
      <c r="F53" s="1913">
        <f>'Expenditures 15-22'!K102</f>
        <v>305718</v>
      </c>
      <c r="G53" s="865"/>
    </row>
    <row r="54" spans="1:7" x14ac:dyDescent="0.2">
      <c r="A54" s="869" t="s">
        <v>459</v>
      </c>
      <c r="B54" s="869" t="s">
        <v>1476</v>
      </c>
      <c r="C54" s="889" t="s">
        <v>982</v>
      </c>
      <c r="D54" s="885" t="s">
        <v>1095</v>
      </c>
      <c r="E54" s="868"/>
      <c r="F54" s="1913">
        <f>'Expenditures 15-22'!G114</f>
        <v>31589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27991</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179110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4885</v>
      </c>
      <c r="G67" s="865"/>
    </row>
    <row r="68" spans="1:8" x14ac:dyDescent="0.2">
      <c r="A68" s="869" t="s">
        <v>462</v>
      </c>
      <c r="B68" s="869" t="s">
        <v>1479</v>
      </c>
      <c r="C68" s="886" t="str">
        <f>'Expenditures 15-22'!B218</f>
        <v>1225</v>
      </c>
      <c r="D68" s="892" t="str">
        <f>'Expenditures 15-22'!A218</f>
        <v>Special Education Programs - Pre-K</v>
      </c>
      <c r="E68" s="868"/>
      <c r="F68" s="1913">
        <f>'Expenditures 15-22'!K218</f>
        <v>3770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46</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770089</v>
      </c>
      <c r="G76" s="865"/>
    </row>
    <row r="77" spans="1:8" s="893" customFormat="1" ht="12" customHeight="1" thickTop="1" thickBot="1" x14ac:dyDescent="0.25">
      <c r="A77" s="1779"/>
      <c r="B77" s="1776"/>
      <c r="C77" s="1772"/>
      <c r="D77" s="1777" t="s">
        <v>1900</v>
      </c>
      <c r="E77" s="1774"/>
      <c r="F77" s="1780">
        <f>(F14-F76)</f>
        <v>7032996</v>
      </c>
      <c r="G77" s="869"/>
    </row>
    <row r="78" spans="1:8" s="893" customFormat="1" ht="12" customHeight="1" thickTop="1" x14ac:dyDescent="0.2">
      <c r="A78" s="1781"/>
      <c r="B78" s="1776"/>
      <c r="C78" s="1772"/>
      <c r="D78" s="1777" t="s">
        <v>2062</v>
      </c>
      <c r="E78" s="1774"/>
      <c r="F78" s="898">
        <v>405.5</v>
      </c>
      <c r="G78" s="899"/>
      <c r="H78" s="869"/>
    </row>
    <row r="79" spans="1:8" s="893" customFormat="1" ht="12" customHeight="1" thickBot="1" x14ac:dyDescent="0.25">
      <c r="A79" s="1782"/>
      <c r="B79" s="1776"/>
      <c r="C79" s="1772"/>
      <c r="D79" s="1777" t="s">
        <v>1901</v>
      </c>
      <c r="E79" s="1774" t="s">
        <v>958</v>
      </c>
      <c r="F79" s="1783">
        <f>IF(F78&gt;0,F77/F78," Complete Line 78")</f>
        <v>17344.00986436498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136652</v>
      </c>
      <c r="G94" s="912"/>
    </row>
    <row r="95" spans="1:7" x14ac:dyDescent="0.2">
      <c r="A95" s="908" t="s">
        <v>140</v>
      </c>
      <c r="B95" s="908" t="s">
        <v>175</v>
      </c>
      <c r="C95" s="910">
        <v>1700</v>
      </c>
      <c r="D95" s="918" t="str">
        <f>'Revenues 9-14'!A82</f>
        <v>Total District/School Activity Income</v>
      </c>
      <c r="E95" s="906"/>
      <c r="F95" s="1789">
        <f>SUM('Revenues 9-14'!C82,'Revenues 9-14'!D82)</f>
        <v>20582</v>
      </c>
      <c r="G95" s="912"/>
    </row>
    <row r="96" spans="1:7" x14ac:dyDescent="0.2">
      <c r="A96" s="908" t="s">
        <v>459</v>
      </c>
      <c r="B96" s="908" t="s">
        <v>176</v>
      </c>
      <c r="C96" s="910">
        <f>'Revenues 9-14'!B84</f>
        <v>1811</v>
      </c>
      <c r="D96" s="911" t="str">
        <f>'Revenues 9-14'!A84</f>
        <v>Rentals - Regular Textbooks</v>
      </c>
      <c r="E96" s="906"/>
      <c r="F96" s="1789">
        <f>'Revenues 9-14'!C84</f>
        <v>16980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8572</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7228</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2041</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6028</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123396</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896</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6971</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124145</v>
      </c>
      <c r="G125" s="930"/>
    </row>
    <row r="126" spans="1:7" x14ac:dyDescent="0.2">
      <c r="A126" s="927" t="s">
        <v>668</v>
      </c>
      <c r="B126" s="927" t="s">
        <v>2024</v>
      </c>
      <c r="C126" s="932">
        <v>4300</v>
      </c>
      <c r="D126" s="933" t="str">
        <f>'Revenues 9-14'!A204</f>
        <v>Total Title I</v>
      </c>
      <c r="E126" s="906"/>
      <c r="F126" s="1789">
        <f>SUM('Revenues 9-14'!C204,'Revenues 9-14'!D204,'Revenues 9-14'!F204,'Revenues 9-14'!G204)</f>
        <v>76503</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3800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134328</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113146</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15970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13587</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30291</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1269</v>
      </c>
      <c r="G170" s="927"/>
    </row>
    <row r="171" spans="1:7" x14ac:dyDescent="0.2">
      <c r="A171" s="1918" t="s">
        <v>5</v>
      </c>
      <c r="B171" s="1919" t="s">
        <v>1920</v>
      </c>
      <c r="C171" s="1920">
        <v>3100</v>
      </c>
      <c r="D171" s="1921" t="s">
        <v>1922</v>
      </c>
      <c r="E171" s="906"/>
      <c r="F171" s="1906">
        <v>169244</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1011629</v>
      </c>
    </row>
    <row r="175" spans="1:7" ht="12" customHeight="1" x14ac:dyDescent="0.2">
      <c r="A175" s="1770"/>
      <c r="B175" s="1784"/>
      <c r="C175" s="1785"/>
      <c r="D175" s="1786" t="s">
        <v>2057</v>
      </c>
      <c r="E175" s="1787"/>
      <c r="F175" s="1789">
        <f>'PCTC-OEPP 27-28'!F77-F174</f>
        <v>6021367</v>
      </c>
    </row>
    <row r="176" spans="1:7" ht="12" customHeight="1" x14ac:dyDescent="0.2">
      <c r="A176" s="1770"/>
      <c r="B176" s="1784"/>
      <c r="C176" s="1785"/>
      <c r="D176" s="1786" t="s">
        <v>1817</v>
      </c>
      <c r="E176" s="1787"/>
      <c r="F176" s="1789">
        <f>'Cap Outlay Deprec 26'!I18</f>
        <v>456959</v>
      </c>
    </row>
    <row r="177" spans="1:7" ht="12" customHeight="1" x14ac:dyDescent="0.2">
      <c r="A177" s="1770"/>
      <c r="B177" s="1784"/>
      <c r="C177" s="1785"/>
      <c r="D177" s="1786" t="s">
        <v>2058</v>
      </c>
      <c r="E177" s="1787"/>
      <c r="F177" s="1789">
        <f>F175+F176</f>
        <v>6478326</v>
      </c>
    </row>
    <row r="178" spans="1:7" ht="12" customHeight="1" x14ac:dyDescent="0.2">
      <c r="A178" s="1770"/>
      <c r="B178" s="1790"/>
      <c r="C178" s="1785"/>
      <c r="D178" s="1786" t="str">
        <f>D78</f>
        <v>9 Month ADA from District Average Daily Attendance/Prior General State Aid Inquiry 2018-2019</v>
      </c>
      <c r="E178" s="1787"/>
      <c r="F178" s="1791">
        <f>'PCTC-OEPP 27-28'!F78</f>
        <v>405.5</v>
      </c>
      <c r="G178" s="930"/>
    </row>
    <row r="179" spans="1:7" ht="12" customHeight="1" thickBot="1" x14ac:dyDescent="0.25">
      <c r="A179" s="1770"/>
      <c r="B179" s="1790"/>
      <c r="C179" s="1785"/>
      <c r="D179" s="1786" t="s">
        <v>2059</v>
      </c>
      <c r="E179" s="1787" t="s">
        <v>1545</v>
      </c>
      <c r="F179" s="1792">
        <f>F177/F178</f>
        <v>15976.143033292232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H141"/>
  <sheetViews>
    <sheetView showGridLines="0" topLeftCell="A10" zoomScaleNormal="100" workbookViewId="0">
      <selection activeCell="D17" sqref="D17"/>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534" t="s">
        <v>1819</v>
      </c>
      <c r="B6" s="1535"/>
      <c r="C6" s="1535"/>
      <c r="D6" s="1535"/>
      <c r="E6" s="1535"/>
      <c r="F6" s="1535"/>
      <c r="G6" s="1536"/>
    </row>
    <row r="7" spans="1:7" ht="30.75" customHeight="1" x14ac:dyDescent="0.25">
      <c r="A7" s="2278" t="s">
        <v>1932</v>
      </c>
      <c r="B7" s="2279"/>
      <c r="C7" s="2279"/>
      <c r="D7" s="2279"/>
      <c r="E7" s="2279"/>
      <c r="F7" s="2279"/>
      <c r="G7" s="2280"/>
    </row>
    <row r="8" spans="1:7" ht="15.75" customHeight="1" x14ac:dyDescent="0.25">
      <c r="A8" s="2281" t="s">
        <v>1907</v>
      </c>
      <c r="B8" s="2282"/>
      <c r="C8" s="2282"/>
      <c r="D8" s="2282"/>
      <c r="E8" s="2282"/>
      <c r="F8" s="2282"/>
      <c r="G8" s="2283"/>
    </row>
    <row r="9" spans="1:7" ht="35.25" customHeight="1" x14ac:dyDescent="0.25">
      <c r="A9" s="2278" t="s">
        <v>1935</v>
      </c>
      <c r="B9" s="2279"/>
      <c r="C9" s="2279"/>
      <c r="D9" s="2279"/>
      <c r="E9" s="2279"/>
      <c r="F9" s="2279"/>
      <c r="G9" s="2280"/>
    </row>
    <row r="10" spans="1:7" ht="15" customHeight="1" x14ac:dyDescent="0.25">
      <c r="A10" s="1537" t="s">
        <v>1820</v>
      </c>
      <c r="B10" s="1538"/>
      <c r="C10" s="1538"/>
      <c r="D10" s="1538"/>
      <c r="E10" s="1538"/>
      <c r="F10" s="1538"/>
      <c r="G10" s="1539"/>
    </row>
    <row r="11" spans="1:7" ht="17.25" customHeight="1" x14ac:dyDescent="0.25">
      <c r="A11" s="2278" t="s">
        <v>1934</v>
      </c>
      <c r="B11" s="2279"/>
      <c r="C11" s="2279"/>
      <c r="D11" s="2279"/>
      <c r="E11" s="2279"/>
      <c r="F11" s="2279"/>
      <c r="G11" s="2280"/>
    </row>
    <row r="12" spans="1:7" ht="15" customHeight="1" x14ac:dyDescent="0.25">
      <c r="A12" s="1537" t="s">
        <v>1825</v>
      </c>
      <c r="B12" s="1538"/>
      <c r="C12" s="1538"/>
      <c r="D12" s="1538"/>
      <c r="E12" s="1538"/>
      <c r="F12" s="1538"/>
      <c r="G12" s="1539"/>
    </row>
    <row r="13" spans="1:7" ht="32.25" customHeight="1" x14ac:dyDescent="0.25">
      <c r="A13" s="2269" t="s">
        <v>1976</v>
      </c>
      <c r="B13" s="2270"/>
      <c r="C13" s="2270"/>
      <c r="D13" s="2270"/>
      <c r="E13" s="2270"/>
      <c r="F13" s="2270"/>
      <c r="G13" s="2271"/>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2081</v>
      </c>
      <c r="B17" s="1938" t="s">
        <v>1824</v>
      </c>
      <c r="C17" s="1939" t="s">
        <v>2082</v>
      </c>
      <c r="D17" s="1844">
        <v>41185</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16185</v>
      </c>
      <c r="H17" s="1647"/>
    </row>
    <row r="18" spans="1:8" x14ac:dyDescent="0.25">
      <c r="A18" s="1937" t="s">
        <v>2083</v>
      </c>
      <c r="B18" s="1938" t="s">
        <v>2084</v>
      </c>
      <c r="C18" s="1939" t="s">
        <v>2082</v>
      </c>
      <c r="D18" s="1844">
        <v>148447</v>
      </c>
      <c r="E18" s="1540">
        <f t="shared" ref="E18:E140" si="2">IF(D18&lt;=25000,D18,IF(D18&gt;25000,25000,0))</f>
        <v>25000</v>
      </c>
      <c r="F18" s="1932">
        <f t="shared" si="1"/>
        <v>25000</v>
      </c>
      <c r="G18" s="1793">
        <f t="shared" ref="G18:G140" si="3">IF(F18=0,0,D18-F18)</f>
        <v>123447</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189632</v>
      </c>
      <c r="E141" s="1541">
        <f t="shared" si="0"/>
        <v>25000</v>
      </c>
      <c r="F141" s="1933">
        <f>SUM(F17:F140)</f>
        <v>50000</v>
      </c>
      <c r="G141" s="1795">
        <f>SUM(G17:G140)</f>
        <v>139632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124146</v>
      </c>
      <c r="F10" s="974"/>
      <c r="G10" s="975"/>
      <c r="H10" s="162"/>
      <c r="I10" s="162"/>
    </row>
    <row r="11" spans="1:9" s="668" customFormat="1" ht="22.5" customHeight="1" x14ac:dyDescent="0.2">
      <c r="A11" s="2289" t="s">
        <v>1977</v>
      </c>
      <c r="B11" s="2290"/>
      <c r="C11" s="2290"/>
      <c r="D11" s="2291"/>
      <c r="E11" s="977">
        <v>22136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4582356</v>
      </c>
      <c r="F19" s="1799"/>
      <c r="G19" s="1801">
        <f>'Expenditures 15-22'!K33-SUM('Expenditures 15-22'!G33,'Expenditures 15-22'!I33)+'Expenditures 15-22'!D229</f>
        <v>4582356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343012</v>
      </c>
      <c r="F21" s="1802"/>
      <c r="G21" s="1805">
        <f>'Expenditures 15-22'!K42-SUM('Expenditures 15-22'!G42,'Expenditures 15-22'!I42)+'Expenditures 15-22'!K120-SUM('Expenditures 15-22'!G120,'Expenditures 15-22'!I120)+'Expenditures 15-22'!K180-SUM('Expenditures 15-22'!G180,'Expenditures 15-22'!I180)+'Expenditures 15-22'!D238</f>
        <v>343012</v>
      </c>
      <c r="H21" s="987"/>
      <c r="I21" s="162"/>
    </row>
    <row r="22" spans="1:9" s="668" customFormat="1" ht="12" customHeight="1" x14ac:dyDescent="0.2">
      <c r="A22" s="994" t="s">
        <v>564</v>
      </c>
      <c r="B22" s="995"/>
      <c r="C22" s="993">
        <v>2200</v>
      </c>
      <c r="D22" s="1802"/>
      <c r="E22" s="1804">
        <f>'Expenditures 15-22'!K47-SUM('Expenditures 15-22'!G47,'Expenditures 15-22'!I47)+'Expenditures 15-22'!D243</f>
        <v>218995</v>
      </c>
      <c r="F22" s="1802"/>
      <c r="G22" s="1805">
        <f>'Expenditures 15-22'!K47-SUM('Expenditures 15-22'!G47,'Expenditures 15-22'!I47)+'Expenditures 15-22'!D243</f>
        <v>218995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295008</v>
      </c>
      <c r="F23" s="1802"/>
      <c r="G23" s="1804">
        <f>'Expenditures 15-22'!K53-SUM('Expenditures 15-22'!G53,'Expenditures 15-22'!I53)+'Expenditures 15-22'!D257+'Expenditures 15-22'!K330-SUM('Expenditures 15-22'!G330,'Expenditures 15-22'!I330)</f>
        <v>295008</v>
      </c>
      <c r="H23" s="987"/>
      <c r="I23" s="162"/>
    </row>
    <row r="24" spans="1:9" s="668" customFormat="1" ht="12" customHeight="1" x14ac:dyDescent="0.2">
      <c r="A24" s="994" t="s">
        <v>566</v>
      </c>
      <c r="B24" s="995"/>
      <c r="C24" s="993">
        <v>2400</v>
      </c>
      <c r="D24" s="1802"/>
      <c r="E24" s="1804">
        <f>'Expenditures 15-22'!K57-SUM('Expenditures 15-22'!G57,'Expenditures 15-22'!I57)+'Expenditures 15-22'!D261</f>
        <v>338798</v>
      </c>
      <c r="F24" s="1802"/>
      <c r="G24" s="1805">
        <f>'Expenditures 15-22'!K57-SUM('Expenditures 15-22'!G57,'Expenditures 15-22'!I57)+'Expenditures 15-22'!D261</f>
        <v>338798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85880</v>
      </c>
      <c r="E27" s="1804">
        <f>E8</f>
        <v>0</v>
      </c>
      <c r="F27" s="1804">
        <f>'Expenditures 15-22'!K60-SUM('Expenditures 15-22'!G60,'Expenditures 15-22'!I60)+'Expenditures 15-22'!D264-E8</f>
        <v>85880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676308</v>
      </c>
      <c r="F28" s="1806">
        <f>'Expenditures 15-22'!K61-SUM('Expenditures 15-22'!G61,'Expenditures 15-22'!I61)+'Expenditures 15-22'!K124-SUM('Expenditures 15-22'!G124,'Expenditures 15-22'!I124)+'Expenditures 15-22'!D266-E9</f>
        <v>676308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312079</v>
      </c>
      <c r="F29" s="1802"/>
      <c r="G29" s="1805">
        <f>'Expenditures 15-22'!K62-SUM('Expenditures 15-22'!G62,'Expenditures 15-22'!I62)+'Expenditures 15-22'!K125-SUM('Expenditures 15-22'!G125,'Expenditures 15-22'!I125)+'Expenditures 15-22'!K182-SUM('Expenditures 15-22'!G182,'Expenditures 15-22'!I182)+'Expenditures 15-22'!D267</f>
        <v>312079</v>
      </c>
      <c r="H29" s="985"/>
    </row>
    <row r="30" spans="1:9" ht="12" customHeight="1" x14ac:dyDescent="0.2">
      <c r="A30" s="994" t="s">
        <v>100</v>
      </c>
      <c r="B30" s="997"/>
      <c r="C30" s="993">
        <v>2560</v>
      </c>
      <c r="D30" s="1802"/>
      <c r="E30" s="1804">
        <f>'Expenditures 15-22'!K63-SUM('Expenditures 15-22'!G63,'Expenditures 15-22'!I63)+'Expenditures 15-22'!D268-E10</f>
        <v>121836</v>
      </c>
      <c r="F30" s="1802"/>
      <c r="G30" s="1804">
        <f>'Expenditures 15-22'!K63-SUM('Expenditures 15-22'!G63,'Expenditures 15-22'!I63)+'Expenditures 15-22'!D268-E10</f>
        <v>121836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572</v>
      </c>
      <c r="E36" s="1804">
        <f>E13</f>
        <v>0</v>
      </c>
      <c r="F36" s="1804">
        <f>'Expenditures 15-22'!K70-SUM('Expenditures 15-22'!G70,'Expenditures 15-22'!I70)+'Expenditures 15-22'!D275-E13</f>
        <v>572</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158927</v>
      </c>
      <c r="F38" s="1802"/>
      <c r="G38" s="1804">
        <f>'Expenditures 15-22'!K73-SUM('Expenditures 15-22'!G73,'Expenditures 15-22'!I73)+'Expenditures 15-22'!K128-SUM('Expenditures 15-22'!G128,'Expenditures 15-22'!I128)+'Expenditures 15-22'!K183-SUM('Expenditures 15-22'!G183,'Expenditures 15-22'!I183)+'Expenditures 15-22'!D278</f>
        <v>158927</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760</v>
      </c>
      <c r="F39" s="1802"/>
      <c r="G39" s="1804">
        <f>'Expenditures 15-22'!K75-SUM('Expenditures 15-22'!G75,'Expenditures 15-22'!I75)+'Expenditures 15-22'!K130-SUM('Expenditures 15-22'!G130,'Expenditures 15-22'!I130)+'Expenditures 15-22'!K185-SUM('Expenditures 15-22'!G185,'Expenditures 15-22'!I185)+'Expenditures 15-22'!D280</f>
        <v>760</v>
      </c>
    </row>
    <row r="40" spans="1:7" ht="12" customHeight="1" x14ac:dyDescent="0.2">
      <c r="A40" s="990" t="s">
        <v>1823</v>
      </c>
      <c r="B40" s="991"/>
      <c r="C40" s="993"/>
      <c r="D40" s="1802"/>
      <c r="E40" s="1806">
        <f>-'Contracts Paid in CY 29'!G141</f>
        <v>-139632</v>
      </c>
      <c r="F40" s="1802"/>
      <c r="G40" s="1806">
        <f>-'Contracts Paid in CY 29'!G141</f>
        <v>-139632</v>
      </c>
    </row>
    <row r="41" spans="1:7" ht="12" customHeight="1" x14ac:dyDescent="0.2">
      <c r="A41" s="998" t="s">
        <v>156</v>
      </c>
      <c r="B41" s="999"/>
      <c r="C41" s="1000"/>
      <c r="D41" s="1806">
        <f>SUM(D19:D39)</f>
        <v>86452</v>
      </c>
      <c r="E41" s="1806">
        <f>SUM(E19:E40)</f>
        <v>6908447</v>
      </c>
      <c r="F41" s="1806">
        <f>SUM(F19:F39)</f>
        <v>762760</v>
      </c>
      <c r="G41" s="1806">
        <f>SUM(G19:G40)</f>
        <v>6232139</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86452</v>
      </c>
      <c r="F43" s="1807" t="s">
        <v>473</v>
      </c>
      <c r="G43" s="1808">
        <f>F41</f>
        <v>762760</v>
      </c>
    </row>
    <row r="44" spans="1:7" ht="12" customHeight="1" x14ac:dyDescent="0.2">
      <c r="A44" s="987"/>
      <c r="B44" s="162"/>
      <c r="C44" s="1001"/>
      <c r="D44" s="1807" t="s">
        <v>474</v>
      </c>
      <c r="E44" s="1808">
        <f>E41</f>
        <v>6908447</v>
      </c>
      <c r="F44" s="1807" t="s">
        <v>474</v>
      </c>
      <c r="G44" s="1808">
        <f>G41</f>
        <v>6232139</v>
      </c>
    </row>
    <row r="45" spans="1:7" ht="12" customHeight="1" x14ac:dyDescent="0.2">
      <c r="A45" s="987"/>
      <c r="B45" s="162"/>
      <c r="C45" s="162"/>
      <c r="D45" s="1809" t="s">
        <v>1006</v>
      </c>
      <c r="E45" s="1810">
        <f>(E43/E44)</f>
        <v>1.251395574142785E-2</v>
      </c>
      <c r="F45" s="1809" t="s">
        <v>1006</v>
      </c>
      <c r="G45" s="1810">
        <f>(G43/G44)</f>
        <v>0.12239136514766438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L97"/>
  <sheetViews>
    <sheetView showGridLines="0" zoomScale="110" zoomScaleNormal="110" workbookViewId="0">
      <pane ySplit="4" topLeftCell="A5" activePane="bottomLeft" state="frozen"/>
      <selection activeCell="A47" sqref="A47"/>
      <selection pane="bottomLeft" activeCell="A43" sqref="A43:F4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River Ridge CUSD 210</v>
      </c>
      <c r="D6" s="2299"/>
      <c r="E6" s="2299"/>
      <c r="F6" s="1852"/>
    </row>
    <row r="7" spans="1:10" ht="11.25" customHeight="1" thickBot="1" x14ac:dyDescent="0.3">
      <c r="A7" s="1850"/>
      <c r="B7" s="1851"/>
      <c r="C7" s="2300">
        <f>COVER!A13</f>
        <v>8043210026</v>
      </c>
      <c r="D7" s="2300"/>
      <c r="E7" s="2300"/>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t="s">
        <v>2076</v>
      </c>
      <c r="D23" s="1865" t="s">
        <v>2076</v>
      </c>
      <c r="E23" s="1868" t="s">
        <v>2076</v>
      </c>
      <c r="F23" s="1867" t="s">
        <v>2080</v>
      </c>
      <c r="H23" s="1878">
        <f t="shared" si="0"/>
        <v>5</v>
      </c>
      <c r="I23" s="1878">
        <f t="shared" si="1"/>
        <v>5</v>
      </c>
      <c r="J23" s="1878">
        <f t="shared" si="2"/>
        <v>5</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2076</v>
      </c>
      <c r="D26" s="1865" t="s">
        <v>2076</v>
      </c>
      <c r="E26" s="1868" t="s">
        <v>2076</v>
      </c>
      <c r="F26" s="1867" t="s">
        <v>2079</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2076</v>
      </c>
      <c r="D31" s="1865" t="s">
        <v>2076</v>
      </c>
      <c r="E31" s="1868" t="s">
        <v>2076</v>
      </c>
      <c r="F31" s="1867" t="s">
        <v>2078</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2076</v>
      </c>
      <c r="D33" s="1865" t="s">
        <v>2076</v>
      </c>
      <c r="E33" s="1868" t="s">
        <v>2076</v>
      </c>
      <c r="F33" s="1867" t="s">
        <v>2077</v>
      </c>
      <c r="H33" s="1878">
        <f t="shared" si="0"/>
        <v>5</v>
      </c>
      <c r="I33" s="1878">
        <f t="shared" si="1"/>
        <v>5</v>
      </c>
      <c r="J33" s="1878">
        <f t="shared" si="2"/>
        <v>5</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8" tint="0.59999389629810485"/>
  </sheetPr>
  <dimension ref="A1:Q40"/>
  <sheetViews>
    <sheetView showGridLines="0" defaultGridColor="0" topLeftCell="A22" colorId="8" zoomScale="110" zoomScaleNormal="110" workbookViewId="0">
      <selection activeCell="A39" sqref="A3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River Ridge CUSD 210</v>
      </c>
      <c r="J6" s="2320"/>
      <c r="Q6" s="1664"/>
    </row>
    <row r="7" spans="1:17" x14ac:dyDescent="0.2">
      <c r="A7" s="2321" t="s">
        <v>869</v>
      </c>
      <c r="B7" s="2322"/>
      <c r="C7" s="2322"/>
      <c r="D7" s="2322"/>
      <c r="E7" s="2323"/>
      <c r="F7" s="1017"/>
      <c r="G7" s="1009"/>
      <c r="H7" s="1016" t="s">
        <v>372</v>
      </c>
      <c r="I7" s="2324">
        <f>COVER!A13</f>
        <v>8043210026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154763</v>
      </c>
      <c r="F12" s="1039"/>
      <c r="G12" s="1811">
        <f t="shared" ref="G12:G18" si="0">SUM(E12:F12)</f>
        <v>154763</v>
      </c>
      <c r="H12" s="1040">
        <v>166910</v>
      </c>
      <c r="I12" s="1039"/>
      <c r="J12" s="1811">
        <f t="shared" ref="J12:J18" si="1">SUM(H12:I12)</f>
        <v>166910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15675</v>
      </c>
      <c r="F14" s="1039"/>
      <c r="G14" s="1811">
        <f t="shared" si="0"/>
        <v>15675</v>
      </c>
      <c r="H14" s="1040">
        <v>26500</v>
      </c>
      <c r="I14" s="1039"/>
      <c r="J14" s="1811">
        <f t="shared" si="1"/>
        <v>26500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170438</v>
      </c>
      <c r="F19" s="1813">
        <f t="shared" si="2"/>
        <v>0</v>
      </c>
      <c r="G19" s="1813">
        <f t="shared" si="2"/>
        <v>170438</v>
      </c>
      <c r="H19" s="1813">
        <f t="shared" si="2"/>
        <v>193410</v>
      </c>
      <c r="I19" s="1813">
        <f t="shared" si="2"/>
        <v>0</v>
      </c>
      <c r="J19" s="1813">
        <f t="shared" si="2"/>
        <v>193410</v>
      </c>
    </row>
    <row r="20" spans="1:10" ht="13.5" thickTop="1" x14ac:dyDescent="0.2">
      <c r="A20" s="1035">
        <v>9</v>
      </c>
      <c r="B20" s="2331" t="s">
        <v>1981</v>
      </c>
      <c r="C20" s="2331"/>
      <c r="D20" s="2332"/>
      <c r="E20" s="1046"/>
      <c r="F20" s="1046"/>
      <c r="G20" s="1046"/>
      <c r="H20" s="1046"/>
      <c r="I20" s="1046"/>
      <c r="J20" s="1814">
        <f>IF(AND(G19&gt;0,J19&gt;0),(((J19-G19)/G19)),"Enter Budget Data")</f>
        <v>0.13478214952064679</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1983</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t="s">
        <v>2076</v>
      </c>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3"/>
  <sheetViews>
    <sheetView showGridLines="0" topLeftCell="A4" zoomScale="110" zoomScaleNormal="110" workbookViewId="0">
      <selection activeCell="D22" sqref="D22"/>
    </sheetView>
  </sheetViews>
  <sheetFormatPr defaultRowHeight="12.75" x14ac:dyDescent="0.2"/>
  <cols>
    <col min="1" max="1" width="3" style="329" customWidth="1"/>
    <col min="2" max="5" width="12.7109375" style="329" customWidth="1"/>
    <col min="6" max="6" width="25.7109375" style="329" customWidth="1"/>
    <col min="7" max="7" width="12.7109375" style="329" customWidth="1"/>
    <col min="8" max="16384" width="9.140625" style="329"/>
  </cols>
  <sheetData>
    <row r="2" spans="1:7" x14ac:dyDescent="0.2">
      <c r="A2" s="389" t="s">
        <v>258</v>
      </c>
    </row>
    <row r="3" spans="1:7" x14ac:dyDescent="0.2">
      <c r="A3" s="329" t="s">
        <v>259</v>
      </c>
    </row>
    <row r="5" spans="1:7" x14ac:dyDescent="0.2">
      <c r="A5" s="1068"/>
      <c r="B5" s="1941" t="s">
        <v>2085</v>
      </c>
      <c r="C5" s="1941" t="s">
        <v>2086</v>
      </c>
      <c r="D5" s="1941" t="s">
        <v>1077</v>
      </c>
      <c r="E5" s="1941" t="s">
        <v>2087</v>
      </c>
      <c r="F5" s="1941" t="s">
        <v>481</v>
      </c>
      <c r="G5" s="1941" t="s">
        <v>865</v>
      </c>
    </row>
    <row r="6" spans="1:7" x14ac:dyDescent="0.2">
      <c r="A6" s="1068"/>
      <c r="B6" s="1940"/>
      <c r="C6" s="1940"/>
      <c r="D6" s="1940"/>
      <c r="E6" s="1940"/>
    </row>
    <row r="7" spans="1:7" ht="13.5" thickBot="1" x14ac:dyDescent="0.25">
      <c r="A7" s="1068"/>
      <c r="B7" s="1940">
        <v>1614</v>
      </c>
      <c r="C7" s="1940">
        <v>10</v>
      </c>
      <c r="D7" s="1940">
        <v>10</v>
      </c>
      <c r="E7" s="1940">
        <v>72</v>
      </c>
      <c r="F7" s="329" t="s">
        <v>2089</v>
      </c>
      <c r="G7" s="1942">
        <v>6796</v>
      </c>
    </row>
    <row r="8" spans="1:7" ht="13.5" thickTop="1" x14ac:dyDescent="0.2">
      <c r="A8" s="1068"/>
      <c r="B8" s="1940"/>
      <c r="C8" s="1940"/>
      <c r="D8" s="1940"/>
      <c r="E8" s="1940"/>
    </row>
    <row r="9" spans="1:7" ht="13.5" thickBot="1" x14ac:dyDescent="0.25">
      <c r="A9" s="1069"/>
      <c r="B9" s="1940">
        <v>1690</v>
      </c>
      <c r="C9" s="1940">
        <v>10</v>
      </c>
      <c r="D9" s="1940">
        <v>10</v>
      </c>
      <c r="E9" s="1940">
        <v>74</v>
      </c>
      <c r="F9" s="329" t="s">
        <v>1063</v>
      </c>
      <c r="G9" s="1942">
        <v>23621</v>
      </c>
    </row>
    <row r="10" spans="1:7" ht="13.5" thickTop="1" x14ac:dyDescent="0.2">
      <c r="A10" s="1069"/>
      <c r="B10" s="1940"/>
      <c r="C10" s="1940"/>
      <c r="D10" s="1940"/>
      <c r="E10" s="1940"/>
    </row>
    <row r="11" spans="1:7" ht="13.5" thickBot="1" x14ac:dyDescent="0.25">
      <c r="A11" s="1069"/>
      <c r="B11" s="1940">
        <v>1999</v>
      </c>
      <c r="C11" s="1940">
        <v>10</v>
      </c>
      <c r="D11" s="1940">
        <v>10</v>
      </c>
      <c r="E11" s="1940">
        <v>107</v>
      </c>
      <c r="F11" s="329" t="s">
        <v>2088</v>
      </c>
      <c r="G11" s="1942">
        <v>4179</v>
      </c>
    </row>
    <row r="12" spans="1:7" ht="13.5" thickTop="1" x14ac:dyDescent="0.2">
      <c r="A12" s="1069"/>
      <c r="B12" s="1940"/>
      <c r="C12" s="1940"/>
      <c r="D12" s="1940"/>
      <c r="E12" s="1940"/>
    </row>
    <row r="13" spans="1:7" ht="13.5" thickBot="1" x14ac:dyDescent="0.25">
      <c r="A13" s="1069"/>
      <c r="B13" s="1940">
        <v>3999</v>
      </c>
      <c r="C13" s="1940">
        <v>12</v>
      </c>
      <c r="D13" s="1940">
        <v>10</v>
      </c>
      <c r="E13" s="1940">
        <v>168</v>
      </c>
      <c r="F13" s="329" t="s">
        <v>2090</v>
      </c>
      <c r="G13" s="1942">
        <v>896</v>
      </c>
    </row>
    <row r="14" spans="1:7" ht="13.5" thickTop="1" x14ac:dyDescent="0.2">
      <c r="A14" s="1069"/>
      <c r="B14" s="1940"/>
      <c r="C14" s="1940"/>
      <c r="D14" s="1940"/>
      <c r="E14" s="1940"/>
    </row>
    <row r="15" spans="1:7" ht="13.5" thickBot="1" x14ac:dyDescent="0.25">
      <c r="A15" s="1069"/>
      <c r="B15" s="1940">
        <v>4090</v>
      </c>
      <c r="C15" s="1940">
        <v>12</v>
      </c>
      <c r="D15" s="1940">
        <v>10</v>
      </c>
      <c r="E15" s="1940">
        <v>180</v>
      </c>
      <c r="F15" s="329" t="s">
        <v>2091</v>
      </c>
      <c r="G15" s="1942">
        <v>6971</v>
      </c>
    </row>
    <row r="16" spans="1:7" ht="13.5" thickTop="1" x14ac:dyDescent="0.2">
      <c r="A16" s="1069"/>
      <c r="B16" s="1940"/>
      <c r="C16" s="1940"/>
      <c r="D16" s="1940"/>
      <c r="E16" s="1940"/>
    </row>
    <row r="17" spans="1:7" ht="13.5" thickBot="1" x14ac:dyDescent="0.25">
      <c r="A17" s="1069"/>
      <c r="B17" s="1940">
        <v>4999</v>
      </c>
      <c r="C17" s="1940">
        <v>14</v>
      </c>
      <c r="D17" s="1940">
        <v>10</v>
      </c>
      <c r="E17" s="1940">
        <v>265</v>
      </c>
      <c r="F17" s="329" t="s">
        <v>2092</v>
      </c>
      <c r="G17" s="1942">
        <v>1269</v>
      </c>
    </row>
    <row r="18" spans="1:7" ht="13.5" thickTop="1" x14ac:dyDescent="0.2">
      <c r="A18" s="1069"/>
      <c r="B18" s="1940"/>
      <c r="C18" s="1940"/>
      <c r="D18" s="1940"/>
      <c r="E18" s="1940"/>
    </row>
    <row r="19" spans="1:7" ht="13.5" thickBot="1" x14ac:dyDescent="0.25">
      <c r="A19" s="1069"/>
      <c r="B19" s="1940">
        <v>2490</v>
      </c>
      <c r="C19" s="1940">
        <v>16</v>
      </c>
      <c r="D19" s="1940">
        <v>10</v>
      </c>
      <c r="E19" s="1940">
        <v>56</v>
      </c>
      <c r="F19" s="329" t="s">
        <v>2093</v>
      </c>
      <c r="G19" s="1942">
        <v>15675</v>
      </c>
    </row>
    <row r="20" spans="1:7" ht="13.5" thickTop="1" x14ac:dyDescent="0.2">
      <c r="A20" s="1069"/>
      <c r="B20" s="1940"/>
      <c r="C20" s="1940"/>
      <c r="D20" s="1940"/>
      <c r="E20" s="1940"/>
    </row>
    <row r="21" spans="1:7" ht="13.5" thickBot="1" x14ac:dyDescent="0.25">
      <c r="A21" s="1069"/>
      <c r="B21" s="1940">
        <v>2900</v>
      </c>
      <c r="C21" s="1940">
        <v>16</v>
      </c>
      <c r="D21" s="1940">
        <v>10</v>
      </c>
      <c r="E21" s="1940">
        <v>73</v>
      </c>
      <c r="F21" s="329" t="s">
        <v>2094</v>
      </c>
      <c r="G21" s="1942">
        <v>150921</v>
      </c>
    </row>
    <row r="22" spans="1:7" ht="13.5" thickTop="1" x14ac:dyDescent="0.2">
      <c r="A22" s="1069"/>
      <c r="B22" s="1940"/>
      <c r="C22" s="1940"/>
      <c r="D22" s="1940"/>
      <c r="E22" s="1940"/>
    </row>
    <row r="23" spans="1:7" ht="13.5" thickBot="1" x14ac:dyDescent="0.25">
      <c r="A23" s="1069"/>
      <c r="B23" s="1940">
        <v>2900</v>
      </c>
      <c r="C23" s="1940">
        <v>18</v>
      </c>
      <c r="D23" s="1940">
        <v>40</v>
      </c>
      <c r="E23" s="1940">
        <v>183</v>
      </c>
      <c r="F23" s="329" t="s">
        <v>2095</v>
      </c>
      <c r="G23" s="1942">
        <v>8006</v>
      </c>
    </row>
    <row r="24" spans="1:7" ht="13.5" thickTop="1" x14ac:dyDescent="0.2">
      <c r="A24" s="1069"/>
    </row>
    <row r="25" spans="1:7" x14ac:dyDescent="0.2">
      <c r="A25" s="1069"/>
    </row>
    <row r="26" spans="1:7" x14ac:dyDescent="0.2">
      <c r="A26" s="1069"/>
    </row>
    <row r="27" spans="1:7" x14ac:dyDescent="0.2">
      <c r="A27" s="1069"/>
    </row>
    <row r="28" spans="1:7" x14ac:dyDescent="0.2">
      <c r="A28" s="1069"/>
    </row>
    <row r="29" spans="1:7" x14ac:dyDescent="0.2">
      <c r="A29" s="1069"/>
    </row>
    <row r="30" spans="1:7" x14ac:dyDescent="0.2">
      <c r="A30" s="1069"/>
    </row>
    <row r="31" spans="1:7" x14ac:dyDescent="0.2">
      <c r="A31" s="1069"/>
    </row>
    <row r="32" spans="1:7"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River Ridge CUSD 210</v>
      </c>
    </row>
    <row r="63" spans="1:2" x14ac:dyDescent="0.2">
      <c r="B63" s="1070">
        <f>COVER!A13</f>
        <v>8043210026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485775</xdr:colOff>
                <xdr:row>4</xdr:row>
                <xdr:rowOff>76200</xdr:rowOff>
              </from>
              <to>
                <xdr:col>1</xdr:col>
                <xdr:colOff>1400175</xdr:colOff>
                <xdr:row>8</xdr:row>
                <xdr:rowOff>114300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1987</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1988</v>
      </c>
      <c r="B4" s="2359"/>
      <c r="C4" s="2359"/>
      <c r="D4" s="2359"/>
      <c r="E4" s="2359"/>
      <c r="F4" s="2360"/>
      <c r="G4" s="1074"/>
      <c r="H4" s="1074"/>
    </row>
    <row r="5" spans="1:8" ht="14.25" customHeight="1" x14ac:dyDescent="0.2">
      <c r="A5" s="2361" t="s">
        <v>1984</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6414237</v>
      </c>
      <c r="C8" s="1815">
        <f>'Acct Summary 7-8'!D8</f>
        <v>987382</v>
      </c>
      <c r="D8" s="1815">
        <f>'Acct Summary 7-8'!F8</f>
        <v>532031</v>
      </c>
      <c r="E8" s="1815">
        <f>'Acct Summary 7-8'!I8</f>
        <v>0</v>
      </c>
      <c r="F8" s="1815">
        <f>SUM(B8:E8)</f>
        <v>7933650</v>
      </c>
    </row>
    <row r="9" spans="1:8" s="1079" customFormat="1" ht="14.25" customHeight="1" thickBot="1" x14ac:dyDescent="0.25">
      <c r="A9" s="1078" t="s">
        <v>1369</v>
      </c>
      <c r="B9" s="1816">
        <f>'Acct Summary 7-8'!C17</f>
        <v>6342026</v>
      </c>
      <c r="C9" s="1816">
        <f>'Acct Summary 7-8'!D17</f>
        <v>661592</v>
      </c>
      <c r="D9" s="1816">
        <f>'Acct Summary 7-8'!F17</f>
        <v>463149</v>
      </c>
      <c r="E9" s="1815"/>
      <c r="F9" s="1815">
        <f>SUM(B9:E9)</f>
        <v>7466767</v>
      </c>
    </row>
    <row r="10" spans="1:8" s="1079" customFormat="1" ht="14.25" thickTop="1" thickBot="1" x14ac:dyDescent="0.25">
      <c r="A10" s="1080" t="s">
        <v>1370</v>
      </c>
      <c r="B10" s="1817">
        <f>(B8-B9)</f>
        <v>72211</v>
      </c>
      <c r="C10" s="1817">
        <f>(C8-C9)</f>
        <v>325790</v>
      </c>
      <c r="D10" s="1817">
        <f>(D8-D9)</f>
        <v>68882</v>
      </c>
      <c r="E10" s="1816">
        <f>(E8-E9)</f>
        <v>0</v>
      </c>
      <c r="F10" s="1818">
        <f>SUM(F8-F9)</f>
        <v>466883</v>
      </c>
    </row>
    <row r="11" spans="1:8" s="1079" customFormat="1" ht="14.25" thickTop="1" thickBot="1" x14ac:dyDescent="0.25">
      <c r="A11" s="1081" t="s">
        <v>1985</v>
      </c>
      <c r="B11" s="1819">
        <f>'Acct Summary 7-8'!C81</f>
        <v>5953023</v>
      </c>
      <c r="C11" s="1819">
        <f>'Acct Summary 7-8'!D81</f>
        <v>3088980</v>
      </c>
      <c r="D11" s="1819">
        <f>'Acct Summary 7-8'!F81</f>
        <v>2061048</v>
      </c>
      <c r="E11" s="1819">
        <f>'Acct Summary 7-8'!I81</f>
        <v>0</v>
      </c>
      <c r="F11" s="1820">
        <f>SUM(B11:E11)</f>
        <v>11103051</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65" sqref="D6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8043210026</v>
      </c>
    </row>
    <row r="3" spans="1:2" x14ac:dyDescent="0.2">
      <c r="A3" t="s">
        <v>956</v>
      </c>
      <c r="B3" s="138" t="str">
        <f>COVER!A15</f>
        <v>JO DAVIESS</v>
      </c>
    </row>
    <row r="4" spans="1:2" x14ac:dyDescent="0.2">
      <c r="A4" t="s">
        <v>1007</v>
      </c>
      <c r="B4" s="138" t="str">
        <f>COVER!A17</f>
        <v>River Ridge CUSD 210</v>
      </c>
    </row>
    <row r="5" spans="1:2" x14ac:dyDescent="0.2">
      <c r="A5" t="s">
        <v>704</v>
      </c>
      <c r="B5" s="138" t="str">
        <f>COVER!A38</f>
        <v>BRAD ALBRECHT</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35738</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5953023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5953016</v>
      </c>
      <c r="D92" s="2" t="str">
        <f t="shared" si="0"/>
        <v>Error?</v>
      </c>
    </row>
    <row r="93" spans="1:4" x14ac:dyDescent="0.2">
      <c r="A93" s="5">
        <v>32</v>
      </c>
      <c r="B93" s="138">
        <f>'Assets-Liab 5-6'!C41</f>
        <v>5953023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3088980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3088980</v>
      </c>
      <c r="D123" s="2" t="str">
        <f t="shared" si="0"/>
        <v>Error?</v>
      </c>
    </row>
    <row r="124" spans="1:4" x14ac:dyDescent="0.2">
      <c r="A124" s="5">
        <v>63</v>
      </c>
      <c r="B124" s="138">
        <f>'Assets-Liab 5-6'!D41</f>
        <v>3088980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2061048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2061048</v>
      </c>
      <c r="D170" s="2" t="str">
        <f t="shared" si="1"/>
        <v>Error?</v>
      </c>
    </row>
    <row r="171" spans="1:4" x14ac:dyDescent="0.2">
      <c r="A171" s="5">
        <v>110</v>
      </c>
      <c r="B171" s="138">
        <f>'Assets-Liab 5-6'!F41</f>
        <v>2061048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176242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148501</v>
      </c>
      <c r="D189" s="2" t="str">
        <f t="shared" si="1"/>
        <v>Error?</v>
      </c>
    </row>
    <row r="190" spans="1:4" x14ac:dyDescent="0.2">
      <c r="A190" s="5">
        <v>129</v>
      </c>
      <c r="B190" s="138">
        <f>'Assets-Liab 5-6'!G41</f>
        <v>176242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958871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958871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110000</v>
      </c>
      <c r="D273" s="2" t="str">
        <f t="shared" si="3"/>
        <v>Error?</v>
      </c>
    </row>
    <row r="274" spans="1:4" x14ac:dyDescent="0.2">
      <c r="A274" s="5">
        <v>213</v>
      </c>
      <c r="B274" s="138">
        <f>'Assets-Liab 5-6'!M17</f>
        <v>9618749</v>
      </c>
      <c r="D274" s="2" t="str">
        <f t="shared" si="3"/>
        <v>Error?</v>
      </c>
    </row>
    <row r="275" spans="1:4" x14ac:dyDescent="0.2">
      <c r="A275" s="5">
        <v>214</v>
      </c>
      <c r="B275" s="138">
        <f>'Assets-Liab 5-6'!M18</f>
        <v>1660843</v>
      </c>
      <c r="D275" s="2" t="str">
        <f t="shared" si="3"/>
        <v>Error?</v>
      </c>
    </row>
    <row r="276" spans="1:4" x14ac:dyDescent="0.2">
      <c r="A276" s="5">
        <v>215</v>
      </c>
      <c r="B276" s="138">
        <f>'Assets-Liab 5-6'!M19</f>
        <v>1555900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12945492</v>
      </c>
      <c r="C279" s="2" t="s">
        <v>573</v>
      </c>
      <c r="D279" s="2" t="str">
        <f t="shared" si="3"/>
        <v>Error?</v>
      </c>
    </row>
    <row r="280" spans="1:4" x14ac:dyDescent="0.2">
      <c r="A280" s="5">
        <v>219</v>
      </c>
      <c r="B280" s="138">
        <f>'Assets-Liab 5-6'!M40</f>
        <v>12945492</v>
      </c>
      <c r="D280" s="2" t="str">
        <f t="shared" si="3"/>
        <v>Error?</v>
      </c>
    </row>
    <row r="281" spans="1:4" x14ac:dyDescent="0.2">
      <c r="A281" s="5">
        <v>220</v>
      </c>
      <c r="B281" s="138">
        <f>'Assets-Liab 5-6'!M41</f>
        <v>12945492</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2436980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223473</v>
      </c>
      <c r="D717" s="2" t="str">
        <f t="shared" si="10"/>
        <v>Error?</v>
      </c>
    </row>
    <row r="718" spans="1:4" x14ac:dyDescent="0.2">
      <c r="A718" s="5">
        <v>657</v>
      </c>
      <c r="B718" s="138">
        <f>'Expenditures 15-22'!C14</f>
        <v>143538</v>
      </c>
      <c r="D718" s="2" t="str">
        <f t="shared" si="10"/>
        <v>Error?</v>
      </c>
    </row>
    <row r="719" spans="1:4" x14ac:dyDescent="0.2">
      <c r="A719" s="5">
        <v>658</v>
      </c>
      <c r="B719" s="138">
        <f>'Expenditures 15-22'!C15</f>
        <v>3461</v>
      </c>
      <c r="D719" s="2" t="str">
        <f t="shared" si="10"/>
        <v>Error?</v>
      </c>
    </row>
    <row r="720" spans="1:4" x14ac:dyDescent="0.2">
      <c r="A720" s="5">
        <v>659</v>
      </c>
      <c r="B720" s="138">
        <f>'Expenditures 15-22'!C33</f>
        <v>3563215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150144</v>
      </c>
      <c r="D722" s="2" t="str">
        <f t="shared" si="10"/>
        <v>Error?</v>
      </c>
    </row>
    <row r="723" spans="1:4" x14ac:dyDescent="0.2">
      <c r="A723" s="5">
        <v>662</v>
      </c>
      <c r="B723" s="138">
        <f>'Expenditures 15-22'!C38</f>
        <v>39038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73852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263034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157071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157071</v>
      </c>
      <c r="C731" s="2" t="s">
        <v>573</v>
      </c>
      <c r="D731" s="2" t="str">
        <f t="shared" si="10"/>
        <v>Error?</v>
      </c>
    </row>
    <row r="732" spans="1:4" x14ac:dyDescent="0.2">
      <c r="A732" s="5">
        <v>671</v>
      </c>
      <c r="B732" s="138">
        <f>'Expenditures 15-22'!C49</f>
        <v>5629</v>
      </c>
      <c r="D732" s="2" t="str">
        <f t="shared" si="10"/>
        <v>Error?</v>
      </c>
    </row>
    <row r="733" spans="1:4" x14ac:dyDescent="0.2">
      <c r="A733" s="5">
        <v>672</v>
      </c>
      <c r="B733" s="138">
        <f>'Expenditures 15-22'!C50</f>
        <v>129588</v>
      </c>
      <c r="D733" s="2" t="str">
        <f t="shared" si="10"/>
        <v>Error?</v>
      </c>
    </row>
    <row r="734" spans="1:4" x14ac:dyDescent="0.2">
      <c r="A734" s="5">
        <v>673</v>
      </c>
      <c r="B734" s="138">
        <f>'Expenditures 15-22'!C53</f>
        <v>135217</v>
      </c>
      <c r="C734" s="2" t="s">
        <v>573</v>
      </c>
      <c r="D734" s="2" t="str">
        <f t="shared" si="10"/>
        <v>Error?</v>
      </c>
    </row>
    <row r="735" spans="1:4" x14ac:dyDescent="0.2">
      <c r="A735" s="5">
        <v>674</v>
      </c>
      <c r="B735" s="138">
        <f>'Expenditures 15-22'!C55</f>
        <v>218158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218158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61012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95803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156815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500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930795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4494010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591703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51824</v>
      </c>
      <c r="D775" s="2" t="str">
        <f t="shared" si="11"/>
        <v>Error?</v>
      </c>
    </row>
    <row r="776" spans="1:4" x14ac:dyDescent="0.2">
      <c r="A776" s="5">
        <v>715</v>
      </c>
      <c r="B776" s="138">
        <f>'Expenditures 15-22'!D14</f>
        <v>12255</v>
      </c>
      <c r="D776" s="2" t="str">
        <f t="shared" si="11"/>
        <v>Error?</v>
      </c>
    </row>
    <row r="777" spans="1:4" x14ac:dyDescent="0.2">
      <c r="A777" s="5">
        <v>716</v>
      </c>
      <c r="B777" s="138">
        <f>'Expenditures 15-22'!D15</f>
        <v>436</v>
      </c>
      <c r="D777" s="2" t="str">
        <f t="shared" si="11"/>
        <v>Error?</v>
      </c>
    </row>
    <row r="778" spans="1:4" x14ac:dyDescent="0.2">
      <c r="A778" s="5">
        <v>717</v>
      </c>
      <c r="B778" s="138">
        <f>'Expenditures 15-22'!D33</f>
        <v>796215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35790</v>
      </c>
      <c r="D780" s="2" t="str">
        <f t="shared" si="11"/>
        <v>Error?</v>
      </c>
    </row>
    <row r="781" spans="1:4" x14ac:dyDescent="0.2">
      <c r="A781" s="5">
        <v>720</v>
      </c>
      <c r="B781" s="138">
        <f>'Expenditures 15-22'!D38</f>
        <v>9838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19387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65015</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23722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23722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18906</v>
      </c>
      <c r="D791" s="2" t="str">
        <f t="shared" si="11"/>
        <v>Error?</v>
      </c>
    </row>
    <row r="792" spans="1:4" x14ac:dyDescent="0.2">
      <c r="A792" s="5">
        <v>731</v>
      </c>
      <c r="B792" s="138">
        <f>'Expenditures 15-22'!D53</f>
        <v>18906</v>
      </c>
      <c r="C792" s="2" t="s">
        <v>573</v>
      </c>
      <c r="D792" s="2" t="str">
        <f t="shared" si="11"/>
        <v>Error?</v>
      </c>
    </row>
    <row r="793" spans="1:4" x14ac:dyDescent="0.2">
      <c r="A793" s="5">
        <v>732</v>
      </c>
      <c r="B793" s="138">
        <f>'Expenditures 15-22'!D55</f>
        <v>79985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79985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8703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9838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18541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65</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206234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1002449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5389</v>
      </c>
      <c r="D833" s="2" t="str">
        <f t="shared" si="12"/>
        <v>Error?</v>
      </c>
    </row>
    <row r="834" spans="1:4" x14ac:dyDescent="0.2">
      <c r="A834" s="5">
        <v>773</v>
      </c>
      <c r="B834" s="138">
        <f>'Expenditures 15-22'!E14</f>
        <v>15334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29966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1098</v>
      </c>
      <c r="D838" s="2" t="str">
        <f t="shared" si="12"/>
        <v>Error?</v>
      </c>
    </row>
    <row r="839" spans="1:4" x14ac:dyDescent="0.2">
      <c r="A839" s="5">
        <v>778</v>
      </c>
      <c r="B839" s="138">
        <f>'Expenditures 15-22'!E38</f>
        <v>710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1808</v>
      </c>
      <c r="C843" s="2" t="s">
        <v>573</v>
      </c>
      <c r="D843" s="2" t="str">
        <f t="shared" si="12"/>
        <v>Error?</v>
      </c>
    </row>
    <row r="844" spans="1:4" x14ac:dyDescent="0.2">
      <c r="A844" s="5">
        <v>783</v>
      </c>
      <c r="B844" s="138">
        <f>'Expenditures 15-22'!E44</f>
        <v>4673</v>
      </c>
      <c r="D844" s="2" t="str">
        <f t="shared" si="12"/>
        <v>Error?</v>
      </c>
    </row>
    <row r="845" spans="1:4" x14ac:dyDescent="0.2">
      <c r="A845" s="5">
        <v>784</v>
      </c>
      <c r="B845" s="138">
        <f>'Expenditures 15-22'!E45</f>
        <v>500</v>
      </c>
      <c r="D845" s="2" t="str">
        <f t="shared" si="12"/>
        <v>Error?</v>
      </c>
    </row>
    <row r="846" spans="1:4" x14ac:dyDescent="0.2">
      <c r="A846" s="5">
        <v>785</v>
      </c>
      <c r="B846" s="138">
        <f>'Expenditures 15-22'!E46</f>
        <v>2100</v>
      </c>
      <c r="D846" s="2" t="str">
        <f t="shared" si="12"/>
        <v>Error?</v>
      </c>
    </row>
    <row r="847" spans="1:4" x14ac:dyDescent="0.2">
      <c r="A847" s="5">
        <v>786</v>
      </c>
      <c r="B847" s="138">
        <f>'Expenditures 15-22'!E47</f>
        <v>7273</v>
      </c>
      <c r="C847" s="2" t="s">
        <v>573</v>
      </c>
      <c r="D847" s="2" t="str">
        <f t="shared" si="12"/>
        <v>Error?</v>
      </c>
    </row>
    <row r="848" spans="1:4" x14ac:dyDescent="0.2">
      <c r="A848" s="5">
        <v>787</v>
      </c>
      <c r="B848" s="138">
        <f>'Expenditures 15-22'!E49</f>
        <v>23729</v>
      </c>
      <c r="D848" s="2" t="str">
        <f t="shared" si="12"/>
        <v>Error?</v>
      </c>
    </row>
    <row r="849" spans="1:4" x14ac:dyDescent="0.2">
      <c r="A849" s="5">
        <v>788</v>
      </c>
      <c r="B849" s="138">
        <f>'Expenditures 15-22'!E50</f>
        <v>2339</v>
      </c>
      <c r="D849" s="2" t="str">
        <f t="shared" si="12"/>
        <v>Error?</v>
      </c>
    </row>
    <row r="850" spans="1:4" x14ac:dyDescent="0.2">
      <c r="A850" s="5">
        <v>789</v>
      </c>
      <c r="B850" s="138">
        <f>'Expenditures 15-22'!E53</f>
        <v>33369</v>
      </c>
      <c r="C850" s="2" t="s">
        <v>573</v>
      </c>
      <c r="D850" s="2" t="str">
        <f t="shared" si="12"/>
        <v>Error?</v>
      </c>
    </row>
    <row r="851" spans="1:4" x14ac:dyDescent="0.2">
      <c r="A851" s="5">
        <v>790</v>
      </c>
      <c r="B851" s="138">
        <f>'Expenditures 15-22'!E55</f>
        <v>2818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2818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349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5714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6063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51331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246803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34795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4784</v>
      </c>
      <c r="D891" s="2" t="str">
        <f t="shared" si="12"/>
        <v>Error?</v>
      </c>
    </row>
    <row r="892" spans="1:4" x14ac:dyDescent="0.2">
      <c r="A892" s="5">
        <v>831</v>
      </c>
      <c r="B892" s="138">
        <f>'Expenditures 15-22'!F14</f>
        <v>72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45601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331</v>
      </c>
      <c r="D896" s="2" t="str">
        <f t="shared" si="13"/>
        <v>Error?</v>
      </c>
    </row>
    <row r="897" spans="1:4" x14ac:dyDescent="0.2">
      <c r="A897" s="5">
        <v>836</v>
      </c>
      <c r="B897" s="138">
        <f>'Expenditures 15-22'!F38</f>
        <v>1204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145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1680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13731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13731</v>
      </c>
      <c r="C905" s="2" t="s">
        <v>573</v>
      </c>
      <c r="D905" s="2" t="str">
        <f t="shared" si="13"/>
        <v>Error?</v>
      </c>
    </row>
    <row r="906" spans="1:4" x14ac:dyDescent="0.2">
      <c r="A906" s="5">
        <v>845</v>
      </c>
      <c r="B906" s="138">
        <f>'Expenditures 15-22'!F49</f>
        <v>1096</v>
      </c>
      <c r="D906" s="2" t="str">
        <f t="shared" si="13"/>
        <v>Error?</v>
      </c>
    </row>
    <row r="907" spans="1:4" x14ac:dyDescent="0.2">
      <c r="A907" s="5">
        <v>846</v>
      </c>
      <c r="B907" s="138">
        <f>'Expenditures 15-22'!F50</f>
        <v>920</v>
      </c>
      <c r="D907" s="2" t="str">
        <f t="shared" si="13"/>
        <v>Error?</v>
      </c>
    </row>
    <row r="908" spans="1:4" x14ac:dyDescent="0.2">
      <c r="A908" s="5">
        <v>847</v>
      </c>
      <c r="B908" s="138">
        <f>'Expenditures 15-22'!F53</f>
        <v>2016</v>
      </c>
      <c r="C908" s="2" t="s">
        <v>573</v>
      </c>
      <c r="D908" s="2" t="str">
        <f t="shared" si="13"/>
        <v>Error?</v>
      </c>
    </row>
    <row r="909" spans="1:4" x14ac:dyDescent="0.2">
      <c r="A909" s="5">
        <v>848</v>
      </c>
      <c r="B909" s="138">
        <f>'Expenditures 15-22'!F55</f>
        <v>3616</v>
      </c>
      <c r="D909" s="2" t="str">
        <f t="shared" si="13"/>
        <v>Error?</v>
      </c>
    </row>
    <row r="910" spans="1:4" x14ac:dyDescent="0.2">
      <c r="A910" s="5">
        <v>849</v>
      </c>
      <c r="B910" s="138">
        <f>'Expenditures 15-22'!F56</f>
        <v>15675</v>
      </c>
      <c r="D910" s="2" t="str">
        <f t="shared" si="13"/>
        <v>Error?</v>
      </c>
    </row>
    <row r="911" spans="1:4" x14ac:dyDescent="0.2">
      <c r="A911" s="5">
        <v>850</v>
      </c>
      <c r="B911" s="138">
        <f>'Expenditures 15-22'!F57</f>
        <v>19291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685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113376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114061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150779</v>
      </c>
      <c r="C929" s="2" t="s">
        <v>573</v>
      </c>
      <c r="D929" s="2" t="str">
        <f t="shared" si="13"/>
        <v>Error?</v>
      </c>
    </row>
    <row r="930" spans="1:4" x14ac:dyDescent="0.2">
      <c r="A930" s="5">
        <v>869</v>
      </c>
      <c r="B930" s="138">
        <f>'Expenditures 15-22'!F75</f>
        <v>760</v>
      </c>
      <c r="D930" s="2" t="str">
        <f t="shared" si="13"/>
        <v>Error?</v>
      </c>
    </row>
    <row r="931" spans="1:4" x14ac:dyDescent="0.2">
      <c r="A931" s="5">
        <v>870</v>
      </c>
      <c r="B931" s="138">
        <f>'Expenditures 15-22'!F114</f>
        <v>197140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7791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6936</v>
      </c>
      <c r="D949" s="2" t="str">
        <f t="shared" si="13"/>
        <v>Error?</v>
      </c>
    </row>
    <row r="950" spans="1:4" x14ac:dyDescent="0.2">
      <c r="A950" s="5">
        <v>889</v>
      </c>
      <c r="B950" s="138">
        <f>'Expenditures 15-22'!G14</f>
        <v>9190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23917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600</v>
      </c>
      <c r="D964" s="2" t="str">
        <f t="shared" si="14"/>
        <v>Error?</v>
      </c>
    </row>
    <row r="965" spans="1:4" x14ac:dyDescent="0.2">
      <c r="A965" s="5">
        <v>904</v>
      </c>
      <c r="B965" s="138">
        <f>'Expenditures 15-22'!G50</f>
        <v>600</v>
      </c>
      <c r="D965" s="2" t="str">
        <f t="shared" si="14"/>
        <v>Error?</v>
      </c>
    </row>
    <row r="966" spans="1:4" x14ac:dyDescent="0.2">
      <c r="A966" s="5">
        <v>905</v>
      </c>
      <c r="B966" s="138">
        <f>'Expenditures 15-22'!G53</f>
        <v>1200</v>
      </c>
      <c r="C966" s="2" t="s">
        <v>573</v>
      </c>
      <c r="D966" s="2" t="str">
        <f t="shared" si="14"/>
        <v>Error?</v>
      </c>
    </row>
    <row r="967" spans="1:4" x14ac:dyDescent="0.2">
      <c r="A967" s="5">
        <v>906</v>
      </c>
      <c r="B967" s="138">
        <f>'Expenditures 15-22'!G55</f>
        <v>1200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1200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4672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5272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7672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31589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1596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5029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54244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100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327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327</v>
      </c>
      <c r="C1021" s="2" t="s">
        <v>573</v>
      </c>
      <c r="D1021" s="2" t="str">
        <f t="shared" si="14"/>
        <v>Error?</v>
      </c>
    </row>
    <row r="1022" spans="1:4" x14ac:dyDescent="0.2">
      <c r="A1022" s="5">
        <v>961</v>
      </c>
      <c r="B1022" s="138">
        <f>'Expenditures 15-22'!H49</f>
        <v>13114</v>
      </c>
      <c r="D1022" s="2" t="str">
        <f t="shared" si="14"/>
        <v>Error?</v>
      </c>
    </row>
    <row r="1023" spans="1:4" x14ac:dyDescent="0.2">
      <c r="A1023" s="5">
        <v>962</v>
      </c>
      <c r="B1023" s="138">
        <f>'Expenditures 15-22'!H50</f>
        <v>2410</v>
      </c>
      <c r="D1023" s="2" t="str">
        <f t="shared" ref="D1023:D1086" si="15">IF(ISBLANK(B1023),"OK",IF(A1023-B1023=0,"OK","Error?"))</f>
        <v>Error?</v>
      </c>
    </row>
    <row r="1024" spans="1:4" x14ac:dyDescent="0.2">
      <c r="A1024" s="5">
        <v>963</v>
      </c>
      <c r="B1024" s="138">
        <f>'Expenditures 15-22'!H53</f>
        <v>15524</v>
      </c>
      <c r="C1024" s="2" t="s">
        <v>573</v>
      </c>
      <c r="D1024" s="2" t="str">
        <f t="shared" si="15"/>
        <v>Error?</v>
      </c>
    </row>
    <row r="1025" spans="1:4" x14ac:dyDescent="0.2">
      <c r="A1025" s="5">
        <v>964</v>
      </c>
      <c r="B1025" s="138">
        <f>'Expenditures 15-22'!H55</f>
        <v>5185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5185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2388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1134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3522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150921</v>
      </c>
      <c r="D1044" s="2" t="str">
        <f t="shared" si="15"/>
        <v>Error?</v>
      </c>
    </row>
    <row r="1045" spans="1:4" x14ac:dyDescent="0.2">
      <c r="A1045" s="5">
        <v>984</v>
      </c>
      <c r="B1045" s="138">
        <f>'Expenditures 15-22'!H74</f>
        <v>175579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140212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370035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3075110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292406</v>
      </c>
      <c r="C1105" s="2" t="s">
        <v>573</v>
      </c>
      <c r="D1105" s="2" t="str">
        <f t="shared" si="16"/>
        <v>Error?</v>
      </c>
    </row>
    <row r="1106" spans="1:4" x14ac:dyDescent="0.2">
      <c r="A1106" s="5">
        <v>1045</v>
      </c>
      <c r="B1106" s="138">
        <f>'Expenditures 15-22'!K14</f>
        <v>185418</v>
      </c>
      <c r="C1106" s="2" t="s">
        <v>573</v>
      </c>
      <c r="D1106" s="2" t="str">
        <f t="shared" si="16"/>
        <v>Error?</v>
      </c>
    </row>
    <row r="1107" spans="1:4" x14ac:dyDescent="0.2">
      <c r="A1107" s="5">
        <v>1046</v>
      </c>
      <c r="B1107" s="138">
        <f>'Expenditures 15-22'!K15</f>
        <v>3897</v>
      </c>
      <c r="C1107" s="2" t="s">
        <v>573</v>
      </c>
      <c r="D1107" s="2" t="str">
        <f t="shared" si="16"/>
        <v>Error?</v>
      </c>
    </row>
    <row r="1108" spans="1:4" x14ac:dyDescent="0.2">
      <c r="A1108" s="5">
        <v>1047</v>
      </c>
      <c r="B1108" s="138">
        <f>'Expenditures 15-22'!K33</f>
        <v>4513158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187463</v>
      </c>
      <c r="C1110" s="2" t="s">
        <v>573</v>
      </c>
      <c r="D1110" s="2" t="str">
        <f t="shared" si="16"/>
        <v>Error?</v>
      </c>
    </row>
    <row r="1111" spans="1:4" x14ac:dyDescent="0.2">
      <c r="A1111" s="5">
        <v>1050</v>
      </c>
      <c r="B1111" s="138">
        <f>'Expenditures 15-22'!K38</f>
        <v>50790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93384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331637</v>
      </c>
      <c r="C1115" s="2" t="s">
        <v>573</v>
      </c>
      <c r="D1115" s="2" t="str">
        <f t="shared" si="16"/>
        <v>Error?</v>
      </c>
    </row>
    <row r="1116" spans="1:4" x14ac:dyDescent="0.2">
      <c r="A1116" s="5">
        <v>1055</v>
      </c>
      <c r="B1116" s="138">
        <f>'Expenditures 15-22'!K44</f>
        <v>4673</v>
      </c>
      <c r="C1116" s="2" t="s">
        <v>573</v>
      </c>
      <c r="D1116" s="2" t="str">
        <f t="shared" si="16"/>
        <v>Error?</v>
      </c>
    </row>
    <row r="1117" spans="1:4" x14ac:dyDescent="0.2">
      <c r="A1117" s="5">
        <v>1056</v>
      </c>
      <c r="B1117" s="138">
        <f>'Expenditures 15-22'!K45</f>
        <v>195351</v>
      </c>
      <c r="C1117" s="2" t="s">
        <v>573</v>
      </c>
      <c r="D1117" s="2" t="str">
        <f t="shared" si="16"/>
        <v>Error?</v>
      </c>
    </row>
    <row r="1118" spans="1:4" x14ac:dyDescent="0.2">
      <c r="A1118" s="5">
        <v>1057</v>
      </c>
      <c r="B1118" s="138">
        <f>'Expenditures 15-22'!K46</f>
        <v>2100</v>
      </c>
      <c r="C1118" s="2" t="s">
        <v>573</v>
      </c>
      <c r="D1118" s="2" t="str">
        <f t="shared" si="16"/>
        <v>Error?</v>
      </c>
    </row>
    <row r="1119" spans="1:4" x14ac:dyDescent="0.2">
      <c r="A1119" s="5">
        <v>1058</v>
      </c>
      <c r="B1119" s="138">
        <f>'Expenditures 15-22'!K47</f>
        <v>202124</v>
      </c>
      <c r="C1119" s="2" t="s">
        <v>573</v>
      </c>
      <c r="D1119" s="2" t="str">
        <f t="shared" si="16"/>
        <v>Error?</v>
      </c>
    </row>
    <row r="1120" spans="1:4" x14ac:dyDescent="0.2">
      <c r="A1120" s="5">
        <v>1059</v>
      </c>
      <c r="B1120" s="138">
        <f>'Expenditures 15-22'!K49</f>
        <v>44168</v>
      </c>
      <c r="C1120" s="2" t="s">
        <v>573</v>
      </c>
      <c r="D1120" s="2" t="str">
        <f t="shared" si="16"/>
        <v>Error?</v>
      </c>
    </row>
    <row r="1121" spans="1:4" x14ac:dyDescent="0.2">
      <c r="A1121" s="5">
        <v>1060</v>
      </c>
      <c r="B1121" s="138">
        <f>'Expenditures 15-22'!K50</f>
        <v>154763</v>
      </c>
      <c r="C1121" s="2" t="s">
        <v>573</v>
      </c>
      <c r="D1121" s="2" t="str">
        <f t="shared" si="16"/>
        <v>Error?</v>
      </c>
    </row>
    <row r="1122" spans="1:4" x14ac:dyDescent="0.2">
      <c r="A1122" s="5">
        <v>1061</v>
      </c>
      <c r="B1122" s="138">
        <f>'Expenditures 15-22'!K53</f>
        <v>206232</v>
      </c>
      <c r="C1122" s="2" t="s">
        <v>573</v>
      </c>
      <c r="D1122" s="2" t="str">
        <f t="shared" si="16"/>
        <v>Error?</v>
      </c>
    </row>
    <row r="1123" spans="1:4" x14ac:dyDescent="0.2">
      <c r="A1123" s="5">
        <v>1062</v>
      </c>
      <c r="B1123" s="138">
        <f>'Expenditures 15-22'!K55</f>
        <v>310962</v>
      </c>
      <c r="C1123" s="2" t="s">
        <v>573</v>
      </c>
      <c r="D1123" s="2" t="str">
        <f t="shared" si="16"/>
        <v>Error?</v>
      </c>
    </row>
    <row r="1124" spans="1:4" x14ac:dyDescent="0.2">
      <c r="A1124" s="5">
        <v>1063</v>
      </c>
      <c r="B1124" s="138">
        <f>'Expenditures 15-22'!K56</f>
        <v>15675</v>
      </c>
      <c r="C1124" s="2" t="s">
        <v>573</v>
      </c>
      <c r="D1124" s="2" t="str">
        <f t="shared" si="16"/>
        <v>Error?</v>
      </c>
    </row>
    <row r="1125" spans="1:4" x14ac:dyDescent="0.2">
      <c r="A1125" s="5">
        <v>1064</v>
      </c>
      <c r="B1125" s="138">
        <f>'Expenditures 15-22'!K57</f>
        <v>326637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73737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230537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304274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565</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565</v>
      </c>
      <c r="C1141" s="2" t="s">
        <v>573</v>
      </c>
      <c r="D1141" s="2" t="str">
        <f t="shared" si="16"/>
        <v>Error?</v>
      </c>
    </row>
    <row r="1142" spans="1:4" x14ac:dyDescent="0.2">
      <c r="A1142" s="5">
        <v>1081</v>
      </c>
      <c r="B1142" s="138">
        <f>'Expenditures 15-22'!K73</f>
        <v>150921</v>
      </c>
      <c r="C1142" s="2" t="s">
        <v>573</v>
      </c>
      <c r="D1142" s="2" t="str">
        <f t="shared" si="16"/>
        <v>Error?</v>
      </c>
    </row>
    <row r="1143" spans="1:4" x14ac:dyDescent="0.2">
      <c r="A1143" s="5">
        <v>1082</v>
      </c>
      <c r="B1143" s="138">
        <f>'Expenditures 15-22'!K74</f>
        <v>1522390</v>
      </c>
      <c r="C1143" s="2" t="s">
        <v>573</v>
      </c>
      <c r="D1143" s="2" t="str">
        <f t="shared" si="16"/>
        <v>Error?</v>
      </c>
    </row>
    <row r="1144" spans="1:4" x14ac:dyDescent="0.2">
      <c r="A1144" s="5">
        <v>1083</v>
      </c>
      <c r="B1144" s="138">
        <f>'Expenditures 15-22'!K75</f>
        <v>760</v>
      </c>
      <c r="C1144" s="2" t="s">
        <v>573</v>
      </c>
      <c r="D1144" s="2" t="str">
        <f t="shared" si="16"/>
        <v>Error?</v>
      </c>
    </row>
    <row r="1145" spans="1:4" x14ac:dyDescent="0.2">
      <c r="A1145" s="5">
        <v>1084</v>
      </c>
      <c r="B1145" s="138">
        <f>'Expenditures 15-22'!K102</f>
        <v>305718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6342026</v>
      </c>
      <c r="C1152" s="2" t="s">
        <v>573</v>
      </c>
      <c r="D1152" s="2" t="str">
        <f t="shared" si="17"/>
        <v>Error?</v>
      </c>
    </row>
    <row r="1153" spans="1:4" x14ac:dyDescent="0.2">
      <c r="A1153" s="5">
        <v>1092</v>
      </c>
      <c r="B1153" s="138">
        <f>'Expenditures 15-22'!K115</f>
        <v>72211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200188</v>
      </c>
      <c r="D1221" s="2" t="str">
        <f t="shared" si="18"/>
        <v>Error?</v>
      </c>
    </row>
    <row r="1222" spans="1:4" x14ac:dyDescent="0.2">
      <c r="A1222" s="10">
        <v>1161</v>
      </c>
      <c r="D1222" s="2" t="str">
        <f t="shared" si="18"/>
        <v>OK</v>
      </c>
    </row>
    <row r="1223" spans="1:4" x14ac:dyDescent="0.2">
      <c r="A1223" s="5">
        <v>1162</v>
      </c>
      <c r="B1223" s="138">
        <f>'Expenditures 15-22'!C127</f>
        <v>200188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200188</v>
      </c>
      <c r="C1225" s="2" t="s">
        <v>573</v>
      </c>
      <c r="D1225" s="2" t="str">
        <f t="shared" si="18"/>
        <v>Error?</v>
      </c>
    </row>
    <row r="1226" spans="1:4" x14ac:dyDescent="0.2">
      <c r="A1226" s="5">
        <v>1165</v>
      </c>
      <c r="B1226" s="138">
        <f>'Expenditures 15-22'!C151</f>
        <v>200188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37165</v>
      </c>
      <c r="D1229" s="2" t="str">
        <f t="shared" si="18"/>
        <v>Error?</v>
      </c>
    </row>
    <row r="1230" spans="1:4" x14ac:dyDescent="0.2">
      <c r="A1230" s="10">
        <v>1169</v>
      </c>
      <c r="D1230" s="2" t="str">
        <f t="shared" si="18"/>
        <v>OK</v>
      </c>
    </row>
    <row r="1231" spans="1:4" x14ac:dyDescent="0.2">
      <c r="A1231" s="5">
        <v>1170</v>
      </c>
      <c r="B1231" s="138">
        <f>'Expenditures 15-22'!D127</f>
        <v>37165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37165</v>
      </c>
      <c r="C1233" s="2" t="s">
        <v>573</v>
      </c>
      <c r="D1233" s="2" t="str">
        <f t="shared" si="18"/>
        <v>Error?</v>
      </c>
    </row>
    <row r="1234" spans="1:4" x14ac:dyDescent="0.2">
      <c r="A1234" s="5">
        <v>1173</v>
      </c>
      <c r="B1234" s="138">
        <f>'Expenditures 15-22'!D151</f>
        <v>37165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101272</v>
      </c>
      <c r="D1237" s="2" t="str">
        <f t="shared" si="18"/>
        <v>Error?</v>
      </c>
    </row>
    <row r="1238" spans="1:4" x14ac:dyDescent="0.2">
      <c r="A1238" s="10">
        <v>1177</v>
      </c>
      <c r="D1238" s="2" t="str">
        <f t="shared" si="18"/>
        <v>OK</v>
      </c>
    </row>
    <row r="1239" spans="1:4" x14ac:dyDescent="0.2">
      <c r="A1239" s="5">
        <v>1178</v>
      </c>
      <c r="B1239" s="138">
        <f>'Expenditures 15-22'!E127</f>
        <v>101272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101272</v>
      </c>
      <c r="C1241" s="2" t="s">
        <v>573</v>
      </c>
      <c r="D1241" s="2" t="str">
        <f t="shared" si="18"/>
        <v>Error?</v>
      </c>
    </row>
    <row r="1242" spans="1:4" x14ac:dyDescent="0.2">
      <c r="A1242" s="5">
        <v>1181</v>
      </c>
      <c r="B1242" s="138">
        <f>'Expenditures 15-22'!E151</f>
        <v>101272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294976</v>
      </c>
      <c r="D1245" s="2" t="str">
        <f t="shared" si="18"/>
        <v>Error?</v>
      </c>
    </row>
    <row r="1246" spans="1:4" x14ac:dyDescent="0.2">
      <c r="A1246" s="10">
        <v>1185</v>
      </c>
      <c r="D1246" s="2" t="str">
        <f t="shared" si="18"/>
        <v>OK</v>
      </c>
    </row>
    <row r="1247" spans="1:4" x14ac:dyDescent="0.2">
      <c r="A1247" s="5">
        <v>1186</v>
      </c>
      <c r="B1247" s="138">
        <f>'Expenditures 15-22'!F127</f>
        <v>294976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294976</v>
      </c>
      <c r="C1249" s="2" t="s">
        <v>573</v>
      </c>
      <c r="D1249" s="2" t="str">
        <f t="shared" si="18"/>
        <v>Error?</v>
      </c>
    </row>
    <row r="1250" spans="1:4" x14ac:dyDescent="0.2">
      <c r="A1250" s="5">
        <v>1189</v>
      </c>
      <c r="B1250" s="138">
        <f>'Expenditures 15-22'!F151</f>
        <v>294976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27991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27991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27991</v>
      </c>
      <c r="C1258" s="2" t="s">
        <v>573</v>
      </c>
      <c r="D1258" s="2" t="str">
        <f t="shared" si="18"/>
        <v>Error?</v>
      </c>
    </row>
    <row r="1259" spans="1:4" x14ac:dyDescent="0.2">
      <c r="A1259" s="5">
        <v>1198</v>
      </c>
      <c r="B1259" s="138">
        <f>'Expenditures 15-22'!G151</f>
        <v>27991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661592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661592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661592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661592</v>
      </c>
      <c r="C1288" s="2" t="s">
        <v>573</v>
      </c>
      <c r="D1288" s="2" t="str">
        <f t="shared" si="19"/>
        <v>Error?</v>
      </c>
    </row>
    <row r="1289" spans="1:4" x14ac:dyDescent="0.2">
      <c r="A1289" s="5">
        <v>1228</v>
      </c>
      <c r="B1289" s="138">
        <f>'Expenditures 15-22'!K152</f>
        <v>325790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205658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205658</v>
      </c>
      <c r="C1339" s="2" t="s">
        <v>573</v>
      </c>
      <c r="D1339" s="2" t="str">
        <f t="shared" si="19"/>
        <v>Error?</v>
      </c>
    </row>
    <row r="1340" spans="1:4" x14ac:dyDescent="0.2">
      <c r="A1340" s="5">
        <v>1279</v>
      </c>
      <c r="B1340" s="138">
        <f>'Expenditures 15-22'!C210</f>
        <v>205658</v>
      </c>
      <c r="C1340" s="2" t="s">
        <v>573</v>
      </c>
      <c r="D1340" s="2" t="str">
        <f t="shared" si="19"/>
        <v>Error?</v>
      </c>
    </row>
    <row r="1341" spans="1:4" x14ac:dyDescent="0.2">
      <c r="A1341" s="5">
        <v>1280</v>
      </c>
      <c r="B1341" s="138">
        <f>'Expenditures 15-22'!D182</f>
        <v>5577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5577</v>
      </c>
      <c r="C1345" s="2" t="s">
        <v>573</v>
      </c>
      <c r="D1345" s="2" t="str">
        <f t="shared" si="20"/>
        <v>Error?</v>
      </c>
    </row>
    <row r="1346" spans="1:4" x14ac:dyDescent="0.2">
      <c r="A1346" s="5">
        <v>1285</v>
      </c>
      <c r="B1346" s="138">
        <f>'Expenditures 15-22'!D210</f>
        <v>5577</v>
      </c>
      <c r="C1346" s="2" t="s">
        <v>573</v>
      </c>
      <c r="D1346" s="2" t="str">
        <f t="shared" si="20"/>
        <v>Error?</v>
      </c>
    </row>
    <row r="1347" spans="1:4" x14ac:dyDescent="0.2">
      <c r="A1347" s="5">
        <v>1286</v>
      </c>
      <c r="B1347" s="138">
        <f>'Expenditures 15-22'!E182</f>
        <v>17502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8006</v>
      </c>
      <c r="D1350" s="2" t="str">
        <f t="shared" si="20"/>
        <v>Error?</v>
      </c>
    </row>
    <row r="1351" spans="1:4" x14ac:dyDescent="0.2">
      <c r="A1351" s="5">
        <v>1290</v>
      </c>
      <c r="B1351" s="138">
        <f>'Expenditures 15-22'!E184</f>
        <v>25508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25508</v>
      </c>
      <c r="C1353" s="2" t="s">
        <v>573</v>
      </c>
      <c r="D1353" s="2" t="str">
        <f t="shared" si="20"/>
        <v>Error?</v>
      </c>
    </row>
    <row r="1354" spans="1:4" x14ac:dyDescent="0.2">
      <c r="A1354" s="5">
        <v>1293</v>
      </c>
      <c r="B1354" s="138">
        <f>'Expenditures 15-22'!F182</f>
        <v>47061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47061</v>
      </c>
      <c r="C1358" s="2" t="s">
        <v>573</v>
      </c>
      <c r="D1358" s="2" t="str">
        <f t="shared" si="20"/>
        <v>Error?</v>
      </c>
    </row>
    <row r="1359" spans="1:4" x14ac:dyDescent="0.2">
      <c r="A1359" s="5">
        <v>1298</v>
      </c>
      <c r="B1359" s="138">
        <f>'Expenditures 15-22'!F210</f>
        <v>47061</v>
      </c>
      <c r="C1359" s="2" t="s">
        <v>573</v>
      </c>
      <c r="D1359" s="2" t="str">
        <f t="shared" si="20"/>
        <v>Error?</v>
      </c>
    </row>
    <row r="1360" spans="1:4" x14ac:dyDescent="0.2">
      <c r="A1360" s="5">
        <v>1299</v>
      </c>
      <c r="B1360" s="138">
        <f>'Expenditures 15-22'!G182</f>
        <v>179110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179110</v>
      </c>
      <c r="C1364" s="2" t="s">
        <v>573</v>
      </c>
      <c r="D1364" s="2" t="str">
        <f t="shared" si="20"/>
        <v>Error?</v>
      </c>
    </row>
    <row r="1365" spans="1:4" x14ac:dyDescent="0.2">
      <c r="A1365" s="5">
        <v>1304</v>
      </c>
      <c r="B1365" s="138">
        <f>'Expenditures 15-22'!G210</f>
        <v>179110</v>
      </c>
      <c r="C1365" s="2" t="s">
        <v>573</v>
      </c>
      <c r="D1365" s="2" t="str">
        <f t="shared" si="20"/>
        <v>Error?</v>
      </c>
    </row>
    <row r="1366" spans="1:4" x14ac:dyDescent="0.2">
      <c r="A1366" s="5">
        <v>1305</v>
      </c>
      <c r="B1366" s="138">
        <f>'Expenditures 15-22'!H182</f>
        <v>235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235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235</v>
      </c>
      <c r="C1376" s="2" t="s">
        <v>573</v>
      </c>
      <c r="D1376" s="2" t="str">
        <f t="shared" si="20"/>
        <v>Error?</v>
      </c>
    </row>
    <row r="1377" spans="1:4" x14ac:dyDescent="0.2">
      <c r="A1377" s="5">
        <v>1316</v>
      </c>
      <c r="B1377" s="138">
        <f>'Expenditures 15-22'!K182</f>
        <v>455143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8006</v>
      </c>
      <c r="C1380" s="2" t="s">
        <v>573</v>
      </c>
      <c r="D1380" s="2" t="str">
        <f t="shared" si="20"/>
        <v>Error?</v>
      </c>
    </row>
    <row r="1381" spans="1:4" x14ac:dyDescent="0.2">
      <c r="A1381" s="5">
        <v>1320</v>
      </c>
      <c r="B1381" s="138">
        <f>'Expenditures 15-22'!K184</f>
        <v>463149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463149</v>
      </c>
      <c r="C1388" s="2" t="s">
        <v>573</v>
      </c>
      <c r="D1388" s="2" t="str">
        <f t="shared" si="20"/>
        <v>Error?</v>
      </c>
    </row>
    <row r="1389" spans="1:4" x14ac:dyDescent="0.2">
      <c r="A1389" s="5">
        <v>1328</v>
      </c>
      <c r="B1389" s="138">
        <f>'Expenditures 15-22'!K211</f>
        <v>68882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3105</v>
      </c>
      <c r="D1407" s="2" t="str">
        <f t="shared" ref="D1407:D1470" si="21">IF(ISBLANK(B1407),"OK",IF(A1407-B1407=0,"OK","Error?"))</f>
        <v>Error?</v>
      </c>
    </row>
    <row r="1408" spans="1:4" x14ac:dyDescent="0.2">
      <c r="A1408" s="5">
        <v>1347</v>
      </c>
      <c r="B1408" s="138">
        <f>'Expenditures 15-22'!D223</f>
        <v>6750</v>
      </c>
      <c r="D1408" s="2" t="str">
        <f t="shared" si="21"/>
        <v>Error?</v>
      </c>
    </row>
    <row r="1409" spans="1:4" x14ac:dyDescent="0.2">
      <c r="A1409" s="5">
        <v>1348</v>
      </c>
      <c r="B1409" s="138">
        <f>'Expenditures 15-22'!D224</f>
        <v>46</v>
      </c>
      <c r="D1409" s="2" t="str">
        <f t="shared" si="21"/>
        <v>Error?</v>
      </c>
    </row>
    <row r="1410" spans="1:4" x14ac:dyDescent="0.2">
      <c r="A1410" s="5">
        <v>1349</v>
      </c>
      <c r="B1410" s="138">
        <f>'Expenditures 15-22'!D229</f>
        <v>93115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2001</v>
      </c>
      <c r="D1412" s="2" t="str">
        <f t="shared" si="21"/>
        <v>Error?</v>
      </c>
    </row>
    <row r="1413" spans="1:4" x14ac:dyDescent="0.2">
      <c r="A1413" s="5">
        <v>1352</v>
      </c>
      <c r="B1413" s="138">
        <f>'Expenditures 15-22'!D234</f>
        <v>8476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898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11375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16871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16871</v>
      </c>
      <c r="C1421" s="2" t="s">
        <v>573</v>
      </c>
      <c r="D1421" s="2" t="str">
        <f t="shared" si="21"/>
        <v>Error?</v>
      </c>
    </row>
    <row r="1422" spans="1:4" x14ac:dyDescent="0.2">
      <c r="A1422" s="5">
        <v>1361</v>
      </c>
      <c r="B1422" s="138">
        <f>'Expenditures 15-22'!D245</f>
        <v>1215</v>
      </c>
      <c r="D1422" s="2" t="str">
        <f t="shared" si="21"/>
        <v>Error?</v>
      </c>
    </row>
    <row r="1423" spans="1:4" x14ac:dyDescent="0.2">
      <c r="A1423" s="5">
        <v>1362</v>
      </c>
      <c r="B1423" s="138">
        <f>'Expenditures 15-22'!D246</f>
        <v>12061</v>
      </c>
      <c r="D1423" s="2" t="str">
        <f t="shared" si="21"/>
        <v>Error?</v>
      </c>
    </row>
    <row r="1424" spans="1:4" x14ac:dyDescent="0.2">
      <c r="A1424" s="5">
        <v>1363</v>
      </c>
      <c r="B1424" s="138">
        <f>'Expenditures 15-22'!D257</f>
        <v>13276</v>
      </c>
      <c r="C1424" s="2" t="s">
        <v>573</v>
      </c>
      <c r="D1424" s="2" t="str">
        <f t="shared" si="21"/>
        <v>Error?</v>
      </c>
    </row>
    <row r="1425" spans="1:4" x14ac:dyDescent="0.2">
      <c r="A1425" s="5">
        <v>1364</v>
      </c>
      <c r="B1425" s="138">
        <f>'Expenditures 15-22'!D259</f>
        <v>13361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13361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12743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42707</v>
      </c>
      <c r="D1431" s="2" t="str">
        <f t="shared" si="21"/>
        <v>Error?</v>
      </c>
    </row>
    <row r="1432" spans="1:4" x14ac:dyDescent="0.2">
      <c r="A1432" s="5">
        <v>1371</v>
      </c>
      <c r="B1432" s="138">
        <f>'Expenditures 15-22'!D267</f>
        <v>36046</v>
      </c>
      <c r="D1432" s="2" t="str">
        <f t="shared" si="21"/>
        <v>Error?</v>
      </c>
    </row>
    <row r="1433" spans="1:4" x14ac:dyDescent="0.2">
      <c r="A1433" s="5">
        <v>1372</v>
      </c>
      <c r="B1433" s="138">
        <f>'Expenditures 15-22'!D268</f>
        <v>20117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111613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7</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166503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259618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3105</v>
      </c>
      <c r="C1471" s="2" t="s">
        <v>573</v>
      </c>
      <c r="D1471" s="2" t="str">
        <f t="shared" ref="D1471:D1534" si="22">IF(ISBLANK(B1471),"OK",IF(A1471-B1471=0,"OK","Error?"))</f>
        <v>Error?</v>
      </c>
    </row>
    <row r="1472" spans="1:4" x14ac:dyDescent="0.2">
      <c r="A1472" s="5">
        <v>1411</v>
      </c>
      <c r="B1472" s="138">
        <f>'Expenditures 15-22'!K223</f>
        <v>6750</v>
      </c>
      <c r="C1472" s="2" t="s">
        <v>573</v>
      </c>
      <c r="D1472" s="2" t="str">
        <f t="shared" si="22"/>
        <v>Error?</v>
      </c>
    </row>
    <row r="1473" spans="1:4" x14ac:dyDescent="0.2">
      <c r="A1473" s="5">
        <v>1412</v>
      </c>
      <c r="B1473" s="138">
        <f>'Expenditures 15-22'!K224</f>
        <v>46</v>
      </c>
      <c r="C1473" s="2" t="s">
        <v>573</v>
      </c>
      <c r="D1473" s="2" t="str">
        <f t="shared" si="22"/>
        <v>Error?</v>
      </c>
    </row>
    <row r="1474" spans="1:4" x14ac:dyDescent="0.2">
      <c r="A1474" s="5">
        <v>1413</v>
      </c>
      <c r="B1474" s="138">
        <f>'Expenditures 15-22'!K229</f>
        <v>93115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2001</v>
      </c>
      <c r="C1476" s="2" t="s">
        <v>573</v>
      </c>
      <c r="D1476" s="2" t="str">
        <f t="shared" si="22"/>
        <v>Error?</v>
      </c>
    </row>
    <row r="1477" spans="1:4" x14ac:dyDescent="0.2">
      <c r="A1477" s="5">
        <v>1416</v>
      </c>
      <c r="B1477" s="138">
        <f>'Expenditures 15-22'!K234</f>
        <v>8476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898</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11375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16871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16871</v>
      </c>
      <c r="C1485" s="2" t="s">
        <v>573</v>
      </c>
      <c r="D1485" s="2" t="str">
        <f t="shared" si="22"/>
        <v>Error?</v>
      </c>
    </row>
    <row r="1486" spans="1:4" x14ac:dyDescent="0.2">
      <c r="A1486" s="5">
        <v>1425</v>
      </c>
      <c r="B1486" s="138">
        <f>'Expenditures 15-22'!K245</f>
        <v>1215</v>
      </c>
      <c r="C1486" s="2" t="s">
        <v>573</v>
      </c>
      <c r="D1486" s="2" t="str">
        <f t="shared" si="22"/>
        <v>Error?</v>
      </c>
    </row>
    <row r="1487" spans="1:4" x14ac:dyDescent="0.2">
      <c r="A1487" s="5">
        <v>1426</v>
      </c>
      <c r="B1487" s="138">
        <f>'Expenditures 15-22'!K246</f>
        <v>12061</v>
      </c>
      <c r="C1487" s="2" t="s">
        <v>573</v>
      </c>
      <c r="D1487" s="2" t="str">
        <f t="shared" si="22"/>
        <v>Error?</v>
      </c>
    </row>
    <row r="1488" spans="1:4" x14ac:dyDescent="0.2">
      <c r="A1488" s="5">
        <v>1427</v>
      </c>
      <c r="B1488" s="138">
        <f>'Expenditures 15-22'!K257</f>
        <v>13276</v>
      </c>
      <c r="C1488" s="2" t="s">
        <v>573</v>
      </c>
      <c r="D1488" s="2" t="str">
        <f t="shared" si="22"/>
        <v>Error?</v>
      </c>
    </row>
    <row r="1489" spans="1:4" x14ac:dyDescent="0.2">
      <c r="A1489" s="5">
        <v>1428</v>
      </c>
      <c r="B1489" s="138">
        <f>'Expenditures 15-22'!K259</f>
        <v>13361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13361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12743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42707</v>
      </c>
      <c r="C1495" s="2" t="s">
        <v>573</v>
      </c>
      <c r="D1495" s="2" t="str">
        <f t="shared" si="22"/>
        <v>Error?</v>
      </c>
    </row>
    <row r="1496" spans="1:4" x14ac:dyDescent="0.2">
      <c r="A1496" s="5">
        <v>1435</v>
      </c>
      <c r="B1496" s="138">
        <f>'Expenditures 15-22'!K267</f>
        <v>36046</v>
      </c>
      <c r="C1496" s="2" t="s">
        <v>573</v>
      </c>
      <c r="D1496" s="2" t="str">
        <f t="shared" si="22"/>
        <v>Error?</v>
      </c>
    </row>
    <row r="1497" spans="1:4" x14ac:dyDescent="0.2">
      <c r="A1497" s="5">
        <v>1436</v>
      </c>
      <c r="B1497" s="138">
        <f>'Expenditures 15-22'!K268</f>
        <v>20117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111613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7</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7</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166503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259618</v>
      </c>
      <c r="C1517" s="2" t="s">
        <v>573</v>
      </c>
      <c r="D1517" s="2" t="str">
        <f t="shared" si="22"/>
        <v>Error?</v>
      </c>
    </row>
    <row r="1518" spans="1:4" x14ac:dyDescent="0.2">
      <c r="A1518" s="5">
        <v>1457</v>
      </c>
      <c r="B1518" s="138">
        <f>'Expenditures 15-22'!K296</f>
        <v>319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43425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43425</v>
      </c>
      <c r="C1547" s="2" t="s">
        <v>573</v>
      </c>
      <c r="D1547" s="2" t="str">
        <f t="shared" si="23"/>
        <v>Error?</v>
      </c>
    </row>
    <row r="1548" spans="1:4" x14ac:dyDescent="0.2">
      <c r="A1548" s="5">
        <v>1487</v>
      </c>
      <c r="B1548" s="138">
        <f>'Expenditures 15-22'!G312</f>
        <v>43425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43425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43425</v>
      </c>
      <c r="C1559" s="2" t="s">
        <v>573</v>
      </c>
      <c r="D1559" s="2" t="str">
        <f t="shared" si="23"/>
        <v>Error?</v>
      </c>
    </row>
    <row r="1560" spans="1:4" x14ac:dyDescent="0.2">
      <c r="A1560" s="5">
        <v>1499</v>
      </c>
      <c r="B1560" s="138">
        <f>'Expenditures 15-22'!K312</f>
        <v>43425</v>
      </c>
      <c r="C1560" s="2" t="s">
        <v>573</v>
      </c>
      <c r="D1560" s="2" t="str">
        <f t="shared" si="23"/>
        <v>Error?</v>
      </c>
    </row>
    <row r="1561" spans="1:4" x14ac:dyDescent="0.2">
      <c r="A1561" s="5">
        <v>1500</v>
      </c>
      <c r="B1561" s="138">
        <f>'Expenditures 15-22'!K313</f>
        <v>275294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5880812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5953023</v>
      </c>
      <c r="C1630" s="2" t="s">
        <v>573</v>
      </c>
      <c r="D1630" s="2" t="str">
        <f t="shared" si="24"/>
        <v>Error?</v>
      </c>
    </row>
    <row r="1631" spans="1:4" x14ac:dyDescent="0.2">
      <c r="A1631" s="5">
        <v>1570</v>
      </c>
      <c r="B1631" s="138">
        <f>'Acct Summary 7-8'!D79</f>
        <v>2763190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3088980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1992166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2061048</v>
      </c>
      <c r="C1672" s="2" t="s">
        <v>573</v>
      </c>
      <c r="D1672" s="2" t="str">
        <f t="shared" si="25"/>
        <v>Error?</v>
      </c>
    </row>
    <row r="1673" spans="1:4" x14ac:dyDescent="0.2">
      <c r="A1673" s="5">
        <v>1612</v>
      </c>
      <c r="B1673" s="138">
        <f>'Acct Summary 7-8'!G79</f>
        <v>175923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176242</v>
      </c>
      <c r="C1686" s="2" t="s">
        <v>573</v>
      </c>
      <c r="D1686" s="2" t="str">
        <f t="shared" si="25"/>
        <v>Error?</v>
      </c>
    </row>
    <row r="1687" spans="1:4" x14ac:dyDescent="0.2">
      <c r="A1687" s="5">
        <v>1626</v>
      </c>
      <c r="B1687" s="138">
        <f>'Acct Summary 7-8'!H79</f>
        <v>683577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958871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5014666</v>
      </c>
      <c r="C1744" s="2" t="s">
        <v>573</v>
      </c>
      <c r="D1744" s="2" t="str">
        <f t="shared" si="26"/>
        <v>Error?</v>
      </c>
    </row>
    <row r="1745" spans="1:5" x14ac:dyDescent="0.2">
      <c r="A1745" s="5">
        <v>1684</v>
      </c>
      <c r="B1745" s="138">
        <f>'Tax Sched 23'!B5</f>
        <v>801388</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380661</v>
      </c>
      <c r="C1747" s="2" t="s">
        <v>573</v>
      </c>
      <c r="D1747" s="2" t="str">
        <f t="shared" si="26"/>
        <v>Error?</v>
      </c>
    </row>
    <row r="1748" spans="1:5" x14ac:dyDescent="0.2">
      <c r="A1748" s="5">
        <v>1687</v>
      </c>
      <c r="B1748" s="138">
        <f>'Tax Sched 23'!B8</f>
        <v>109192</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110201</v>
      </c>
      <c r="C1752" s="2" t="s">
        <v>573</v>
      </c>
      <c r="D1752" s="2" t="str">
        <f t="shared" si="26"/>
        <v>Error?</v>
      </c>
    </row>
    <row r="1753" spans="1:5" x14ac:dyDescent="0.2">
      <c r="A1753" s="5">
        <v>1692</v>
      </c>
      <c r="B1753" s="138">
        <f>'Tax Sched 23'!B12</f>
        <v>2608</v>
      </c>
      <c r="C1753" s="2" t="s">
        <v>573</v>
      </c>
      <c r="D1753" s="2" t="str">
        <f t="shared" si="26"/>
        <v>Error?</v>
      </c>
    </row>
    <row r="1754" spans="1:5" x14ac:dyDescent="0.2">
      <c r="A1754" s="5">
        <v>1693</v>
      </c>
      <c r="B1754" s="138">
        <f>'Tax Sched 23'!B14</f>
        <v>100063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6652013</v>
      </c>
      <c r="C1759" s="2" t="s">
        <v>573</v>
      </c>
      <c r="D1759" s="2" t="str">
        <f t="shared" si="26"/>
        <v>Error?</v>
      </c>
    </row>
    <row r="1760" spans="1:5" x14ac:dyDescent="0.2">
      <c r="A1760" s="5">
        <v>1699</v>
      </c>
      <c r="B1760" s="138">
        <f>'Tax Sched 23'!D4</f>
        <v>4007876</v>
      </c>
      <c r="C1760" s="2" t="s">
        <v>573</v>
      </c>
      <c r="D1760" s="2" t="str">
        <f t="shared" si="26"/>
        <v>Error?</v>
      </c>
    </row>
    <row r="1761" spans="1:5" x14ac:dyDescent="0.2">
      <c r="A1761" s="5">
        <v>1700</v>
      </c>
      <c r="B1761" s="138">
        <f>'Tax Sched 23'!D5</f>
        <v>641262</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304601</v>
      </c>
      <c r="C1763" s="2" t="s">
        <v>573</v>
      </c>
      <c r="D1763" s="2" t="str">
        <f t="shared" si="26"/>
        <v>Error?</v>
      </c>
    </row>
    <row r="1764" spans="1:5" x14ac:dyDescent="0.2">
      <c r="A1764" s="5">
        <v>1703</v>
      </c>
      <c r="B1764" s="138">
        <f>'Tax Sched 23'!D8</f>
        <v>87373</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88182</v>
      </c>
      <c r="C1768" s="2" t="s">
        <v>573</v>
      </c>
      <c r="D1768" s="2" t="str">
        <f t="shared" si="26"/>
        <v>Error?</v>
      </c>
    </row>
    <row r="1769" spans="1:5" x14ac:dyDescent="0.2">
      <c r="A1769" s="5">
        <v>1708</v>
      </c>
      <c r="B1769" s="138">
        <f>'Tax Sched 23'!D12</f>
        <v>2407</v>
      </c>
      <c r="C1769" s="2" t="s">
        <v>573</v>
      </c>
      <c r="D1769" s="2" t="str">
        <f t="shared" si="26"/>
        <v>Error?</v>
      </c>
    </row>
    <row r="1770" spans="1:5" x14ac:dyDescent="0.2">
      <c r="A1770" s="5">
        <v>1709</v>
      </c>
      <c r="B1770" s="138">
        <f>'Tax Sched 23'!D14</f>
        <v>80069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5315979</v>
      </c>
      <c r="C1775" s="2" t="s">
        <v>573</v>
      </c>
      <c r="D1775" s="2" t="str">
        <f t="shared" si="26"/>
        <v>Error?</v>
      </c>
    </row>
    <row r="1776" spans="1:5" x14ac:dyDescent="0.2">
      <c r="A1776" s="5">
        <v>1715</v>
      </c>
      <c r="B1776" s="138">
        <f>'Tax Sched 23'!C4</f>
        <v>1006790</v>
      </c>
      <c r="D1776" s="2" t="str">
        <f t="shared" si="26"/>
        <v>Error?</v>
      </c>
    </row>
    <row r="1777" spans="1:4" x14ac:dyDescent="0.2">
      <c r="A1777" s="5">
        <v>1716</v>
      </c>
      <c r="B1777" s="138">
        <f>'Tax Sched 23'!C5</f>
        <v>160126</v>
      </c>
      <c r="D1777" s="2" t="str">
        <f t="shared" si="26"/>
        <v>Error?</v>
      </c>
    </row>
    <row r="1778" spans="1:4" x14ac:dyDescent="0.2">
      <c r="A1778" s="5">
        <v>1717</v>
      </c>
      <c r="B1778" s="138">
        <f>'Tax Sched 23'!C6</f>
        <v>0</v>
      </c>
      <c r="D1778" s="2" t="str">
        <f t="shared" si="26"/>
        <v>Error?</v>
      </c>
    </row>
    <row r="1779" spans="1:4" x14ac:dyDescent="0.2">
      <c r="A1779" s="5">
        <v>1718</v>
      </c>
      <c r="B1779" s="138">
        <f>'Tax Sched 23'!C7</f>
        <v>76060</v>
      </c>
      <c r="D1779" s="2" t="str">
        <f t="shared" si="26"/>
        <v>Error?</v>
      </c>
    </row>
    <row r="1780" spans="1:4" x14ac:dyDescent="0.2">
      <c r="A1780" s="5">
        <v>1719</v>
      </c>
      <c r="B1780" s="138">
        <f>'Tax Sched 23'!C8</f>
        <v>21819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22019</v>
      </c>
      <c r="D1784" s="2" t="str">
        <f t="shared" si="26"/>
        <v>Error?</v>
      </c>
    </row>
    <row r="1785" spans="1:4" x14ac:dyDescent="0.2">
      <c r="A1785" s="5">
        <v>1724</v>
      </c>
      <c r="B1785" s="138">
        <f>'Tax Sched 23'!C12</f>
        <v>201</v>
      </c>
      <c r="D1785" s="2" t="str">
        <f t="shared" si="26"/>
        <v>Error?</v>
      </c>
    </row>
    <row r="1786" spans="1:4" x14ac:dyDescent="0.2">
      <c r="A1786" s="5">
        <v>1725</v>
      </c>
      <c r="B1786" s="138">
        <f>'Tax Sched 23'!C14</f>
        <v>19994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1336034</v>
      </c>
      <c r="C1791" s="2" t="s">
        <v>573</v>
      </c>
      <c r="D1791" s="2" t="str">
        <f t="shared" ref="D1791:D1854" si="27">IF(ISBLANK(B1791),"OK",IF(A1791-B1791=0,"OK","Error?"))</f>
        <v>Error?</v>
      </c>
    </row>
    <row r="1792" spans="1:4" x14ac:dyDescent="0.2">
      <c r="A1792" s="5">
        <v>1731</v>
      </c>
      <c r="B1792" s="138">
        <f>'Tax Sched 23'!F4</f>
        <v>4023212</v>
      </c>
      <c r="C1792" s="2" t="s">
        <v>573</v>
      </c>
      <c r="D1792" s="2" t="str">
        <f t="shared" si="27"/>
        <v>Error?</v>
      </c>
    </row>
    <row r="1793" spans="1:4" x14ac:dyDescent="0.2">
      <c r="A1793" s="5">
        <v>1732</v>
      </c>
      <c r="B1793" s="138">
        <f>'Tax Sched 23'!F5</f>
        <v>639879</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303947</v>
      </c>
      <c r="C1795" s="2" t="s">
        <v>573</v>
      </c>
      <c r="D1795" s="2" t="str">
        <f t="shared" si="27"/>
        <v>Error?</v>
      </c>
    </row>
    <row r="1796" spans="1:4" x14ac:dyDescent="0.2">
      <c r="A1796" s="5">
        <v>1735</v>
      </c>
      <c r="B1796" s="138">
        <f>'Tax Sched 23'!F8</f>
        <v>87193</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87994</v>
      </c>
      <c r="C1800" s="2" t="s">
        <v>573</v>
      </c>
      <c r="D1800" s="2" t="str">
        <f t="shared" si="27"/>
        <v>Error?</v>
      </c>
    </row>
    <row r="1801" spans="1:4" x14ac:dyDescent="0.2">
      <c r="A1801" s="5">
        <v>1740</v>
      </c>
      <c r="B1801" s="138">
        <f>'Tax Sched 23'!F12</f>
        <v>800</v>
      </c>
      <c r="C1801" s="2" t="s">
        <v>573</v>
      </c>
      <c r="D1801" s="2" t="str">
        <f t="shared" si="27"/>
        <v>Error?</v>
      </c>
    </row>
    <row r="1802" spans="1:4" x14ac:dyDescent="0.2">
      <c r="A1802" s="5">
        <v>1741</v>
      </c>
      <c r="B1802" s="138">
        <f>'Tax Sched 23'!F14</f>
        <v>79896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5338911</v>
      </c>
      <c r="C1807" s="2" t="s">
        <v>573</v>
      </c>
      <c r="D1807" s="2" t="str">
        <f t="shared" si="27"/>
        <v>Error?</v>
      </c>
    </row>
    <row r="1808" spans="1:4" x14ac:dyDescent="0.2">
      <c r="A1808" s="5">
        <v>1747</v>
      </c>
      <c r="B1808" s="138">
        <f>'Tax Sched 23'!E4</f>
        <v>5030002</v>
      </c>
      <c r="D1808" s="2" t="str">
        <f t="shared" si="27"/>
        <v>Error?</v>
      </c>
    </row>
    <row r="1809" spans="1:4" x14ac:dyDescent="0.2">
      <c r="A1809" s="5">
        <v>1748</v>
      </c>
      <c r="B1809" s="138">
        <f>'Tax Sched 23'!E5</f>
        <v>800005</v>
      </c>
      <c r="D1809" s="2" t="str">
        <f t="shared" si="27"/>
        <v>Error?</v>
      </c>
    </row>
    <row r="1810" spans="1:4" x14ac:dyDescent="0.2">
      <c r="A1810" s="5">
        <v>1749</v>
      </c>
      <c r="B1810" s="138">
        <f>'Tax Sched 23'!E6</f>
        <v>0</v>
      </c>
      <c r="D1810" s="2" t="str">
        <f t="shared" si="27"/>
        <v>Error?</v>
      </c>
    </row>
    <row r="1811" spans="1:4" x14ac:dyDescent="0.2">
      <c r="A1811" s="5">
        <v>1750</v>
      </c>
      <c r="B1811" s="138">
        <f>'Tax Sched 23'!E7</f>
        <v>380007</v>
      </c>
      <c r="D1811" s="2" t="str">
        <f t="shared" si="27"/>
        <v>Error?</v>
      </c>
    </row>
    <row r="1812" spans="1:4" x14ac:dyDescent="0.2">
      <c r="A1812" s="5">
        <v>1751</v>
      </c>
      <c r="B1812" s="138">
        <f>'Tax Sched 23'!E8</f>
        <v>109012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110013</v>
      </c>
      <c r="D1816" s="2" t="str">
        <f t="shared" si="27"/>
        <v>Error?</v>
      </c>
    </row>
    <row r="1817" spans="1:4" x14ac:dyDescent="0.2">
      <c r="A1817" s="5">
        <v>1756</v>
      </c>
      <c r="B1817" s="138">
        <f>'Tax Sched 23'!E12</f>
        <v>1001</v>
      </c>
      <c r="D1817" s="2" t="str">
        <f t="shared" si="27"/>
        <v>Error?</v>
      </c>
    </row>
    <row r="1818" spans="1:4" x14ac:dyDescent="0.2">
      <c r="A1818" s="5">
        <v>1757</v>
      </c>
      <c r="B1818" s="138">
        <f>'Tax Sched 23'!E14</f>
        <v>99890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6674945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100063</v>
      </c>
      <c r="D1972" s="2" t="str">
        <f t="shared" si="29"/>
        <v>Error?</v>
      </c>
    </row>
    <row r="1973" spans="1:5" x14ac:dyDescent="0.2">
      <c r="A1973" s="5">
        <v>1912</v>
      </c>
      <c r="B1973" s="138">
        <f>'Rest Tax Levies-Tort Im 25'!H6</f>
        <v>55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100118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100118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110000</v>
      </c>
      <c r="D2008" s="2" t="str">
        <f t="shared" si="30"/>
        <v>Error?</v>
      </c>
    </row>
    <row r="2009" spans="1:4" x14ac:dyDescent="0.2">
      <c r="A2009" s="5">
        <v>1948</v>
      </c>
      <c r="B2009" s="138">
        <f>'Cap Outlay Deprec 26'!C8</f>
        <v>9595999</v>
      </c>
      <c r="D2009" s="2" t="str">
        <f t="shared" si="30"/>
        <v>Error?</v>
      </c>
    </row>
    <row r="2010" spans="1:4" x14ac:dyDescent="0.2">
      <c r="A2010" s="5">
        <v>1949</v>
      </c>
      <c r="B2010" s="138">
        <f>'Cap Outlay Deprec 26'!C10</f>
        <v>1660843</v>
      </c>
      <c r="D2010" s="2" t="str">
        <f t="shared" si="30"/>
        <v>Error?</v>
      </c>
    </row>
    <row r="2011" spans="1:4" x14ac:dyDescent="0.2">
      <c r="A2011" s="5">
        <v>1950</v>
      </c>
      <c r="B2011" s="138">
        <f>'Cap Outlay Deprec 26'!C12</f>
        <v>905407</v>
      </c>
      <c r="D2011" s="2" t="str">
        <f t="shared" si="30"/>
        <v>Error?</v>
      </c>
    </row>
    <row r="2012" spans="1:4" x14ac:dyDescent="0.2">
      <c r="A2012" s="5">
        <v>1951</v>
      </c>
      <c r="B2012" s="138">
        <f>'Cap Outlay Deprec 26'!C13</f>
        <v>679523</v>
      </c>
      <c r="D2012" s="2" t="str">
        <f t="shared" si="30"/>
        <v>Error?</v>
      </c>
    </row>
    <row r="2013" spans="1:4" x14ac:dyDescent="0.2">
      <c r="A2013" s="5">
        <v>1952</v>
      </c>
      <c r="B2013" s="138">
        <f>'Cap Outlay Deprec 26'!C16</f>
        <v>12951772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22750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85435</v>
      </c>
      <c r="D2017" s="2" t="str">
        <f t="shared" si="30"/>
        <v>Error?</v>
      </c>
    </row>
    <row r="2018" spans="1:4" x14ac:dyDescent="0.2">
      <c r="A2018" s="5">
        <v>1957</v>
      </c>
      <c r="B2018" s="138">
        <f>'Cap Outlay Deprec 26'!D13</f>
        <v>176210</v>
      </c>
      <c r="D2018" s="2" t="str">
        <f t="shared" si="30"/>
        <v>Error?</v>
      </c>
    </row>
    <row r="2019" spans="1:4" x14ac:dyDescent="0.2">
      <c r="A2019" s="5">
        <v>1958</v>
      </c>
      <c r="B2019" s="138">
        <f>'Cap Outlay Deprec 26'!D16</f>
        <v>284395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117392</v>
      </c>
      <c r="D2023" s="2" t="str">
        <f t="shared" si="30"/>
        <v>Error?</v>
      </c>
    </row>
    <row r="2024" spans="1:4" x14ac:dyDescent="0.2">
      <c r="A2024" s="5">
        <v>1963</v>
      </c>
      <c r="B2024" s="138">
        <f>'Cap Outlay Deprec 26'!E13</f>
        <v>173283</v>
      </c>
      <c r="D2024" s="2" t="str">
        <f t="shared" si="30"/>
        <v>Error?</v>
      </c>
    </row>
    <row r="2025" spans="1:4" x14ac:dyDescent="0.2">
      <c r="A2025" s="5">
        <v>1964</v>
      </c>
      <c r="B2025" s="138">
        <f>'Cap Outlay Deprec 26'!E16</f>
        <v>290675</v>
      </c>
      <c r="C2025" s="2" t="s">
        <v>573</v>
      </c>
      <c r="D2025" s="2" t="str">
        <f t="shared" si="30"/>
        <v>Error?</v>
      </c>
    </row>
    <row r="2026" spans="1:4" x14ac:dyDescent="0.2">
      <c r="A2026" s="5">
        <v>1965</v>
      </c>
      <c r="B2026" s="138">
        <f>'Cap Outlay Deprec 26'!F5</f>
        <v>110000</v>
      </c>
      <c r="C2026" s="2" t="s">
        <v>573</v>
      </c>
      <c r="D2026" s="2" t="str">
        <f t="shared" si="30"/>
        <v>Error?</v>
      </c>
    </row>
    <row r="2027" spans="1:4" x14ac:dyDescent="0.2">
      <c r="A2027" s="5">
        <v>1966</v>
      </c>
      <c r="B2027" s="138">
        <f>'Cap Outlay Deprec 26'!F8</f>
        <v>9618749</v>
      </c>
      <c r="C2027" s="2" t="s">
        <v>573</v>
      </c>
      <c r="D2027" s="2" t="str">
        <f t="shared" si="30"/>
        <v>Error?</v>
      </c>
    </row>
    <row r="2028" spans="1:4" x14ac:dyDescent="0.2">
      <c r="A2028" s="5">
        <v>1967</v>
      </c>
      <c r="B2028" s="138">
        <f>'Cap Outlay Deprec 26'!F10</f>
        <v>1660843</v>
      </c>
      <c r="C2028" s="2" t="s">
        <v>573</v>
      </c>
      <c r="D2028" s="2" t="str">
        <f t="shared" si="30"/>
        <v>Error?</v>
      </c>
    </row>
    <row r="2029" spans="1:4" x14ac:dyDescent="0.2">
      <c r="A2029" s="5">
        <v>1968</v>
      </c>
      <c r="B2029" s="138">
        <f>'Cap Outlay Deprec 26'!F12</f>
        <v>873450</v>
      </c>
      <c r="C2029" s="2" t="s">
        <v>573</v>
      </c>
      <c r="D2029" s="2" t="str">
        <f t="shared" si="30"/>
        <v>Error?</v>
      </c>
    </row>
    <row r="2030" spans="1:4" x14ac:dyDescent="0.2">
      <c r="A2030" s="5">
        <v>1969</v>
      </c>
      <c r="B2030" s="138">
        <f>'Cap Outlay Deprec 26'!F13</f>
        <v>682450</v>
      </c>
      <c r="C2030" s="2" t="s">
        <v>573</v>
      </c>
      <c r="D2030" s="2" t="str">
        <f t="shared" si="30"/>
        <v>Error?</v>
      </c>
    </row>
    <row r="2031" spans="1:4" x14ac:dyDescent="0.2">
      <c r="A2031" s="5">
        <v>1970</v>
      </c>
      <c r="B2031" s="138">
        <f>'Cap Outlay Deprec 26'!F16</f>
        <v>12945492</v>
      </c>
      <c r="C2031" s="2" t="s">
        <v>573</v>
      </c>
      <c r="D2031" s="2" t="str">
        <f t="shared" si="30"/>
        <v>Error?</v>
      </c>
    </row>
    <row r="2032" spans="1:4" x14ac:dyDescent="0.2">
      <c r="A2032" s="10">
        <v>1971</v>
      </c>
      <c r="D2032" s="2" t="str">
        <f t="shared" si="30"/>
        <v>OK</v>
      </c>
    </row>
    <row r="2033" spans="1:4" x14ac:dyDescent="0.2">
      <c r="A2033" s="5">
        <v>1972</v>
      </c>
      <c r="B2033" s="138">
        <f>'Cap Outlay Deprec 26'!H8</f>
        <v>2554516</v>
      </c>
      <c r="D2033" s="2" t="str">
        <f t="shared" si="30"/>
        <v>Error?</v>
      </c>
    </row>
    <row r="2034" spans="1:4" x14ac:dyDescent="0.2">
      <c r="A2034" s="5">
        <v>1973</v>
      </c>
      <c r="B2034" s="138">
        <f>'Cap Outlay Deprec 26'!H10</f>
        <v>1178807</v>
      </c>
      <c r="D2034" s="2" t="str">
        <f t="shared" si="30"/>
        <v>Error?</v>
      </c>
    </row>
    <row r="2035" spans="1:4" x14ac:dyDescent="0.2">
      <c r="A2035" s="5">
        <v>1974</v>
      </c>
      <c r="B2035" s="138">
        <f>'Cap Outlay Deprec 26'!H12</f>
        <v>511950</v>
      </c>
      <c r="D2035" s="2" t="str">
        <f t="shared" si="30"/>
        <v>Error?</v>
      </c>
    </row>
    <row r="2036" spans="1:4" x14ac:dyDescent="0.2">
      <c r="A2036" s="5">
        <v>1975</v>
      </c>
      <c r="B2036" s="138">
        <f>'Cap Outlay Deprec 26'!H13</f>
        <v>491725</v>
      </c>
      <c r="D2036" s="2" t="str">
        <f t="shared" si="30"/>
        <v>Error?</v>
      </c>
    </row>
    <row r="2037" spans="1:4" x14ac:dyDescent="0.2">
      <c r="A2037" s="5">
        <v>1976</v>
      </c>
      <c r="B2037" s="138">
        <f>'Cap Outlay Deprec 26'!H16</f>
        <v>4736998</v>
      </c>
      <c r="C2037" s="2" t="s">
        <v>573</v>
      </c>
      <c r="D2037" s="2" t="str">
        <f t="shared" si="30"/>
        <v>Error?</v>
      </c>
    </row>
    <row r="2038" spans="1:4" x14ac:dyDescent="0.2">
      <c r="A2038" s="10">
        <v>1977</v>
      </c>
      <c r="D2038" s="2" t="str">
        <f t="shared" si="30"/>
        <v>OK</v>
      </c>
    </row>
    <row r="2039" spans="1:4" x14ac:dyDescent="0.2">
      <c r="A2039" s="5">
        <v>1978</v>
      </c>
      <c r="B2039" s="138">
        <f>'Cap Outlay Deprec 26'!I8</f>
        <v>192303</v>
      </c>
      <c r="D2039" s="2" t="str">
        <f t="shared" si="30"/>
        <v>Error?</v>
      </c>
    </row>
    <row r="2040" spans="1:4" x14ac:dyDescent="0.2">
      <c r="A2040" s="5">
        <v>1979</v>
      </c>
      <c r="B2040" s="138">
        <f>'Cap Outlay Deprec 26'!I10</f>
        <v>83043</v>
      </c>
      <c r="D2040" s="2" t="str">
        <f t="shared" si="30"/>
        <v>Error?</v>
      </c>
    </row>
    <row r="2041" spans="1:4" x14ac:dyDescent="0.2">
      <c r="A2041" s="5">
        <v>1980</v>
      </c>
      <c r="B2041" s="138">
        <f>'Cap Outlay Deprec 26'!I12</f>
        <v>83565</v>
      </c>
      <c r="D2041" s="2" t="str">
        <f t="shared" si="30"/>
        <v>Error?</v>
      </c>
    </row>
    <row r="2042" spans="1:4" x14ac:dyDescent="0.2">
      <c r="A2042" s="5">
        <v>1981</v>
      </c>
      <c r="B2042" s="138">
        <f>'Cap Outlay Deprec 26'!I13</f>
        <v>98048</v>
      </c>
      <c r="D2042" s="2" t="str">
        <f t="shared" si="30"/>
        <v>Error?</v>
      </c>
    </row>
    <row r="2043" spans="1:4" x14ac:dyDescent="0.2">
      <c r="A2043" s="5">
        <v>1982</v>
      </c>
      <c r="B2043" s="138">
        <f>'Cap Outlay Deprec 26'!I16</f>
        <v>456959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117392</v>
      </c>
      <c r="D2047" s="2" t="str">
        <f t="shared" ref="D2047:D2110" si="31">IF(ISBLANK(B2047),"OK",IF(A2047-B2047=0,"OK","Error?"))</f>
        <v>Error?</v>
      </c>
    </row>
    <row r="2048" spans="1:4" x14ac:dyDescent="0.2">
      <c r="A2048" s="5">
        <v>1987</v>
      </c>
      <c r="B2048" s="138">
        <f>'Cap Outlay Deprec 26'!J13</f>
        <v>173283</v>
      </c>
      <c r="D2048" s="2" t="str">
        <f t="shared" si="31"/>
        <v>Error?</v>
      </c>
    </row>
    <row r="2049" spans="1:4" x14ac:dyDescent="0.2">
      <c r="A2049" s="5">
        <v>1988</v>
      </c>
      <c r="B2049" s="138">
        <f>'Cap Outlay Deprec 26'!J16</f>
        <v>290675</v>
      </c>
      <c r="C2049" s="2" t="s">
        <v>573</v>
      </c>
      <c r="D2049" s="2" t="str">
        <f t="shared" si="31"/>
        <v>Error?</v>
      </c>
    </row>
    <row r="2050" spans="1:4" x14ac:dyDescent="0.2">
      <c r="A2050" s="10">
        <v>1989</v>
      </c>
      <c r="D2050" s="2" t="str">
        <f t="shared" si="31"/>
        <v>OK</v>
      </c>
    </row>
    <row r="2051" spans="1:4" x14ac:dyDescent="0.2">
      <c r="A2051" s="5">
        <v>1990</v>
      </c>
      <c r="B2051" s="138">
        <f>'Cap Outlay Deprec 26'!K8</f>
        <v>2746819</v>
      </c>
      <c r="C2051" s="2" t="s">
        <v>573</v>
      </c>
      <c r="D2051" s="2" t="str">
        <f t="shared" si="31"/>
        <v>Error?</v>
      </c>
    </row>
    <row r="2052" spans="1:4" x14ac:dyDescent="0.2">
      <c r="A2052" s="5">
        <v>1991</v>
      </c>
      <c r="B2052" s="138">
        <f>'Cap Outlay Deprec 26'!K10</f>
        <v>1261850</v>
      </c>
      <c r="C2052" s="2" t="s">
        <v>573</v>
      </c>
      <c r="D2052" s="2" t="str">
        <f t="shared" si="31"/>
        <v>Error?</v>
      </c>
    </row>
    <row r="2053" spans="1:4" x14ac:dyDescent="0.2">
      <c r="A2053" s="5">
        <v>1992</v>
      </c>
      <c r="B2053" s="138">
        <f>'Cap Outlay Deprec 26'!K12</f>
        <v>478123</v>
      </c>
      <c r="C2053" s="2" t="s">
        <v>573</v>
      </c>
      <c r="D2053" s="2" t="str">
        <f t="shared" si="31"/>
        <v>Error?</v>
      </c>
    </row>
    <row r="2054" spans="1:4" x14ac:dyDescent="0.2">
      <c r="A2054" s="5">
        <v>1993</v>
      </c>
      <c r="B2054" s="138">
        <f>'Cap Outlay Deprec 26'!K13</f>
        <v>416490</v>
      </c>
      <c r="C2054" s="2" t="s">
        <v>573</v>
      </c>
      <c r="D2054" s="2" t="str">
        <f t="shared" si="31"/>
        <v>Error?</v>
      </c>
    </row>
    <row r="2055" spans="1:4" x14ac:dyDescent="0.2">
      <c r="A2055" s="5">
        <v>1994</v>
      </c>
      <c r="B2055" s="138">
        <f>'Cap Outlay Deprec 26'!K16</f>
        <v>4903282</v>
      </c>
      <c r="C2055" s="2" t="s">
        <v>573</v>
      </c>
      <c r="D2055" s="2" t="str">
        <f t="shared" si="31"/>
        <v>Error?</v>
      </c>
    </row>
    <row r="2056" spans="1:4" x14ac:dyDescent="0.2">
      <c r="A2056" s="5">
        <v>1995</v>
      </c>
      <c r="B2056" s="138">
        <f>'Cap Outlay Deprec 26'!L5</f>
        <v>110000</v>
      </c>
      <c r="C2056" s="2" t="s">
        <v>573</v>
      </c>
      <c r="D2056" s="2" t="str">
        <f t="shared" si="31"/>
        <v>Error?</v>
      </c>
    </row>
    <row r="2057" spans="1:4" x14ac:dyDescent="0.2">
      <c r="A2057" s="5">
        <v>1996</v>
      </c>
      <c r="B2057" s="138">
        <f>'Cap Outlay Deprec 26'!L8</f>
        <v>6871930</v>
      </c>
      <c r="C2057" s="2" t="s">
        <v>573</v>
      </c>
      <c r="D2057" s="2" t="str">
        <f t="shared" si="31"/>
        <v>Error?</v>
      </c>
    </row>
    <row r="2058" spans="1:4" x14ac:dyDescent="0.2">
      <c r="A2058" s="5">
        <v>1997</v>
      </c>
      <c r="B2058" s="138">
        <f>'Cap Outlay Deprec 26'!L10</f>
        <v>398993</v>
      </c>
      <c r="C2058" s="2" t="s">
        <v>573</v>
      </c>
      <c r="D2058" s="2" t="str">
        <f t="shared" si="31"/>
        <v>Error?</v>
      </c>
    </row>
    <row r="2059" spans="1:4" x14ac:dyDescent="0.2">
      <c r="A2059" s="5">
        <v>1998</v>
      </c>
      <c r="B2059" s="138">
        <f>'Cap Outlay Deprec 26'!L12</f>
        <v>395327</v>
      </c>
      <c r="C2059" s="2" t="s">
        <v>573</v>
      </c>
      <c r="D2059" s="2" t="str">
        <f t="shared" si="31"/>
        <v>Error?</v>
      </c>
    </row>
    <row r="2060" spans="1:4" x14ac:dyDescent="0.2">
      <c r="A2060" s="5">
        <v>1999</v>
      </c>
      <c r="B2060" s="138">
        <f>'Cap Outlay Deprec 26'!L13</f>
        <v>265960</v>
      </c>
      <c r="C2060" s="2" t="s">
        <v>573</v>
      </c>
      <c r="D2060" s="2" t="str">
        <f t="shared" si="31"/>
        <v>Error?</v>
      </c>
    </row>
    <row r="2061" spans="1:4" x14ac:dyDescent="0.2">
      <c r="A2061" s="5">
        <v>2000</v>
      </c>
      <c r="B2061" s="138">
        <f>'Cap Outlay Deprec 26'!L16</f>
        <v>8042210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103926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269432</v>
      </c>
      <c r="C2088" s="2" t="s">
        <v>573</v>
      </c>
      <c r="D2088" s="2" t="str">
        <f t="shared" si="31"/>
        <v>Error?</v>
      </c>
    </row>
    <row r="2089" spans="1:4" x14ac:dyDescent="0.2">
      <c r="A2089" s="5">
        <v>2028</v>
      </c>
      <c r="B2089" s="138">
        <f>'Expenditures 15-22'!K92</f>
        <v>36286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27741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958871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5382901</v>
      </c>
      <c r="C2551" s="2" t="s">
        <v>573</v>
      </c>
      <c r="D2551" s="2" t="str">
        <f t="shared" si="38"/>
        <v>Error?</v>
      </c>
    </row>
    <row r="2552" spans="1:4" x14ac:dyDescent="0.2">
      <c r="A2552" s="10">
        <v>2491</v>
      </c>
      <c r="D2552" s="2" t="str">
        <f t="shared" si="38"/>
        <v>OK</v>
      </c>
    </row>
    <row r="2553" spans="1:4" x14ac:dyDescent="0.2">
      <c r="A2553" s="5">
        <v>2492</v>
      </c>
      <c r="B2553" s="138">
        <f>'Acct Summary 7-8'!C6</f>
        <v>505680</v>
      </c>
      <c r="C2553" s="2" t="s">
        <v>573</v>
      </c>
      <c r="D2553" s="2" t="str">
        <f t="shared" si="38"/>
        <v>Error?</v>
      </c>
    </row>
    <row r="2554" spans="1:4" x14ac:dyDescent="0.2">
      <c r="A2554" s="5">
        <v>2493</v>
      </c>
      <c r="B2554" s="138">
        <f>'Acct Summary 7-8'!C7</f>
        <v>525656</v>
      </c>
      <c r="C2554" s="2" t="s">
        <v>573</v>
      </c>
      <c r="D2554" s="2" t="str">
        <f t="shared" si="38"/>
        <v>Error?</v>
      </c>
    </row>
    <row r="2555" spans="1:4" x14ac:dyDescent="0.2">
      <c r="A2555" s="5">
        <v>2494</v>
      </c>
      <c r="B2555" s="138">
        <f>'Acct Summary 7-8'!C8</f>
        <v>6414237</v>
      </c>
      <c r="C2555" s="2" t="s">
        <v>573</v>
      </c>
      <c r="D2555" s="2" t="str">
        <f t="shared" si="38"/>
        <v>Error?</v>
      </c>
    </row>
    <row r="2556" spans="1:4" x14ac:dyDescent="0.2">
      <c r="A2556" s="5">
        <v>2495</v>
      </c>
      <c r="B2556" s="138">
        <f>'Acct Summary 7-8'!C12</f>
        <v>4513158</v>
      </c>
      <c r="C2556" s="2" t="s">
        <v>573</v>
      </c>
      <c r="D2556" s="2" t="str">
        <f t="shared" si="38"/>
        <v>Error?</v>
      </c>
    </row>
    <row r="2557" spans="1:4" x14ac:dyDescent="0.2">
      <c r="A2557" s="5">
        <v>2496</v>
      </c>
      <c r="B2557" s="138">
        <f>'Acct Summary 7-8'!C13</f>
        <v>1522390</v>
      </c>
      <c r="C2557" s="2" t="s">
        <v>573</v>
      </c>
      <c r="D2557" s="2" t="str">
        <f t="shared" si="38"/>
        <v>Error?</v>
      </c>
    </row>
    <row r="2558" spans="1:4" x14ac:dyDescent="0.2">
      <c r="A2558" s="5">
        <v>2497</v>
      </c>
      <c r="B2558" s="138">
        <f>'Acct Summary 7-8'!C14</f>
        <v>760</v>
      </c>
      <c r="C2558" s="2" t="s">
        <v>573</v>
      </c>
      <c r="D2558" s="2" t="str">
        <f t="shared" si="38"/>
        <v>Error?</v>
      </c>
    </row>
    <row r="2559" spans="1:4" x14ac:dyDescent="0.2">
      <c r="A2559" s="5">
        <v>2498</v>
      </c>
      <c r="B2559" s="138">
        <f>'Acct Summary 7-8'!C15</f>
        <v>305718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6342026</v>
      </c>
      <c r="C2561" s="2" t="s">
        <v>573</v>
      </c>
      <c r="D2561" s="2" t="str">
        <f t="shared" si="39"/>
        <v>Error?</v>
      </c>
    </row>
    <row r="2562" spans="1:4" x14ac:dyDescent="0.2">
      <c r="A2562" s="5">
        <v>2501</v>
      </c>
      <c r="B2562" s="138">
        <f>'Acct Summary 7-8'!C20</f>
        <v>72211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987382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987382</v>
      </c>
      <c r="C2568" s="2" t="s">
        <v>573</v>
      </c>
      <c r="D2568" s="2" t="str">
        <f t="shared" si="39"/>
        <v>Error?</v>
      </c>
    </row>
    <row r="2569" spans="1:4" x14ac:dyDescent="0.2">
      <c r="A2569" s="5">
        <v>2508</v>
      </c>
      <c r="B2569" s="138">
        <f>'Acct Summary 7-8'!D13</f>
        <v>661592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661592</v>
      </c>
      <c r="C2573" s="2" t="s">
        <v>573</v>
      </c>
      <c r="D2573" s="2" t="str">
        <f t="shared" si="39"/>
        <v>Error?</v>
      </c>
    </row>
    <row r="2574" spans="1:4" x14ac:dyDescent="0.2">
      <c r="A2574" s="5">
        <v>2513</v>
      </c>
      <c r="B2574" s="138">
        <f>'Acct Summary 7-8'!D20</f>
        <v>325790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408635</v>
      </c>
      <c r="C2591" s="2" t="s">
        <v>573</v>
      </c>
      <c r="D2591" s="2" t="str">
        <f t="shared" si="39"/>
        <v>Error?</v>
      </c>
    </row>
    <row r="2592" spans="1:4" x14ac:dyDescent="0.2">
      <c r="A2592" s="10">
        <v>2531</v>
      </c>
      <c r="D2592" s="2" t="str">
        <f t="shared" si="39"/>
        <v>OK</v>
      </c>
    </row>
    <row r="2593" spans="1:4" x14ac:dyDescent="0.2">
      <c r="A2593" s="5">
        <v>2532</v>
      </c>
      <c r="B2593" s="138">
        <f>'Acct Summary 7-8'!F6</f>
        <v>123396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532031</v>
      </c>
      <c r="C2595" s="2" t="s">
        <v>573</v>
      </c>
      <c r="D2595" s="2" t="str">
        <f t="shared" si="39"/>
        <v>Error?</v>
      </c>
    </row>
    <row r="2596" spans="1:4" x14ac:dyDescent="0.2">
      <c r="A2596" s="5">
        <v>2535</v>
      </c>
      <c r="B2596" s="138">
        <f>'Acct Summary 7-8'!F13</f>
        <v>463149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463149</v>
      </c>
      <c r="C2600" s="2" t="s">
        <v>573</v>
      </c>
      <c r="D2600" s="2" t="str">
        <f t="shared" si="39"/>
        <v>Error?</v>
      </c>
    </row>
    <row r="2601" spans="1:4" x14ac:dyDescent="0.2">
      <c r="A2601" s="5">
        <v>2540</v>
      </c>
      <c r="B2601" s="138">
        <f>'Acct Summary 7-8'!F20</f>
        <v>68882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259937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259937</v>
      </c>
      <c r="C2606" s="2" t="s">
        <v>573</v>
      </c>
      <c r="D2606" s="2" t="str">
        <f t="shared" si="39"/>
        <v>Error?</v>
      </c>
    </row>
    <row r="2607" spans="1:4" x14ac:dyDescent="0.2">
      <c r="A2607" s="5">
        <v>2546</v>
      </c>
      <c r="B2607" s="138">
        <f>'Acct Summary 7-8'!G12</f>
        <v>93115</v>
      </c>
      <c r="C2607" s="2" t="s">
        <v>573</v>
      </c>
      <c r="D2607" s="2" t="str">
        <f t="shared" si="39"/>
        <v>Error?</v>
      </c>
    </row>
    <row r="2608" spans="1:4" x14ac:dyDescent="0.2">
      <c r="A2608" s="5">
        <v>2547</v>
      </c>
      <c r="B2608" s="138">
        <f>'Acct Summary 7-8'!G13</f>
        <v>166503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259618</v>
      </c>
      <c r="C2612" s="2" t="s">
        <v>573</v>
      </c>
      <c r="D2612" s="2" t="str">
        <f t="shared" si="39"/>
        <v>Error?</v>
      </c>
    </row>
    <row r="2613" spans="1:4" x14ac:dyDescent="0.2">
      <c r="A2613" s="5">
        <v>2552</v>
      </c>
      <c r="B2613" s="138">
        <f>'Acct Summary 7-8'!G20</f>
        <v>319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318719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318719</v>
      </c>
      <c r="C2658" s="2" t="s">
        <v>573</v>
      </c>
      <c r="D2658" s="2" t="str">
        <f t="shared" si="40"/>
        <v>Error?</v>
      </c>
    </row>
    <row r="2659" spans="1:4" x14ac:dyDescent="0.2">
      <c r="A2659" s="5">
        <v>2598</v>
      </c>
      <c r="B2659" s="138">
        <f>'Acct Summary 7-8'!H13</f>
        <v>43425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43425</v>
      </c>
      <c r="C2661" s="2" t="s">
        <v>573</v>
      </c>
      <c r="D2661" s="2" t="str">
        <f t="shared" si="40"/>
        <v>Error?</v>
      </c>
    </row>
    <row r="2662" spans="1:4" x14ac:dyDescent="0.2">
      <c r="A2662" s="5">
        <v>2601</v>
      </c>
      <c r="B2662" s="138">
        <f>'Acct Summary 7-8'!H20</f>
        <v>275294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165506</v>
      </c>
      <c r="C2789" s="2" t="s">
        <v>573</v>
      </c>
      <c r="D2789" s="2" t="str">
        <f t="shared" si="42"/>
        <v>Error?</v>
      </c>
    </row>
    <row r="2790" spans="1:4" x14ac:dyDescent="0.2">
      <c r="A2790" s="5">
        <v>2729</v>
      </c>
      <c r="B2790" s="138">
        <f>'Expenditures 15-22'!E102</f>
        <v>165506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551747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632176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632176</v>
      </c>
      <c r="D2914" s="2" t="str">
        <f t="shared" si="44"/>
        <v>Error?</v>
      </c>
    </row>
    <row r="2915" spans="1:4" x14ac:dyDescent="0.2">
      <c r="A2915" s="10">
        <v>2854</v>
      </c>
      <c r="D2915" s="2" t="str">
        <f t="shared" si="44"/>
        <v>OK</v>
      </c>
    </row>
    <row r="2916" spans="1:4" x14ac:dyDescent="0.2">
      <c r="A2916" s="5">
        <v>2855</v>
      </c>
      <c r="B2916" s="138">
        <f>'Assets-Liab 5-6'!L34</f>
        <v>632176</v>
      </c>
      <c r="C2916" s="2" t="s">
        <v>573</v>
      </c>
      <c r="D2916" s="2" t="str">
        <f t="shared" si="44"/>
        <v>Error?</v>
      </c>
    </row>
    <row r="2917" spans="1:4" x14ac:dyDescent="0.2">
      <c r="A2917" s="5">
        <v>2856</v>
      </c>
      <c r="B2917" s="138">
        <f>'Assets-Liab 5-6'!L41</f>
        <v>632176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165506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103926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165506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103926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65063</v>
      </c>
      <c r="D3055" s="2" t="str">
        <f t="shared" si="46"/>
        <v>Error?</v>
      </c>
    </row>
    <row r="3056" spans="1:4" x14ac:dyDescent="0.2">
      <c r="A3056" s="5">
        <v>2995</v>
      </c>
      <c r="B3056" s="138">
        <f>'Expenditures 15-22'!D10</f>
        <v>21253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538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86854</v>
      </c>
      <c r="C3062" s="2" t="s">
        <v>573</v>
      </c>
      <c r="D3062" s="2" t="str">
        <f t="shared" si="46"/>
        <v>Error?</v>
      </c>
    </row>
    <row r="3063" spans="1:4" x14ac:dyDescent="0.2">
      <c r="A3063" s="10">
        <v>3002</v>
      </c>
      <c r="D3063" s="2" t="str">
        <f t="shared" si="46"/>
        <v>OK</v>
      </c>
    </row>
    <row r="3064" spans="1:4" x14ac:dyDescent="0.2">
      <c r="A3064" s="5">
        <v>3003</v>
      </c>
      <c r="B3064" s="138">
        <f>'Expenditures 15-22'!D219</f>
        <v>806</v>
      </c>
      <c r="D3064" s="2" t="str">
        <f t="shared" si="46"/>
        <v>Error?</v>
      </c>
    </row>
    <row r="3065" spans="1:4" x14ac:dyDescent="0.2">
      <c r="A3065" s="5">
        <v>3004</v>
      </c>
      <c r="B3065" s="138">
        <f>'Expenditures 15-22'!K219</f>
        <v>806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72211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325790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68882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319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275294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506629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84104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3344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4686</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598571</v>
      </c>
      <c r="C3380" s="2" t="s">
        <v>573</v>
      </c>
      <c r="D3380" s="2" t="str">
        <f t="shared" si="51"/>
        <v>Error?</v>
      </c>
    </row>
    <row r="3381" spans="1:4" x14ac:dyDescent="0.2">
      <c r="A3381" s="5">
        <v>3320</v>
      </c>
      <c r="B3381" s="138">
        <f>'Expenditures 15-22'!K19</f>
        <v>4686</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37380</v>
      </c>
      <c r="D3387" s="2" t="str">
        <f t="shared" si="51"/>
        <v>Error?</v>
      </c>
    </row>
    <row r="3388" spans="1:4" x14ac:dyDescent="0.2">
      <c r="A3388" s="5">
        <v>3327</v>
      </c>
      <c r="B3388" s="138">
        <f>'Expenditures 15-22'!D217</f>
        <v>35771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37380</v>
      </c>
      <c r="C3390" s="2" t="s">
        <v>573</v>
      </c>
      <c r="D3390" s="2" t="str">
        <f t="shared" si="51"/>
        <v>Error?</v>
      </c>
    </row>
    <row r="3391" spans="1:4" x14ac:dyDescent="0.2">
      <c r="A3391" s="5">
        <v>3330</v>
      </c>
      <c r="B3391" s="138">
        <f>'Expenditures 15-22'!K217</f>
        <v>35771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5953023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3088980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2061048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176242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958871</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80429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133234</v>
      </c>
      <c r="C3446" s="2" t="s">
        <v>573</v>
      </c>
      <c r="D3446" s="2" t="str">
        <f t="shared" si="52"/>
        <v>Error?</v>
      </c>
    </row>
    <row r="3447" spans="1:4" x14ac:dyDescent="0.2">
      <c r="A3447" s="5">
        <v>3386</v>
      </c>
      <c r="B3447" s="138">
        <f>'Tax Sched 23'!D16</f>
        <v>104209</v>
      </c>
      <c r="C3447" s="2" t="s">
        <v>573</v>
      </c>
      <c r="D3447" s="2" t="str">
        <f t="shared" si="52"/>
        <v>Error?</v>
      </c>
    </row>
    <row r="3448" spans="1:4" x14ac:dyDescent="0.2">
      <c r="A3448" s="5">
        <v>3387</v>
      </c>
      <c r="B3448" s="138">
        <f>'Tax Sched 23'!C16</f>
        <v>29025</v>
      </c>
      <c r="D3448" s="2" t="str">
        <f t="shared" si="52"/>
        <v>Error?</v>
      </c>
    </row>
    <row r="3449" spans="1:4" x14ac:dyDescent="0.2">
      <c r="A3449" s="5">
        <v>3388</v>
      </c>
      <c r="B3449" s="138">
        <f>'Tax Sched 23'!F16</f>
        <v>115990</v>
      </c>
      <c r="C3449" s="2" t="s">
        <v>573</v>
      </c>
      <c r="D3449" s="2" t="str">
        <f t="shared" si="52"/>
        <v>Error?</v>
      </c>
    </row>
    <row r="3450" spans="1:4" x14ac:dyDescent="0.2">
      <c r="A3450" s="5">
        <v>3389</v>
      </c>
      <c r="B3450" s="138">
        <f>'Tax Sched 23'!E16</f>
        <v>145015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52372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52372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52372</v>
      </c>
      <c r="D3567" s="2" t="str">
        <f t="shared" si="54"/>
        <v>Error?</v>
      </c>
    </row>
    <row r="3568" spans="1:4" x14ac:dyDescent="0.2">
      <c r="A3568" s="5">
        <v>3507</v>
      </c>
      <c r="B3568" s="138">
        <f>'Assets-Liab 5-6'!K41</f>
        <v>52372</v>
      </c>
      <c r="C3568" s="2" t="s">
        <v>573</v>
      </c>
      <c r="D3568" s="2" t="str">
        <f t="shared" si="54"/>
        <v>Error?</v>
      </c>
    </row>
    <row r="3569" spans="1:4" x14ac:dyDescent="0.2">
      <c r="A3569" s="5">
        <v>3508</v>
      </c>
      <c r="B3569" s="138">
        <f>'Acct Summary 7-8'!K4</f>
        <v>2965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2965</v>
      </c>
      <c r="C3571" s="2" t="s">
        <v>573</v>
      </c>
      <c r="D3571" s="2" t="str">
        <f t="shared" si="54"/>
        <v>Error?</v>
      </c>
    </row>
    <row r="3572" spans="1:4" x14ac:dyDescent="0.2">
      <c r="A3572" s="5">
        <v>3511</v>
      </c>
      <c r="B3572" s="138">
        <f>'Acct Summary 7-8'!K13</f>
        <v>2280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2280</v>
      </c>
      <c r="C3575" s="2" t="s">
        <v>573</v>
      </c>
      <c r="D3575" s="2" t="str">
        <f t="shared" si="54"/>
        <v>Error?</v>
      </c>
    </row>
    <row r="3576" spans="1:4" x14ac:dyDescent="0.2">
      <c r="A3576" s="5">
        <v>3515</v>
      </c>
      <c r="B3576" s="138">
        <f>'Acct Summary 7-8'!K20</f>
        <v>685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685</v>
      </c>
      <c r="C3588" s="2" t="s">
        <v>573</v>
      </c>
      <c r="D3588" s="2" t="str">
        <f t="shared" si="55"/>
        <v>Error?</v>
      </c>
    </row>
    <row r="3589" spans="1:4" x14ac:dyDescent="0.2">
      <c r="A3589" s="5">
        <v>3528</v>
      </c>
      <c r="B3589" s="138">
        <f>'Acct Summary 7-8'!K79</f>
        <v>51687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52372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2280</v>
      </c>
      <c r="D3646" s="2" t="str">
        <f t="shared" si="55"/>
        <v>Error?</v>
      </c>
    </row>
    <row r="3647" spans="1:4" x14ac:dyDescent="0.2">
      <c r="A3647" s="5">
        <v>3586</v>
      </c>
      <c r="B3647" s="138">
        <f>'Expenditures 15-22'!G350</f>
        <v>2280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2280</v>
      </c>
      <c r="C3649" s="2" t="s">
        <v>573</v>
      </c>
      <c r="D3649" s="2" t="str">
        <f t="shared" si="56"/>
        <v>Error?</v>
      </c>
    </row>
    <row r="3650" spans="1:4" x14ac:dyDescent="0.2">
      <c r="A3650" s="5">
        <v>3589</v>
      </c>
      <c r="B3650" s="138">
        <f>'Expenditures 15-22'!G367</f>
        <v>2280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2280</v>
      </c>
      <c r="C3669" s="2" t="s">
        <v>573</v>
      </c>
      <c r="D3669" s="2" t="str">
        <f t="shared" si="56"/>
        <v>Error?</v>
      </c>
    </row>
    <row r="3670" spans="1:4" x14ac:dyDescent="0.2">
      <c r="A3670" s="5">
        <v>3609</v>
      </c>
      <c r="B3670" s="138">
        <f>'Expenditures 15-22'!K350</f>
        <v>2280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2280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2280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685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124146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2883423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9297660</v>
      </c>
      <c r="C4122" s="2" t="s">
        <v>573</v>
      </c>
      <c r="D4122" s="2" t="str">
        <f t="shared" si="63"/>
        <v>Error?</v>
      </c>
    </row>
    <row r="4123" spans="1:4" x14ac:dyDescent="0.2">
      <c r="A4123" s="5">
        <v>4062</v>
      </c>
      <c r="B4123" s="138">
        <f>'Acct Summary 7-8'!D10</f>
        <v>987382</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532031</v>
      </c>
      <c r="C4125" s="2" t="s">
        <v>573</v>
      </c>
      <c r="D4125" s="2" t="str">
        <f t="shared" si="63"/>
        <v>Error?</v>
      </c>
    </row>
    <row r="4126" spans="1:4" x14ac:dyDescent="0.2">
      <c r="A4126" s="5">
        <v>4065</v>
      </c>
      <c r="B4126" s="138">
        <f>'Acct Summary 7-8'!G10</f>
        <v>259937</v>
      </c>
      <c r="C4126" s="2" t="s">
        <v>573</v>
      </c>
      <c r="D4126" s="2" t="str">
        <f t="shared" si="63"/>
        <v>Error?</v>
      </c>
    </row>
    <row r="4127" spans="1:4" x14ac:dyDescent="0.2">
      <c r="A4127" s="5">
        <v>4066</v>
      </c>
      <c r="B4127" s="138">
        <f>'Acct Summary 7-8'!H10</f>
        <v>318719</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2965</v>
      </c>
      <c r="C4130" s="2" t="s">
        <v>573</v>
      </c>
      <c r="D4130" s="2" t="str">
        <f t="shared" si="63"/>
        <v>Error?</v>
      </c>
    </row>
    <row r="4131" spans="1:4" x14ac:dyDescent="0.2">
      <c r="A4131" s="5">
        <v>4070</v>
      </c>
      <c r="B4131" s="138">
        <f>'Acct Summary 7-8'!C18</f>
        <v>2883423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9225449</v>
      </c>
      <c r="C4136" s="2" t="s">
        <v>573</v>
      </c>
      <c r="D4136" s="2" t="str">
        <f t="shared" si="63"/>
        <v>Error?</v>
      </c>
    </row>
    <row r="4137" spans="1:4" x14ac:dyDescent="0.2">
      <c r="A4137" s="5">
        <v>4076</v>
      </c>
      <c r="B4137" s="138">
        <f>'Acct Summary 7-8'!D19</f>
        <v>661592</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463149</v>
      </c>
      <c r="C4139" s="2" t="s">
        <v>573</v>
      </c>
      <c r="D4139" s="2" t="str">
        <f t="shared" si="63"/>
        <v>Error?</v>
      </c>
    </row>
    <row r="4140" spans="1:4" x14ac:dyDescent="0.2">
      <c r="A4140" s="5">
        <v>4079</v>
      </c>
      <c r="B4140" s="138">
        <f>'Acct Summary 7-8'!G19</f>
        <v>259618</v>
      </c>
      <c r="C4140" s="2" t="s">
        <v>573</v>
      </c>
      <c r="D4140" s="2" t="str">
        <f t="shared" si="63"/>
        <v>Error?</v>
      </c>
    </row>
    <row r="4141" spans="1:4" x14ac:dyDescent="0.2">
      <c r="A4141" s="5">
        <v>4080</v>
      </c>
      <c r="B4141" s="138">
        <f>'Acct Summary 7-8'!H19</f>
        <v>43425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2280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3115.5</v>
      </c>
      <c r="C4265" s="2" t="s">
        <v>573</v>
      </c>
      <c r="D4265" s="2" t="str">
        <f t="shared" si="65"/>
        <v>Error?</v>
      </c>
      <c r="E4265" s="128"/>
    </row>
    <row r="4266" spans="1:5" x14ac:dyDescent="0.2">
      <c r="A4266" s="12">
        <v>4205</v>
      </c>
      <c r="B4266" s="138">
        <f>('FP Info 3'!F10)*100000</f>
        <v>495.50999999999993</v>
      </c>
      <c r="C4266" s="2" t="s">
        <v>573</v>
      </c>
      <c r="D4266" s="2" t="str">
        <f t="shared" si="65"/>
        <v>Error?</v>
      </c>
      <c r="E4266" s="128"/>
    </row>
    <row r="4267" spans="1:5" x14ac:dyDescent="0.2">
      <c r="A4267" s="12">
        <v>4206</v>
      </c>
      <c r="B4267" s="138">
        <f>('FP Info 3'!H10)*100000</f>
        <v>235.36999999999998</v>
      </c>
      <c r="C4267" s="2" t="s">
        <v>573</v>
      </c>
      <c r="D4267" s="2" t="str">
        <f t="shared" si="65"/>
        <v>Error?</v>
      </c>
      <c r="E4267" s="128"/>
    </row>
    <row r="4268" spans="1:5" x14ac:dyDescent="0.2">
      <c r="A4268" s="12">
        <v>4207</v>
      </c>
      <c r="B4268" s="138">
        <f>('FP Info 3'!J10)*100000</f>
        <v>3846</v>
      </c>
      <c r="C4268" s="2" t="s">
        <v>573</v>
      </c>
      <c r="D4268" s="2" t="str">
        <f t="shared" si="65"/>
        <v>Error?</v>
      </c>
    </row>
    <row r="4269" spans="1:5" x14ac:dyDescent="0.2">
      <c r="A4269" s="12">
        <v>4208</v>
      </c>
      <c r="B4269" s="138">
        <f>'FP Info 3'!J16</f>
        <v>11103051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13587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30291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3800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15970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896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6971</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1269</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162660336</v>
      </c>
      <c r="D4995" s="2" t="str">
        <f t="shared" si="77"/>
        <v>Error?</v>
      </c>
    </row>
    <row r="4996" spans="1:4" x14ac:dyDescent="0.2">
      <c r="A4996" s="12">
        <v>4935</v>
      </c>
      <c r="B4996" s="138">
        <f>'FP Info 3'!H31</f>
        <v>22447126.368000001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5014666</v>
      </c>
      <c r="D5061" s="2" t="str">
        <f t="shared" si="78"/>
        <v>Error?</v>
      </c>
    </row>
    <row r="5062" spans="1:4" x14ac:dyDescent="0.2">
      <c r="A5062" s="10">
        <v>5001</v>
      </c>
      <c r="D5062" s="2" t="str">
        <f t="shared" si="78"/>
        <v>OK</v>
      </c>
    </row>
    <row r="5063" spans="1:4" x14ac:dyDescent="0.2">
      <c r="A5063" s="5">
        <v>5002</v>
      </c>
      <c r="B5063" s="138">
        <f>'Revenues 9-14'!C7</f>
        <v>100063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5114729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87829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87829</v>
      </c>
      <c r="C5090" s="2" t="s">
        <v>573</v>
      </c>
      <c r="D5090" s="2" t="str">
        <f t="shared" si="78"/>
        <v>Error?</v>
      </c>
    </row>
    <row r="5091" spans="1:4" x14ac:dyDescent="0.2">
      <c r="A5091" s="5">
        <v>5030</v>
      </c>
      <c r="B5091" s="138">
        <f>'Revenues 9-14'!C70</f>
        <v>7001</v>
      </c>
      <c r="D5091" s="2" t="str">
        <f t="shared" si="78"/>
        <v>Error?</v>
      </c>
    </row>
    <row r="5092" spans="1:4" x14ac:dyDescent="0.2">
      <c r="A5092" s="5">
        <v>5031</v>
      </c>
      <c r="B5092" s="138">
        <f>'Revenues 9-14'!C71</f>
        <v>12188</v>
      </c>
      <c r="D5092" s="2" t="str">
        <f t="shared" si="78"/>
        <v>Error?</v>
      </c>
    </row>
    <row r="5093" spans="1:4" x14ac:dyDescent="0.2">
      <c r="A5093" s="5">
        <v>5032</v>
      </c>
      <c r="B5093" s="138">
        <f>'Revenues 9-14'!C72</f>
        <v>6796</v>
      </c>
      <c r="D5093" s="2" t="str">
        <f t="shared" si="78"/>
        <v>Error?</v>
      </c>
    </row>
    <row r="5094" spans="1:4" x14ac:dyDescent="0.2">
      <c r="A5094" s="5">
        <v>5033</v>
      </c>
      <c r="B5094" s="138">
        <f>'Revenues 9-14'!C73</f>
        <v>9018</v>
      </c>
      <c r="D5094" s="2" t="str">
        <f t="shared" si="78"/>
        <v>Error?</v>
      </c>
    </row>
    <row r="5095" spans="1:4" x14ac:dyDescent="0.2">
      <c r="A5095" s="5">
        <v>5034</v>
      </c>
      <c r="B5095" s="138">
        <f>'Revenues 9-14'!C74</f>
        <v>23621</v>
      </c>
      <c r="D5095" s="2" t="str">
        <f t="shared" si="78"/>
        <v>Error?</v>
      </c>
    </row>
    <row r="5096" spans="1:4" x14ac:dyDescent="0.2">
      <c r="A5096" s="5">
        <v>5035</v>
      </c>
      <c r="B5096" s="138">
        <f>'Revenues 9-14'!C75</f>
        <v>136652</v>
      </c>
      <c r="C5096" s="2" t="s">
        <v>573</v>
      </c>
      <c r="D5096" s="2" t="str">
        <f t="shared" si="78"/>
        <v>Error?</v>
      </c>
    </row>
    <row r="5097" spans="1:4" x14ac:dyDescent="0.2">
      <c r="A5097" s="5">
        <v>5036</v>
      </c>
      <c r="B5097" s="138">
        <f>'Revenues 9-14'!C77</f>
        <v>20582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20582</v>
      </c>
      <c r="C5102" s="2" t="s">
        <v>573</v>
      </c>
      <c r="D5102" s="2" t="str">
        <f t="shared" si="78"/>
        <v>Error?</v>
      </c>
    </row>
    <row r="5103" spans="1:4" x14ac:dyDescent="0.2">
      <c r="A5103" s="5">
        <v>5042</v>
      </c>
      <c r="B5103" s="138">
        <f>'Revenues 9-14'!C84</f>
        <v>16980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16980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4179</v>
      </c>
      <c r="D5119" s="2" t="str">
        <f t="shared" ref="D5119:D5182" si="79">IF(ISBLANK(B5119),"OK",IF(A5119-B5119=0,"OK","Error?"))</f>
        <v>Error?</v>
      </c>
    </row>
    <row r="5120" spans="1:4" x14ac:dyDescent="0.2">
      <c r="A5120" s="5">
        <v>5059</v>
      </c>
      <c r="B5120" s="138">
        <f>'Revenues 9-14'!C108</f>
        <v>6129</v>
      </c>
      <c r="C5120" s="2" t="s">
        <v>573</v>
      </c>
      <c r="D5120" s="2" t="str">
        <f t="shared" si="79"/>
        <v>Error?</v>
      </c>
    </row>
    <row r="5121" spans="1:4" x14ac:dyDescent="0.2">
      <c r="A5121" s="5">
        <v>5060</v>
      </c>
      <c r="B5121" s="138">
        <f>'Revenues 9-14'!C109</f>
        <v>5382901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441123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441123</v>
      </c>
      <c r="C5132" s="2" t="s">
        <v>573</v>
      </c>
      <c r="D5132" s="2" t="str">
        <f t="shared" si="79"/>
        <v>Error?</v>
      </c>
    </row>
    <row r="5133" spans="1:4" x14ac:dyDescent="0.2">
      <c r="A5133" s="5">
        <v>5072</v>
      </c>
      <c r="B5133" s="138">
        <f>'Revenues 9-14'!C125</f>
        <v>8572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8572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7228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2041</v>
      </c>
      <c r="D5167" s="2" t="str">
        <f t="shared" si="79"/>
        <v>Error?</v>
      </c>
    </row>
    <row r="5168" spans="1:4" x14ac:dyDescent="0.2">
      <c r="A5168" s="5">
        <v>5107</v>
      </c>
      <c r="B5168" s="138">
        <f>'Revenues 9-14'!C148</f>
        <v>6028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39792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64557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505680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6971</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98810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25335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124145</v>
      </c>
      <c r="C5246" s="2" t="s">
        <v>573</v>
      </c>
      <c r="D5246" s="2" t="str">
        <f t="shared" si="80"/>
        <v>Error?</v>
      </c>
    </row>
    <row r="5247" spans="1:4" x14ac:dyDescent="0.2">
      <c r="A5247" s="5">
        <v>5186</v>
      </c>
      <c r="B5247" s="138">
        <f>'Revenues 9-14'!C200</f>
        <v>76503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3800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76503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5646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134328</v>
      </c>
      <c r="D5278" s="2" t="str">
        <f t="shared" si="81"/>
        <v>Error?</v>
      </c>
    </row>
    <row r="5279" spans="1:4" x14ac:dyDescent="0.2">
      <c r="A5279" s="5">
        <v>5218</v>
      </c>
      <c r="B5279" s="138">
        <f>'Revenues 9-14'!C214</f>
        <v>113146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253120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518685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525656</v>
      </c>
      <c r="C5326" s="2" t="s">
        <v>573</v>
      </c>
      <c r="D5326" s="2" t="str">
        <f t="shared" si="82"/>
        <v>Error?</v>
      </c>
    </row>
    <row r="5327" spans="1:5" x14ac:dyDescent="0.2">
      <c r="A5327" s="5">
        <v>5266</v>
      </c>
      <c r="B5327" s="138">
        <f>'Revenues 9-14'!C268</f>
        <v>6414237</v>
      </c>
      <c r="C5327" s="2" t="s">
        <v>573</v>
      </c>
      <c r="D5327" s="2" t="str">
        <f t="shared" si="82"/>
        <v>Error?</v>
      </c>
    </row>
    <row r="5328" spans="1:5" x14ac:dyDescent="0.2">
      <c r="A5328" s="5">
        <v>5267</v>
      </c>
      <c r="B5328" s="138">
        <f>'Revenues 9-14'!D5</f>
        <v>801388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801388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146477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146477</v>
      </c>
      <c r="C5339" s="2" t="s">
        <v>573</v>
      </c>
      <c r="D5339" s="2" t="str">
        <f t="shared" si="82"/>
        <v>Error?</v>
      </c>
    </row>
    <row r="5340" spans="1:4" x14ac:dyDescent="0.2">
      <c r="A5340" s="5">
        <v>5279</v>
      </c>
      <c r="B5340" s="138">
        <f>'Revenues 9-14'!D65</f>
        <v>39517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39517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987382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987382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380661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380661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27974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27974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408635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105454</v>
      </c>
      <c r="D5615" s="2" t="str">
        <f t="shared" si="86"/>
        <v>Error?</v>
      </c>
    </row>
    <row r="5616" spans="1:4" x14ac:dyDescent="0.2">
      <c r="A5616" s="10">
        <v>5555</v>
      </c>
      <c r="D5616" s="2" t="str">
        <f t="shared" si="86"/>
        <v>OK</v>
      </c>
    </row>
    <row r="5617" spans="1:5" x14ac:dyDescent="0.2">
      <c r="A5617" s="5">
        <v>5556</v>
      </c>
      <c r="B5617" s="138">
        <f>'Revenues 9-14'!F153</f>
        <v>17942</v>
      </c>
      <c r="D5617" s="2" t="str">
        <f t="shared" si="86"/>
        <v>Error?</v>
      </c>
    </row>
    <row r="5618" spans="1:5" x14ac:dyDescent="0.2">
      <c r="A5618" s="5">
        <v>5557</v>
      </c>
      <c r="B5618" s="138">
        <f>'Revenues 9-14'!F155</f>
        <v>123396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123396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123396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532031</v>
      </c>
      <c r="C5720" s="2" t="s">
        <v>573</v>
      </c>
      <c r="D5720" s="2" t="str">
        <f t="shared" si="88"/>
        <v>Error?</v>
      </c>
    </row>
    <row r="5721" spans="1:4" x14ac:dyDescent="0.2">
      <c r="A5721" s="5">
        <v>5660</v>
      </c>
      <c r="B5721" s="138">
        <f>'Revenues 9-14'!G5</f>
        <v>109192</v>
      </c>
      <c r="D5721" s="2" t="str">
        <f t="shared" si="88"/>
        <v>Error?</v>
      </c>
    </row>
    <row r="5722" spans="1:4" x14ac:dyDescent="0.2">
      <c r="A5722" s="5">
        <v>5661</v>
      </c>
      <c r="B5722" s="138">
        <f>'Revenues 9-14'!G7</f>
        <v>0</v>
      </c>
      <c r="D5722" s="2" t="str">
        <f t="shared" si="88"/>
        <v>Error?</v>
      </c>
    </row>
    <row r="5723" spans="1:4" x14ac:dyDescent="0.2">
      <c r="A5723" s="5">
        <v>5662</v>
      </c>
      <c r="B5723" s="138">
        <f>'Revenues 9-14'!G8</f>
        <v>133234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242426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15805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15805</v>
      </c>
      <c r="C5730" s="2" t="s">
        <v>573</v>
      </c>
      <c r="D5730" s="2" t="str">
        <f t="shared" si="88"/>
        <v>Error?</v>
      </c>
    </row>
    <row r="5731" spans="1:4" x14ac:dyDescent="0.2">
      <c r="A5731" s="5">
        <v>5670</v>
      </c>
      <c r="B5731" s="138">
        <f>'Revenues 9-14'!G65</f>
        <v>1706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1706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259937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8305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8305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310414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318719</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2608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2608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357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357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2965</v>
      </c>
      <c r="C6023" s="2" t="s">
        <v>573</v>
      </c>
      <c r="D6023" s="2" t="str">
        <f t="shared" si="93"/>
        <v>Error?</v>
      </c>
    </row>
    <row r="6024" spans="1:5" x14ac:dyDescent="0.2">
      <c r="A6024" s="5">
        <v>5963</v>
      </c>
      <c r="B6024" s="138">
        <f>'Revenues 9-14'!G109</f>
        <v>259937</v>
      </c>
      <c r="C6024" s="2" t="s">
        <v>573</v>
      </c>
      <c r="D6024" s="2" t="str">
        <f t="shared" si="93"/>
        <v>Error?</v>
      </c>
    </row>
    <row r="6025" spans="1:5" x14ac:dyDescent="0.2">
      <c r="A6025" s="5">
        <v>5964</v>
      </c>
      <c r="B6025" s="138">
        <f>'Revenues 9-14'!H109</f>
        <v>318719</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2965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78028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22136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405.5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225045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225045</v>
      </c>
      <c r="D6215" s="2" t="str">
        <f t="shared" si="96"/>
        <v>Error?</v>
      </c>
      <c r="E6215" s="2" t="s">
        <v>190</v>
      </c>
    </row>
    <row r="6216" spans="1:5" x14ac:dyDescent="0.2">
      <c r="A6216">
        <v>6155</v>
      </c>
      <c r="B6216" s="138">
        <f>'Assets-Liab 5-6'!J41</f>
        <v>225045</v>
      </c>
      <c r="D6216" s="2" t="str">
        <f t="shared" si="96"/>
        <v>Error?</v>
      </c>
      <c r="E6216" s="2" t="s">
        <v>190</v>
      </c>
    </row>
    <row r="6217" spans="1:5" x14ac:dyDescent="0.2">
      <c r="A6217">
        <v>6156</v>
      </c>
      <c r="B6217" s="138">
        <f>'Assets-Liab 5-6'!J4</f>
        <v>225045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112401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112401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112401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76700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76700</v>
      </c>
      <c r="D6229" s="2" t="str">
        <f t="shared" si="96"/>
        <v>Error?</v>
      </c>
      <c r="E6229" s="2" t="s">
        <v>190</v>
      </c>
    </row>
    <row r="6230" spans="1:5" x14ac:dyDescent="0.2">
      <c r="A6230">
        <v>6169</v>
      </c>
      <c r="B6230" s="138">
        <f>'Acct Summary 7-8'!J20</f>
        <v>35701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35701</v>
      </c>
      <c r="D6263" s="2" t="str">
        <f t="shared" si="96"/>
        <v>Error?</v>
      </c>
      <c r="E6263" s="2" t="s">
        <v>190</v>
      </c>
    </row>
    <row r="6264" spans="1:5" x14ac:dyDescent="0.2">
      <c r="A6264">
        <v>6203</v>
      </c>
      <c r="B6264" s="138">
        <f>'Acct Summary 7-8'!J79</f>
        <v>189344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225045</v>
      </c>
      <c r="D6266" s="2" t="str">
        <f t="shared" si="96"/>
        <v>Error?</v>
      </c>
      <c r="E6266" s="2" t="s">
        <v>190</v>
      </c>
    </row>
    <row r="6267" spans="1:5" x14ac:dyDescent="0.2">
      <c r="A6267">
        <v>6206</v>
      </c>
      <c r="B6267" s="138">
        <f>'Acct Summary 7-8'!C82</f>
        <v>72211</v>
      </c>
      <c r="D6267" s="2" t="str">
        <f t="shared" si="96"/>
        <v>Error?</v>
      </c>
      <c r="E6267" s="2" t="s">
        <v>190</v>
      </c>
    </row>
    <row r="6268" spans="1:5" x14ac:dyDescent="0.2">
      <c r="A6268">
        <v>6207</v>
      </c>
      <c r="B6268" s="138">
        <f>'Acct Summary 7-8'!D82</f>
        <v>325790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68882</v>
      </c>
      <c r="D6270" s="2" t="str">
        <f t="shared" si="96"/>
        <v>Error?</v>
      </c>
      <c r="E6270" s="2" t="s">
        <v>190</v>
      </c>
    </row>
    <row r="6271" spans="1:5" x14ac:dyDescent="0.2">
      <c r="A6271">
        <v>6210</v>
      </c>
      <c r="B6271" s="138">
        <f>'Acct Summary 7-8'!G82</f>
        <v>319</v>
      </c>
      <c r="D6271" s="2" t="str">
        <f t="shared" ref="D6271:D6334" si="97">IF(ISBLANK(B6271),"OK",IF(A6271-B6271=0,"OK","Error?"))</f>
        <v>Error?</v>
      </c>
      <c r="E6271" s="2" t="s">
        <v>190</v>
      </c>
    </row>
    <row r="6272" spans="1:5" x14ac:dyDescent="0.2">
      <c r="A6272">
        <v>6211</v>
      </c>
      <c r="B6272" s="138">
        <f>'Acct Summary 7-8'!H82</f>
        <v>275294</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35701</v>
      </c>
      <c r="D6274" s="2" t="str">
        <f t="shared" si="97"/>
        <v>Error?</v>
      </c>
      <c r="E6274" s="2" t="s">
        <v>190</v>
      </c>
    </row>
    <row r="6275" spans="1:5" x14ac:dyDescent="0.2">
      <c r="A6275">
        <v>6214</v>
      </c>
      <c r="B6275" s="138">
        <f>'Acct Summary 7-8'!K82</f>
        <v>685</v>
      </c>
      <c r="D6275" s="2" t="str">
        <f t="shared" si="97"/>
        <v>Error?</v>
      </c>
      <c r="E6275" s="2" t="s">
        <v>190</v>
      </c>
    </row>
    <row r="6276" spans="1:5" x14ac:dyDescent="0.2">
      <c r="A6276">
        <v>6215</v>
      </c>
      <c r="B6276" s="138">
        <f>'Acct Summary 7-8'!C83</f>
        <v>1.2130139594622766E-2</v>
      </c>
      <c r="D6276" s="2" t="str">
        <f t="shared" si="97"/>
        <v>Error?</v>
      </c>
      <c r="E6276" s="2" t="s">
        <v>190</v>
      </c>
    </row>
    <row r="6277" spans="1:5" x14ac:dyDescent="0.2">
      <c r="A6277">
        <v>6216</v>
      </c>
      <c r="B6277" s="138">
        <f>'Acct Summary 7-8'!D83</f>
        <v>0.10546847179327803</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3.3420861619913755E-2</v>
      </c>
      <c r="D6279" s="2" t="str">
        <f t="shared" si="97"/>
        <v>Error?</v>
      </c>
      <c r="E6279" s="2" t="s">
        <v>190</v>
      </c>
    </row>
    <row r="6280" spans="1:5" x14ac:dyDescent="0.2">
      <c r="A6280">
        <v>6219</v>
      </c>
      <c r="B6280" s="138">
        <f>'Acct Summary 7-8'!G83</f>
        <v>1.8100112345524903E-3</v>
      </c>
      <c r="D6280" s="2" t="str">
        <f t="shared" si="97"/>
        <v>Error?</v>
      </c>
      <c r="E6280" s="2" t="s">
        <v>190</v>
      </c>
    </row>
    <row r="6281" spans="1:5" x14ac:dyDescent="0.2">
      <c r="A6281">
        <v>6220</v>
      </c>
      <c r="B6281" s="138">
        <f>'Acct Summary 7-8'!H83</f>
        <v>0.28710222751548437</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0.15863938323446422</v>
      </c>
      <c r="D6283" s="2" t="str">
        <f t="shared" si="97"/>
        <v>Error?</v>
      </c>
      <c r="E6283" s="2" t="s">
        <v>190</v>
      </c>
    </row>
    <row r="6284" spans="1:5" x14ac:dyDescent="0.2">
      <c r="A6284">
        <v>6223</v>
      </c>
      <c r="B6284" s="138">
        <f>'Acct Summary 7-8'!K83</f>
        <v>1.3079508134117467E-2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110201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110201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2200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2200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112401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7228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97953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117845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51545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53893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42933</v>
      </c>
      <c r="D6880" s="2" t="str">
        <f t="shared" si="106"/>
        <v>Error?</v>
      </c>
    </row>
    <row r="6881" spans="1:4" x14ac:dyDescent="0.2">
      <c r="A6881">
        <v>6820</v>
      </c>
      <c r="B6881" s="138">
        <f>'Expenditures 15-22'!K22</f>
        <v>42933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7301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7301</v>
      </c>
      <c r="D6940" s="2" t="str">
        <f t="shared" si="107"/>
        <v>Error?</v>
      </c>
    </row>
    <row r="6941" spans="1:4" x14ac:dyDescent="0.2">
      <c r="A6941">
        <v>6880</v>
      </c>
      <c r="B6941" s="138">
        <f>'Expenditures 15-22'!L52</f>
        <v>4600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36286</v>
      </c>
      <c r="D6983" s="2" t="str">
        <f t="shared" si="108"/>
        <v>Error?</v>
      </c>
    </row>
    <row r="6984" spans="1:4" x14ac:dyDescent="0.2">
      <c r="A6984">
        <v>6923</v>
      </c>
      <c r="B6984" s="138">
        <f>'Expenditures 15-22'!K86</f>
        <v>36286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36286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76700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112401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4885</v>
      </c>
      <c r="D7073" s="2" t="str">
        <f t="shared" si="109"/>
        <v>Error?</v>
      </c>
    </row>
    <row r="7074" spans="1:4" x14ac:dyDescent="0.2">
      <c r="A7074">
        <v>7013</v>
      </c>
      <c r="B7074" s="138">
        <f>'Expenditures 15-22'!K216</f>
        <v>4885</v>
      </c>
      <c r="D7074" s="2" t="str">
        <f t="shared" si="109"/>
        <v>Error?</v>
      </c>
    </row>
    <row r="7075" spans="1:4" x14ac:dyDescent="0.2">
      <c r="A7075">
        <v>7014</v>
      </c>
      <c r="B7075" s="138">
        <f>'Expenditures 15-22'!D218</f>
        <v>3770</v>
      </c>
      <c r="D7075" s="2" t="str">
        <f t="shared" si="109"/>
        <v>Error?</v>
      </c>
    </row>
    <row r="7076" spans="1:4" x14ac:dyDescent="0.2">
      <c r="A7076">
        <v>7015</v>
      </c>
      <c r="B7076" s="138">
        <f>'Expenditures 15-22'!K218</f>
        <v>3770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602</v>
      </c>
      <c r="D7079" s="2" t="str">
        <f t="shared" si="109"/>
        <v>Error?</v>
      </c>
    </row>
    <row r="7080" spans="1:4" x14ac:dyDescent="0.2">
      <c r="A7080">
        <v>7019</v>
      </c>
      <c r="B7080" s="138">
        <f>'Expenditures 15-22'!K226</f>
        <v>602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35074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35074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7140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7140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34486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34486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34486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42214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76700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34486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42214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76700</v>
      </c>
      <c r="D7224" s="2" t="str">
        <f t="shared" si="111"/>
        <v>Error?</v>
      </c>
    </row>
    <row r="7225" spans="1:4" x14ac:dyDescent="0.2">
      <c r="A7225">
        <v>7164</v>
      </c>
      <c r="B7225" s="138">
        <f>'Expenditures 15-22'!K343</f>
        <v>35701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19075</v>
      </c>
      <c r="D7246" s="2" t="str">
        <f t="shared" si="112"/>
        <v>Error?</v>
      </c>
    </row>
    <row r="7247" spans="1:4" x14ac:dyDescent="0.2">
      <c r="A7247">
        <f t="shared" si="113"/>
        <v>7186</v>
      </c>
      <c r="B7247" s="138">
        <f>'Expenditures 15-22'!E7</f>
        <v>420</v>
      </c>
      <c r="D7247" s="2" t="str">
        <f t="shared" si="112"/>
        <v>Error?</v>
      </c>
    </row>
    <row r="7248" spans="1:4" x14ac:dyDescent="0.2">
      <c r="A7248">
        <f t="shared" si="113"/>
        <v>7187</v>
      </c>
      <c r="B7248" s="138">
        <f>'Expenditures 15-22'!F7</f>
        <v>397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44581</v>
      </c>
      <c r="D7251" s="2" t="str">
        <f t="shared" si="112"/>
        <v>Error?</v>
      </c>
    </row>
    <row r="7252" spans="1:4" x14ac:dyDescent="0.2">
      <c r="A7252">
        <f t="shared" si="113"/>
        <v>7191</v>
      </c>
      <c r="B7252" s="138">
        <f>'Expenditures 15-22'!D9</f>
        <v>6952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41537</v>
      </c>
      <c r="D7263" s="2" t="str">
        <f t="shared" si="112"/>
        <v>Error?</v>
      </c>
    </row>
    <row r="7264" spans="1:4" x14ac:dyDescent="0.2">
      <c r="A7264">
        <f t="shared" si="113"/>
        <v>7203</v>
      </c>
      <c r="B7264" s="138">
        <f>'Expenditures 15-22'!D17</f>
        <v>8613</v>
      </c>
      <c r="D7264" s="2" t="str">
        <f t="shared" si="112"/>
        <v>Error?</v>
      </c>
    </row>
    <row r="7265" spans="1:5" x14ac:dyDescent="0.2">
      <c r="A7265">
        <f t="shared" si="113"/>
        <v>7204</v>
      </c>
      <c r="B7265" s="138">
        <f>'Expenditures 15-22'!E17</f>
        <v>3234</v>
      </c>
      <c r="D7265" s="2" t="str">
        <f t="shared" si="112"/>
        <v>Error?</v>
      </c>
    </row>
    <row r="7266" spans="1:5" x14ac:dyDescent="0.2">
      <c r="A7266">
        <f t="shared" si="113"/>
        <v>7205</v>
      </c>
      <c r="B7266" s="138">
        <f>'Expenditures 15-22'!F17</f>
        <v>509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456959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683577</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8305</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1950</v>
      </c>
      <c r="D7712" s="2" t="str">
        <f t="shared" si="126"/>
        <v>Error?</v>
      </c>
      <c r="E7712" s="2" t="s">
        <v>827</v>
      </c>
    </row>
    <row r="7713" spans="1:6" x14ac:dyDescent="0.2">
      <c r="A7713">
        <v>7652</v>
      </c>
      <c r="B7713" s="138">
        <f>'Rest Tax Levies-Tort Im 25'!J8</f>
        <v>310414</v>
      </c>
      <c r="D7713" s="2" t="str">
        <f t="shared" si="126"/>
        <v>Error?</v>
      </c>
      <c r="E7713" s="2" t="s">
        <v>827</v>
      </c>
    </row>
    <row r="7714" spans="1:6" x14ac:dyDescent="0.2">
      <c r="A7714">
        <v>7653</v>
      </c>
      <c r="B7714" s="138">
        <f>'Rest Tax Levies-Tort Im 25'!K9</f>
        <v>6028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318719</v>
      </c>
      <c r="D7718" s="2" t="str">
        <f t="shared" si="126"/>
        <v>Error?</v>
      </c>
      <c r="E7718" s="2" t="s">
        <v>827</v>
      </c>
    </row>
    <row r="7719" spans="1:6" x14ac:dyDescent="0.2">
      <c r="A7719">
        <v>7658</v>
      </c>
      <c r="B7719" s="138">
        <f>'Rest Tax Levies-Tort Im 25'!K12</f>
        <v>7978</v>
      </c>
      <c r="D7719" s="2" t="str">
        <f t="shared" si="126"/>
        <v>Error?</v>
      </c>
      <c r="E7719" s="2" t="s">
        <v>827</v>
      </c>
    </row>
    <row r="7720" spans="1:6" x14ac:dyDescent="0.2">
      <c r="A7720">
        <v>7659</v>
      </c>
      <c r="B7720" s="138">
        <f>'Rest Tax Levies-Tort Im 25'!H14</f>
        <v>100118</v>
      </c>
      <c r="D7720" s="2" t="str">
        <f t="shared" si="126"/>
        <v>Error?</v>
      </c>
      <c r="E7720" s="2" t="s">
        <v>827</v>
      </c>
    </row>
    <row r="7721" spans="1:6" x14ac:dyDescent="0.2">
      <c r="A7721">
        <v>7660</v>
      </c>
      <c r="B7721" s="138">
        <f>'Rest Tax Levies-Tort Im 25'!K14</f>
        <v>7978</v>
      </c>
      <c r="D7721" s="2" t="str">
        <f t="shared" si="126"/>
        <v>Error?</v>
      </c>
      <c r="E7721" s="2" t="s">
        <v>827</v>
      </c>
    </row>
    <row r="7722" spans="1:6" x14ac:dyDescent="0.2">
      <c r="A7722">
        <v>7661</v>
      </c>
      <c r="B7722" s="138">
        <f>'Rest Tax Levies-Tort Im 25'!J15</f>
        <v>43425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43425</v>
      </c>
      <c r="D7730" s="2" t="str">
        <f t="shared" si="126"/>
        <v>Error?</v>
      </c>
      <c r="E7730" s="2" t="s">
        <v>827</v>
      </c>
    </row>
    <row r="7731" spans="1:6" x14ac:dyDescent="0.2">
      <c r="A7731">
        <v>7670</v>
      </c>
      <c r="B7731" s="138">
        <f>'Revenues 9-14'!H103</f>
        <v>310414</v>
      </c>
      <c r="D7731" s="2" t="str">
        <f t="shared" si="126"/>
        <v>Error?</v>
      </c>
      <c r="E7731" s="2" t="s">
        <v>827</v>
      </c>
    </row>
    <row r="7732" spans="1:6" x14ac:dyDescent="0.2">
      <c r="A7732">
        <v>7671</v>
      </c>
      <c r="B7732" s="138">
        <f>'Rest Tax Levies-Tort Im 25'!J24</f>
        <v>958871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958871</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189632</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139632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1989</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River Ridge CUSD 210</v>
      </c>
      <c r="B7" s="2406"/>
      <c r="C7" s="2406"/>
      <c r="D7" s="2407"/>
      <c r="E7" s="2408">
        <f>COVER!A13</f>
        <v>8043210026</v>
      </c>
      <c r="F7" s="2409"/>
      <c r="G7" s="2415" t="str">
        <f>COVER!T23</f>
        <v>066-004238</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BENNING GROUP, LLC</v>
      </c>
      <c r="H9" s="2421"/>
      <c r="I9" s="2421"/>
      <c r="J9" s="2421"/>
      <c r="K9" s="2421"/>
      <c r="L9" s="2422"/>
    </row>
    <row r="10" spans="1:29" ht="13.5" customHeight="1" x14ac:dyDescent="0.2">
      <c r="A10" s="2395" t="str">
        <f>COVER!A38</f>
        <v>BRAD ALBRECHT</v>
      </c>
      <c r="B10" s="2396"/>
      <c r="C10" s="2396"/>
      <c r="D10" s="2396"/>
      <c r="E10" s="2396"/>
      <c r="F10" s="2397"/>
      <c r="G10" s="2389" t="str">
        <f>COVER!T17</f>
        <v>50 W. DOUGLAS STREET, SUITE 801</v>
      </c>
      <c r="H10" s="2390"/>
      <c r="I10" s="2390"/>
      <c r="J10" s="2390"/>
      <c r="K10" s="2390"/>
      <c r="L10" s="2391"/>
    </row>
    <row r="11" spans="1:29" ht="13.5" customHeight="1" x14ac:dyDescent="0.2">
      <c r="A11" s="1184" t="s">
        <v>1519</v>
      </c>
      <c r="B11" s="1185"/>
      <c r="C11" s="1186"/>
      <c r="D11" s="1191"/>
      <c r="E11" s="1186"/>
      <c r="F11" s="1190"/>
      <c r="G11" s="2389" t="str">
        <f>COVER!T19</f>
        <v>FREEPORT</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jblocker@benninggroup.com</v>
      </c>
      <c r="J13" s="2402"/>
      <c r="K13" s="2402"/>
      <c r="L13" s="2403"/>
    </row>
    <row r="14" spans="1:29" ht="13.5" customHeight="1" x14ac:dyDescent="0.2">
      <c r="A14" s="2389" t="str">
        <f>COVER!A19</f>
        <v>4141 IL RT. 84 SOUTH</v>
      </c>
      <c r="B14" s="2390"/>
      <c r="C14" s="2390"/>
      <c r="D14" s="2390"/>
      <c r="E14" s="2390"/>
      <c r="F14" s="2391"/>
      <c r="G14" s="1195" t="s">
        <v>1185</v>
      </c>
      <c r="H14" s="1193"/>
      <c r="I14" s="1193"/>
      <c r="J14" s="1193"/>
      <c r="K14" s="1193"/>
      <c r="L14" s="1194"/>
    </row>
    <row r="15" spans="1:29" ht="13.5" customHeight="1" x14ac:dyDescent="0.2">
      <c r="A15" s="2389" t="str">
        <f>COVER!A21</f>
        <v>HANOVER</v>
      </c>
      <c r="B15" s="2390"/>
      <c r="C15" s="2390"/>
      <c r="D15" s="2390"/>
      <c r="E15" s="2390"/>
      <c r="F15" s="2391"/>
      <c r="G15" s="2386" t="str">
        <f>COVER!T15</f>
        <v>JENNY L. BLOCKER</v>
      </c>
      <c r="H15" s="2387"/>
      <c r="I15" s="2387"/>
      <c r="J15" s="2387"/>
      <c r="K15" s="2387"/>
      <c r="L15" s="2388"/>
    </row>
    <row r="16" spans="1:29" ht="12.2" customHeight="1" x14ac:dyDescent="0.2">
      <c r="A16" s="2411" t="str">
        <f>COVER!A25</f>
        <v>61041-9601</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815/235-3157</v>
      </c>
      <c r="H18" s="2406"/>
      <c r="I18" s="2406"/>
      <c r="J18" s="2406"/>
      <c r="K18" s="2405" t="str">
        <f>COVER!X21</f>
        <v>815/235-3158</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River Ridge CUSD 210</v>
      </c>
      <c r="B1" s="2404"/>
      <c r="C1" s="2404"/>
      <c r="D1" s="2404"/>
    </row>
    <row r="2" spans="1:11" s="1212" customFormat="1" ht="12.75" x14ac:dyDescent="0.2">
      <c r="A2" s="2428">
        <f>'Single Audit Cover'!E7</f>
        <v>8043210026</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River Ridge CUSD 210</v>
      </c>
      <c r="B1" s="2431"/>
      <c r="C1" s="2431"/>
      <c r="D1" s="2431"/>
      <c r="E1" s="2431"/>
    </row>
    <row r="2" spans="1:5" x14ac:dyDescent="0.2">
      <c r="A2" s="2432">
        <f>'Single Audit Cover'!E7</f>
        <v>8043210026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525656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22136</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-30291</v>
      </c>
    </row>
    <row r="19" spans="1:4" ht="13.5" thickBot="1" x14ac:dyDescent="0.25">
      <c r="A19" s="1262" t="s">
        <v>1235</v>
      </c>
      <c r="D19" s="1263">
        <f>SUM(D10:D17)</f>
        <v>517501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517501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517501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River Ridge CUSD 210</v>
      </c>
      <c r="C1" s="2435"/>
      <c r="D1" s="2435"/>
      <c r="E1" s="2435"/>
      <c r="F1" s="2435"/>
      <c r="G1" s="2435"/>
      <c r="H1" s="2435"/>
      <c r="I1" s="2435"/>
      <c r="J1" s="2435"/>
      <c r="K1" s="2435"/>
      <c r="L1" s="2435"/>
      <c r="M1" s="2435"/>
    </row>
    <row r="2" spans="2:14" ht="15" x14ac:dyDescent="0.2">
      <c r="B2" s="2436">
        <f>'Single Audit Cover'!E7</f>
        <v>8043210026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River Ridge CUSD 210</v>
      </c>
      <c r="B1" s="2448"/>
      <c r="C1" s="2448"/>
      <c r="D1" s="2448"/>
      <c r="E1" s="2448"/>
      <c r="F1" s="2448"/>
    </row>
    <row r="2" spans="1:7" ht="13.5" customHeight="1" x14ac:dyDescent="0.2">
      <c r="A2" s="2436">
        <f>'Single Audit Cover'!E7</f>
        <v>8043210026</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River Ridge CUSD 210</v>
      </c>
      <c r="C1" s="2463"/>
      <c r="D1" s="2463"/>
      <c r="E1" s="2463"/>
      <c r="F1" s="2463"/>
      <c r="G1" s="2463"/>
      <c r="H1" s="2463"/>
      <c r="I1" s="2463"/>
      <c r="J1" s="1406"/>
    </row>
    <row r="2" spans="2:10" s="317" customFormat="1" ht="12.75" customHeight="1" x14ac:dyDescent="0.2">
      <c r="B2" s="2464">
        <f>'Single Audit Cover'!E7</f>
        <v>8043210026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1841</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River Ridge CUSD 210</v>
      </c>
      <c r="C1" s="2462"/>
      <c r="D1" s="2462"/>
      <c r="E1" s="2462"/>
      <c r="F1" s="2462"/>
      <c r="G1" s="2462"/>
      <c r="H1" s="2462"/>
      <c r="I1" s="2462"/>
      <c r="J1" s="2462"/>
      <c r="K1" s="2462"/>
      <c r="L1" s="1371"/>
      <c r="M1" s="1371"/>
    </row>
    <row r="2" spans="1:13" ht="12" customHeight="1" x14ac:dyDescent="0.2">
      <c r="B2" s="2464">
        <f>'Single Audit Cover'!E7</f>
        <v>8043210026</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River Ridge CUSD 210</v>
      </c>
      <c r="C1" s="2485"/>
      <c r="D1" s="2485"/>
      <c r="E1" s="2485"/>
      <c r="F1" s="2485"/>
      <c r="G1" s="2485"/>
      <c r="H1" s="2485"/>
      <c r="I1" s="2485"/>
      <c r="J1" s="2485"/>
      <c r="K1" s="2485"/>
      <c r="L1" s="1449"/>
    </row>
    <row r="2" spans="1:12" ht="12.75" customHeight="1" x14ac:dyDescent="0.2">
      <c r="B2" s="2486">
        <f>'Single Audit Cover'!E7</f>
        <v>8043210026</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River Ridge CUSD 210</v>
      </c>
      <c r="C1" s="2462"/>
      <c r="D1" s="2462"/>
      <c r="E1" s="1469"/>
    </row>
    <row r="2" spans="2:5" s="1279" customFormat="1" ht="12.75" customHeight="1" x14ac:dyDescent="0.2">
      <c r="B2" s="2464">
        <f>'Single Audit Cover'!E7</f>
        <v>8043210026</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 ds:uri="6ce3111e-7420-4802-b50a-75d4e9a0b980"/>
    <ds:schemaRef ds:uri="http://schemas.openxmlformats.org/package/2006/metadata/core-propertie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2019-11-06T17:10:12Z</cp:lastPrinted>
  <dcterms:created xsi:type="dcterms:W3CDTF">2003-10-29T19:06:34Z</dcterms:created>
  <dcterms:modified xsi:type="dcterms:W3CDTF">2019-12-26T16:59:15Z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