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40FA114-123A-4221-AE4D-1B2BDF000145}" xr6:coauthVersionLast="36" xr6:coauthVersionMax="36" xr10:uidLastSave="{00000000-0000-0000-0000-000000000000}"/>
  <bookViews>
    <workbookView xWindow="20370" yWindow="-3555" windowWidth="24240" windowHeight="13140" tabRatio="87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G15"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1" i="127"/>
  <c r="B62" i="127"/>
  <c r="D26" i="108"/>
  <c r="E26" i="108"/>
  <c r="F26" i="108"/>
  <c r="D27" i="108"/>
  <c r="E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B5752" i="106"/>
  <c r="D5752" i="106" s="1"/>
  <c r="D69" i="36" l="1"/>
  <c r="C342" i="29"/>
  <c r="B7216" i="106" s="1"/>
  <c r="D7216" i="106" s="1"/>
  <c r="L342" i="29"/>
  <c r="H29" i="118"/>
  <c r="K28" i="118" s="1"/>
  <c r="O27" i="118" s="1"/>
  <c r="O29" i="118" s="1"/>
  <c r="I24" i="12"/>
  <c r="B1996" i="106" s="1"/>
  <c r="D1996" i="106" s="1"/>
  <c r="F49" i="34"/>
  <c r="D9" i="7"/>
  <c r="B1767" i="106" s="1"/>
  <c r="D1767" i="106" s="1"/>
  <c r="F34" i="34"/>
  <c r="H365" i="29"/>
  <c r="B7242" i="106" s="1"/>
  <c r="D7242" i="106" s="1"/>
  <c r="L5" i="11"/>
  <c r="B2056" i="106" s="1"/>
  <c r="D2056" i="106" s="1"/>
  <c r="H33" i="118"/>
  <c r="B7235" i="106"/>
  <c r="D7235" i="106" s="1"/>
  <c r="H342" i="29"/>
  <c r="B3254" i="106"/>
  <c r="D3254" i="106" s="1"/>
  <c r="B4268" i="106"/>
  <c r="D4268" i="106" s="1"/>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B2031" i="106"/>
  <c r="D2031" i="106" s="1"/>
  <c r="I26" i="12"/>
  <c r="B7741" i="106" s="1"/>
  <c r="D7741" i="106" s="1"/>
  <c r="C114" i="29"/>
  <c r="B757" i="106" s="1"/>
  <c r="D757" i="106" s="1"/>
  <c r="G170" i="5"/>
  <c r="B1381" i="106"/>
  <c r="D1381" i="106" s="1"/>
  <c r="D44" i="36"/>
  <c r="L114" i="29"/>
  <c r="D7256" i="106"/>
  <c r="D7251" i="106"/>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K17" i="4" l="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10"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<sst xmlns="http://schemas.openxmlformats.org/spreadsheetml/2006/main" count="5098" uniqueCount="2111">
  <si>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</si>
  <si>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</si>
  <si>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</si>
  <si>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</si>
  <si>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</si>
  <si>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</si>
  <si>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</si>
  <si>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</si>
  <si>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</si>
  <si>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</si>
  <si>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</si>
  <si>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</si>
  <si>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</si>
  <si>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</si>
  <si>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</si>
  <si>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</si>
  <si>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</si>
  <si>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</si>
  <si>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</si>
  <si>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</si>
  <si>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</si>
  <si>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</si>
  <si>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</si>
  <si>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</si>
  <si>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</si>
  <si>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</si>
  <si>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</si>
  <si>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</si>
  <si>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</si>
  <si>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</si>
  <si>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</si>
  <si>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</si>
  <si>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</si>
  <si>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</si>
  <si>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</si>
  <si>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</si>
  <si>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</si>
  <si>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</si>
  <si>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</si>
  <si>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</si>
  <si>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</si>
  <si>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</si>
  <si>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</si>
  <si>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</si>
  <si>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</si>
  <si>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</si>
  <si>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</si>
  <si>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</si>
  <si>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</si>
  <si>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</si>
  <si>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</si>
  <si>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</si>
  <si>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</si>
  <si>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</si>
  <si>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</si>
  <si>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</si>
  <si>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</si>
  <si>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</si>
  <si>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</si>
  <si>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</si>
  <si>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</si>
  <si>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</si>
  <si>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</si>
  <si>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</si>
  <si>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</si>
  <si>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</si>
  <si>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</si>
  <si>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</si>
  <si>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</si>
  <si>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</si>
  <si>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</si>
  <si>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</si>
  <si>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</si>
  <si>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</si>
  <si>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</si>
  <si>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</si>
  <si>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</si>
  <si>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</si>
  <si>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</si>
  <si>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</si>
  <si>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</si>
  <si>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</si>
  <si>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</si>
  <si>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</si>
  <si>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</si>
  <si>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</si>
  <si>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</si>
  <si>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</si>
  <si>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</si>
  <si>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</si>
  <si>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</si>
  <si>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</si>
  <si>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</si>
  <si>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</si>
  <si>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</si>
  <si>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</si>
  <si>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</si>
  <si>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</si>
  <si>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</si>
  <si>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</si>
  <si>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</si>
  <si>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</si>
  <si>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</si>
  <si>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</si>
  <si>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</si>
  <si>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</si>
  <si>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</si>
  <si>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</si>
  <si>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</si>
  <si>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</si>
  <si>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</si>
  <si>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</si>
  <si>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</si>
  <si>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</si>
  <si>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</si>
  <si>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</si>
  <si>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</si>
  <si>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</si>
  <si>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</si>
  <si>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</si>
  <si>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</si>
  <si>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</si>
  <si>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</si>
  <si>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</si>
  <si>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</si>
  <si>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</si>
  <si>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</si>
  <si>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</si>
  <si>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</si>
  <si>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</si>
  <si>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</si>
  <si>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</si>
  <si>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</si>
  <si>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</si>
  <si>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</si>
  <si>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</si>
  <si>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</si>
  <si>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</si>
  <si>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</si>
  <si>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</si>
  <si>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</si>
  <si>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</si>
  <si>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</si>
  <si>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</si>
  <si>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</si>
  <si>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</si>
  <si>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</si>
  <si>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</si>
  <si>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</si>
  <si>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</si>
  <si>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</si>
  <si>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</si>
  <si>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</si>
  <si>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</si>
  <si>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</si>
  <si>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</si>
  <si>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</si>
  <si>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</si>
  <si>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</si>
  <si>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</si>
  <si>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</si>
  <si>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</si>
  <si>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</si>
  <si>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</si>
  <si>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</si>
  <si>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</si>
  <si>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</si>
  <si>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</si>
  <si>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</si>
  <si>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</si>
  <si>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</si>
  <si>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</si>
  <si>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</si>
  <si>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</si>
  <si>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</si>
  <si>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</si>
  <si>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</si>
  <si>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</si>
  <si>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</si>
  <si>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</si>
  <si>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</si>
  <si>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</si>
  <si>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</si>
  <si>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</si>
  <si>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</si>
  <si>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</si>
  <si>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</si>
  <si>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</si>
  <si>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</si>
  <si>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</si>
  <si>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</si>
  <si>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</si>
  <si>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</si>
  <si>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</si>
  <si>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</si>
  <si>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</si>
  <si>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</si>
  <si>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</si>
  <si>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</si>
  <si>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</si>
  <si>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</si>
  <si>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</si>
  <si>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</si>
  <si>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</si>
  <si>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</si>
  <si>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</si>
  <si>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</si>
  <si>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</si>
  <si>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</si>
  <si>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</si>
  <si>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</si>
  <si>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</si>
  <si>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</si>
  <si>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</si>
  <si>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</si>
  <si>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</si>
  <si>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</si>
  <si>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</si>
  <si>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</si>
  <si>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</si>
  <si>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</si>
  <si>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</si>
  <si>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</si>
  <si>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</si>
  <si>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</si>
  <si>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</si>
  <si>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</si>
  <si>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</si>
  <si>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</si>
  <si>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</si>
  <si>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</si>
  <si>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</si>
  <si>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</si>
  <si>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</si>
  <si>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</si>
  <si>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</si>
  <si>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</si>
  <si>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</si>
  <si>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</si>
  <si>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</si>
  <si>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</si>
  <si>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</si>
  <si>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</si>
  <si>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</si>
  <si>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</si>
  <si>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</si>
  <si>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</si>
  <si>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</si>
  <si>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</si>
  <si>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</si>
  <si>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</si>
  <si>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</si>
  <si>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</si>
  <si>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</si>
  <si>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</si>
  <si>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</si>
  <si>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</si>
  <si>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</si>
  <si>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</si>
  <si>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</si>
  <si>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</si>
  <si>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</si>
  <si>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</si>
  <si>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</si>
  <si>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</si>
  <si>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</si>
  <si>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</si>
  <si>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</si>
  <si>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</si>
  <si>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</si>
  <si>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</si>
  <si>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</si>
  <si>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</si>
  <si>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</si>
  <si>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</si>
  <si>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</si>
  <si>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</si>
  <si>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</si>
  <si>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</si>
  <si>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</si>
  <si>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</si>
  <si>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</si>
  <si>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</si>
  <si>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</si>
  <si>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</si>
  <si>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</si>
  <si>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</si>
  <si>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</si>
  <si>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</si>
  <si>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</si>
  <si>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</si>
  <si>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</si>
  <si>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</si>
  <si>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</si>
  <si>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</si>
  <si>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</si>
  <si>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</si>
  <si>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</si>
  <si>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</si>
  <si>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</si>
  <si>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</si>
  <si>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</si>
  <si>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</si>
  <si>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</si>
  <si>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</si>
  <si>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</si>
  <si>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</si>
  <si>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</si>
  <si>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</si>
  <si>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</si>
  <si>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</si>
  <si>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</si>
  <si>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</si>
  <si>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</si>
  <si>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</si>
  <si>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</si>
  <si>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</si>
  <si>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</si>
  <si>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</si>
  <si>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</si>
  <si>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</si>
  <si>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</si>
  <si>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</si>
  <si>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</si>
  <si>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</si>
  <si>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</si>
  <si>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</si>
  <si>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</si>
  <si>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</si>
  <si>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</si>
  <si>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</si>
  <si>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</si>
  <si>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</si>
  <si>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</si>
  <si>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</si>
  <si>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</si>
  <si>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</si>
  <si>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</si>
  <si>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</si>
  <si>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</si>
  <si>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</si>
  <si>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</si>
  <si>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</si>
  <si>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</si>
  <si>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</si>
  <si>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</si>
  <si>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</si>
  <si>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</si>
  <si>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</si>
  <si>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</si>
  <si>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</si>
  <si>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</si>
  <si>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</si>
  <si>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</si>
  <si>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</si>
  <si>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</si>
  <si>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</si>
  <si>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</si>
  <si>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</si>
  <si>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</si>
  <si>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</si>
  <si>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</si>
  <si>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</si>
  <si>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</si>
  <si>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</si>
  <si>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</si>
  <si>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</si>
  <si>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</si>
  <si>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</si>
  <si>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</si>
  <si>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</si>
  <si>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</si>
  <si>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</si>
  <si>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</si>
  <si>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</si>
  <si>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</si>
  <si>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</si>
  <si>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</si>
  <si>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</si>
  <si>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</si>
  <si>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</si>
  <si>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</si>
  <si>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</si>
  <si>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</si>
  <si>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</si>
  <si>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</si>
  <si>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</si>
  <si>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</si>
  <si>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</si>
  <si>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</si>
  <si>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</si>
  <si>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</si>
  <si>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</si>
  <si>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</si>
  <si>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</si>
  <si>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</si>
  <si>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</si>
  <si>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</si>
  <si>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</si>
  <si>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</si>
  <si>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</si>
  <si>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</si>
  <si>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</si>
  <si>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</si>
  <si>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</si>
  <si>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</si>
  <si>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</si>
  <si>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</si>
  <si>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</si>
  <si>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</si>
  <si>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</si>
  <si>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</si>
  <si>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</si>
  <si>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</si>
  <si>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</si>
  <si>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</si>
  <si>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</si>
  <si>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</si>
  <si>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</si>
  <si>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</si>
  <si>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</si>
  <si>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</si>
  <si>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</si>
  <si>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</si>
  <si>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</si>
  <si>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</si>
  <si>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</si>
  <si>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</si>
  <si>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</si>
  <si>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</si>
  <si>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</si>
  <si>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</si>
  <si>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</si>
  <si>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</si>
  <si>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</si>
  <si>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</si>
  <si>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</si>
  <si>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</si>
  <si>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</si>
  <si>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</si>
  <si>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</si>
  <si>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</si>
  <si>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</si>
  <si>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</si>
  <si>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</si>
  <si>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</si>
  <si>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</si>
  <si>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</si>
  <si>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</si>
  <si>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</si>
  <si>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</si>
  <si>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</si>
  <si>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</si>
  <si>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</si>
  <si>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</si>
  <si>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</si>
  <si>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</si>
  <si>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</si>
  <si>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</si>
  <si>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</si>
  <si>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</si>
  <si>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</si>
  <si>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</si>
  <si>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</si>
  <si>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</si>
  <si>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</si>
  <si>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</si>
  <si>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</si>
  <si>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</si>
  <si>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</si>
  <si>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</si>
  <si>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</si>
  <si>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</si>
  <si>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</si>
  <si>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</si>
  <si>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</si>
  <si>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</si>
  <si>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</si>
  <si>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</si>
  <si>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</si>
  <si>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</si>
  <si>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</si>
  <si>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</si>
  <si>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</si>
  <si>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</si>
  <si>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</si>
  <si>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</si>
  <si>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</si>
  <si>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</si>
  <si>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</si>
  <si>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</si>
  <si>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</si>
  <si>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</si>
  <si>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</si>
  <si>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</si>
  <si>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</si>
  <si>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</si>
  <si>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</si>
  <si>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</si>
  <si>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</si>
  <si>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</si>
  <si>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</si>
  <si>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</si>
  <si>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</si>
  <si>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</si>
  <si>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</si>
  <si>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</si>
  <si>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</si>
  <si>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</si>
  <si>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</si>
  <si>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</si>
  <si>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</si>
  <si>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</si>
  <si>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</si>
  <si>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</si>
  <si>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</si>
  <si>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</si>
  <si>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</si>
  <si>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</si>
  <si>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</si>
  <si>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</si>
  <si>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</si>
  <si>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</si>
  <si>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</si>
  <si>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</si>
  <si>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</si>
  <si>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</si>
  <si>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</si>
  <si>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</si>
  <si>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</si>
  <si>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</si>
  <si>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</si>
  <si>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</si>
  <si>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</si>
  <si>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</si>
  <si>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</si>
  <si>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</si>
  <si>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</si>
  <si>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</si>
  <si>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</si>
  <si>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</si>
  <si>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</si>
  <si>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</si>
  <si>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</si>
  <si>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</si>
  <si>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</si>
  <si>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</si>
  <si>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</si>
  <si>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</si>
  <si>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</si>
  <si>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</si>
  <si>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</si>
  <si>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</si>
  <si>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</si>
  <si>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</si>
  <si>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</si>
  <si>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</si>
  <si>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</si>
  <si>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</si>
  <si>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</si>
  <si>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</si>
  <si>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</si>
  <si>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</si>
  <si>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</si>
  <si>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</si>
  <si>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</si>
  <si>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</si>
  <si>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</si>
  <si>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</si>
  <si>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</si>
  <si>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</si>
  <si>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</si>
  <si>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</si>
  <si>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</si>
  <si>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</si>
  <si>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</si>
  <si>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</si>
  <si>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</si>
  <si>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</si>
  <si>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</si>
  <si>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</si>
  <si>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</si>
  <si>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</si>
  <si>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</si>
  <si>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</si>
  <si>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</si>
  <si>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</si>
  <si>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</si>
  <si>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</si>
  <si>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</si>
  <si>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</si>
  <si>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</si>
  <si>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</si>
  <si>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</si>
  <si>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</si>
  <si>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</si>
  <si>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</si>
  <si>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</si>
  <si>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</si>
  <si>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</si>
  <si>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</si>
  <si>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</si>
  <si>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</si>
  <si>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</si>
  <si>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</si>
  <si>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</si>
  <si>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</si>
  <si>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</si>
  <si>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</si>
  <si>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</si>
  <si>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</si>
  <si>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</si>
  <si>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</si>
  <si>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</si>
  <si>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</si>
  <si>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</si>
  <si>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</si>
  <si>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</si>
  <si>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</si>
  <si>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</si>
  <si>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</si>
  <si>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</si>
  <si>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</si>
  <si>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</si>
  <si>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</si>
  <si>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</si>
  <si>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</si>
  <si>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</si>
  <si>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</si>
  <si>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</si>
  <si>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</si>
  <si>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</si>
  <si>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</si>
  <si>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</si>
  <si>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</si>
  <si>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</si>
  <si>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</si>
  <si>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</si>
  <si>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</si>
  <si>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</si>
  <si>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</si>
  <si>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</si>
  <si>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</si>
  <si>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</si>
  <si>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</si>
  <si>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</si>
  <si>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</si>
  <si>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</si>
  <si>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</si>
  <si>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</si>
  <si>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</si>
  <si>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</si>
  <si>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</si>
  <si>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</si>
  <si>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</si>
  <si>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</si>
  <si>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</si>
  <si>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</si>
  <si>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</si>
  <si>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</si>
  <si>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</si>
  <si>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</si>
  <si>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</si>
  <si>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</si>
  <si>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</si>
  <si>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</si>
  <si>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</si>
  <si>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</si>
  <si>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</si>
  <si>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</si>
  <si>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</si>
  <si>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</si>
  <si>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</si>
  <si>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</si>
  <si>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</si>
  <si>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</si>
  <si>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</si>
  <si>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</si>
  <si>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</si>
  <si>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</si>
  <si>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</si>
  <si>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</si>
  <si>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</si>
  <si>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</si>
  <si>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</si>
  <si>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</si>
  <si>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</si>
  <si>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</si>
  <si>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</si>
  <si>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</si>
  <si>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</si>
  <si>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</si>
  <si>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</si>
  <si>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</si>
  <si>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</si>
  <si>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</si>
  <si>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</si>
  <si>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</si>
  <si>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</si>
  <si>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</si>
  <si>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</si>
  <si>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</si>
  <si>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</si>
  <si>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</si>
  <si>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</si>
  <si>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</si>
  <si>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</si>
  <si>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</si>
  <si>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</si>
  <si>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</si>
  <si>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</si>
  <si>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</si>
  <si>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</si>
  <si>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</si>
  <si>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</si>
  <si>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</si>
  <si>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</si>
  <si>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</si>
  <si>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</si>
  <si>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</si>
  <si>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</si>
  <si>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</si>
  <si>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</si>
  <si>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</si>
  <si>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</si>
  <si>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</si>
  <si>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</si>
  <si>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</si>
  <si>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</si>
  <si>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</si>
  <si>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</si>
  <si>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</si>
  <si>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</si>
  <si>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</si>
  <si>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</si>
  <si>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</si>
  <si>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</si>
  <si>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</si>
  <si>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</si>
  <si>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</si>
  <si>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</si>
  <si>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</si>
  <si>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</si>
  <si>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</si>
  <si>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</si>
  <si>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</si>
  <si>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</si>
  <si>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</si>
  <si>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</si>
  <si>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</si>
  <si>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</si>
  <si>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</si>
  <si>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</si>
  <si>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</si>
  <si>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</si>
  <si>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</si>
  <si>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</si>
  <si>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</si>
  <si>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</si>
  <si>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</si>
  <si>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</si>
  <si>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</si>
  <si>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</si>
  <si>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</si>
  <si>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</si>
  <si>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</si>
  <si>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</si>
  <si>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</si>
  <si>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</si>
  <si>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</si>
  <si>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</si>
  <si>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</si>
  <si>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</si>
  <si>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</si>
  <si>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</si>
  <si>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</si>
  <si>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</si>
  <si>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</si>
  <si>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</si>
  <si>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</si>
  <si>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</si>
  <si>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</si>
  <si>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</si>
  <si>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</si>
  <si>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</si>
  <si>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</si>
  <si>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</si>
  <si>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</si>
  <si>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</si>
  <si>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</si>
  <si>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</si>
  <si>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</si>
  <si>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</si>
  <si>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</si>
  <si>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</si>
  <si>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</si>
  <si>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</si>
  <si>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</si>
  <si>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</si>
  <si>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</si>
  <si>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</si>
  <si>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</si>
  <si>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</si>
  <si>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</si>
  <si>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</si>
  <si>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</si>
  <si>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</si>
  <si>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</si>
  <si>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</si>
  <si>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</si>
  <si>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</si>
  <si>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</si>
  <si>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</si>
  <si>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</si>
  <si>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</si>
  <si>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</si>
  <si>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</si>
  <si>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</si>
  <si>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</si>
  <si>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</si>
  <si>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</si>
  <si>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</si>
  <si>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</si>
  <si>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</si>
  <si>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</si>
  <si>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</si>
  <si>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</si>
  <si>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</si>
  <si>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</si>
  <si>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</si>
  <si>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</si>
  <si>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</si>
  <si>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</si>
  <si>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</si>
  <si>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</si>
  <si>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</si>
  <si>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</si>
  <si>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</si>
  <si>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</si>
  <si>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</si>
  <si>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</si>
  <si>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</si>
  <si>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</si>
  <si>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</si>
  <si>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</si>
  <si>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</si>
  <si>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</si>
  <si>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</si>
  <si>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</si>
  <si>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</si>
  <si>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</si>
  <si>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</si>
  <si>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</si>
  <si>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</si>
  <si>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</si>
  <si>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</si>
  <si>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</si>
  <si>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</si>
  <si>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</si>
  <si>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</si>
  <si>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</si>
  <si>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</si>
  <si>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</si>
  <si>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</si>
  <si>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</si>
  <si>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</si>
  <si>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</si>
  <si>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</si>
  <si>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</si>
  <si>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</si>
  <si>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</si>
  <si>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</si>
  <si>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</si>
  <si>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</si>
  <si>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</si>
  <si>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</si>
  <si>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</si>
  <si>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</si>
  <si>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</si>
  <si>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</si>
  <si>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</si>
  <si>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</si>
  <si>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</si>
  <si>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</si>
  <si>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</si>
  <si>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</si>
  <si>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</si>
  <si>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</si>
  <si>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</si>
  <si>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</si>
  <si>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</si>
  <si>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</si>
  <si>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</si>
  <si>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</si>
  <si>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</si>
  <si>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</si>
  <si>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</si>
  <si>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</si>
  <si>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</si>
  <si>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</si>
  <si>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</si>
  <si>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</si>
  <si>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</si>
  <si>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</si>
  <si>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</si>
  <si>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</si>
  <si>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</si>
  <si>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</si>
  <si>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</si>
  <si>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</si>
  <si>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</si>
  <si>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</si>
  <si>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</si>
  <si>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</si>
  <si>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</si>
  <si>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</si>
  <si>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</si>
  <si>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</si>
  <si>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</si>
  <si>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</si>
  <si>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</si>
  <si>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</si>
  <si>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</si>
  <si>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</si>
  <si>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</si>
  <si>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</si>
  <si>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</si>
  <si>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</si>
  <si>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</si>
  <si>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</si>
  <si>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</si>
  <si>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</si>
  <si>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</si>
  <si>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</si>
  <si>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</si>
  <si>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</si>
  <si>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</si>
  <si>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</si>
  <si>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</si>
  <si>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</si>
  <si>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</si>
  <si>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</si>
  <si>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</si>
  <si>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</si>
  <si>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</si>
  <si>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</si>
  <si>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</si>
  <si>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</si>
  <si>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</si>
  <si>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</si>
  <si>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</si>
  <si>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</si>
  <si>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</si>
  <si>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</si>
  <si>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</si>
  <si>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</si>
  <si>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</si>
  <si>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</si>
  <si>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</si>
  <si>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</si>
  <si>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</si>
  <si>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</si>
  <si>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</si>
  <si>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</si>
  <si>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</si>
  <si>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</si>
  <si>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</si>
  <si>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</si>
  <si>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</si>
  <si>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</si>
  <si>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</si>
  <si>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</si>
  <si>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</si>
  <si>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</si>
  <si>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</si>
  <si>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</si>
  <si>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</si>
  <si>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</si>
  <si>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</si>
  <si>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</si>
  <si>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</si>
  <si>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</si>
  <si>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</si>
  <si>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</si>
  <si>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</si>
  <si>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</si>
  <si>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</si>
  <si>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</si>
  <si>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</si>
  <si>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</si>
  <si>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</si>
  <si>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</si>
  <si>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</si>
  <si>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</si>
  <si>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</si>
  <si>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</si>
  <si>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</si>
  <si>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</si>
  <si>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</si>
  <si>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</si>
  <si>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</si>
  <si>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</si>
  <si>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</si>
  <si>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</si>
  <si>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</si>
  <si>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</si>
  <si>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</si>
  <si>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</si>
  <si>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</si>
  <si>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</si>
  <si>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</si>
  <si>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</si>
  <si>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</si>
  <si>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</si>
  <si>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</si>
  <si>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</si>
  <si>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</si>
  <si>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</si>
  <si>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</si>
  <si>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</si>
  <si>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</si>
  <si>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</si>
  <si>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</si>
  <si>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</si>
  <si>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</si>
  <si>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</si>
  <si>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</si>
  <si>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</si>
  <si>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</si>
  <si>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</si>
  <si>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</si>
  <si>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</si>
  <si>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</si>
  <si>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</si>
  <si>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</si>
  <si>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</si>
  <si>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</si>
  <si>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</si>
  <si>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</si>
  <si>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</si>
  <si>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</si>
  <si>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</si>
  <si>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</si>
  <si>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</si>
  <si>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</si>
  <si>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</si>
  <si>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</si>
  <si>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</si>
  <si>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</si>
  <si>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</si>
  <si>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</si>
  <si>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</si>
  <si>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</si>
  <si>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</si>
  <si>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</si>
  <si>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</si>
  <si>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</si>
  <si>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</si>
  <si>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</si>
  <si>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</si>
  <si>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</si>
  <si>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</si>
  <si>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</si>
  <si>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</si>
  <si>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</si>
  <si>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</si>
  <si>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</si>
  <si>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</si>
  <si>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</si>
  <si>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</si>
  <si>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</si>
  <si>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</si>
  <si>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</si>
  <si>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</si>
  <si>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</si>
  <si>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</si>
  <si>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</si>
  <si>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</si>
  <si>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</si>
  <si>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</si>
  <si>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</si>
  <si>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</si>
  <si>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</si>
  <si>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</si>
  <si>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</si>
  <si>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</si>
  <si>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</si>
  <si>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</si>
  <si>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</si>
  <si>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</si>
  <si>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</si>
  <si>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</si>
  <si>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</si>
  <si>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</si>
  <si>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</si>
  <si>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</si>
  <si>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</si>
  <si>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</si>
  <si>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</si>
  <si>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</si>
  <si>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</si>
  <si>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</si>
  <si>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</si>
  <si>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</si>
  <si>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</si>
  <si>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</si>
  <si>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</si>
  <si>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</si>
  <si>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</si>
  <si>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</si>
  <si>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</si>
  <si>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</si>
  <si>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</si>
  <si>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</si>
  <si>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</si>
  <si>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</si>
  <si>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</si>
  <si>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</si>
  <si>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</si>
  <si>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</si>
  <si>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</si>
  <si>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</si>
  <si>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</si>
  <si>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</si>
  <si>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</si>
  <si>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</si>
  <si>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</si>
  <si>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</si>
  <si>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</si>
  <si>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</si>
  <si>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</si>
  <si>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</si>
  <si>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</si>
  <si>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</si>
  <si>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</si>
  <si>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</si>
  <si>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</si>
  <si>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</si>
  <si>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</si>
  <si>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</si>
  <si>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</si>
  <si>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</si>
  <si>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</si>
  <si>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</si>
  <si>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</si>
  <si>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</si>
  <si>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</si>
  <si>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</si>
  <si>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</si>
  <si>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</si>
  <si>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</si>
  <si>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</si>
  <si>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</si>
  <si>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</si>
  <si>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</si>
  <si>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</si>
  <si>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</si>
  <si>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</si>
  <si>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</si>
  <si>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</si>
  <si>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</si>
  <si>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</si>
  <si>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</si>
  <si>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</si>
  <si>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</si>
  <si>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</si>
  <si>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</si>
  <si>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</si>
  <si>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</si>
  <si>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</si>
  <si>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</si>
  <si>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</si>
  <si>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</si>
  <si>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</si>
  <si>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</si>
  <si>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</si>
  <si>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</si>
  <si>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</si>
  <si>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</si>
  <si>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</si>
  <si>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</si>
  <si>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</si>
  <si>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</si>
  <si>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</si>
  <si>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</si>
  <si>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</si>
  <si>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</si>
  <si>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</si>
  <si>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</si>
  <si>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</si>
  <si>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</si>
  <si>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</si>
  <si>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</si>
  <si>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</si>
  <si>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</si>
  <si>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</si>
  <si>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</si>
  <si>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</si>
  <si>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</si>
  <si>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</si>
  <si>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</si>
  <si>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</si>
  <si>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</si>
  <si>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</si>
  <si>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</si>
  <si>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</si>
  <si>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</si>
  <si>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</si>
  <si>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</si>
  <si>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</si>
  <si>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</si>
  <si>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</si>
  <si>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</si>
  <si>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</si>
  <si>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</si>
  <si>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</si>
  <si>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</si>
  <si>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</si>
  <si>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</si>
  <si>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</si>
  <si>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</si>
  <si>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</si>
  <si>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</si>
  <si>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</si>
  <si>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</si>
  <si>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</si>
  <si>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</si>
  <si>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</si>
  <si>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</si>
  <si>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</si>
  <si>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</si>
  <si>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</si>
  <si>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</si>
  <si>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</si>
  <si>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</si>
  <si>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</si>
  <si>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</si>
  <si>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</si>
  <si>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</si>
  <si>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</si>
  <si>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</si>
  <si>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</si>
  <si>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</si>
  <si>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</si>
  <si>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</si>
  <si>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</si>
  <si>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</si>
  <si>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</si>
  <si>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</si>
  <si>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</si>
  <si>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</si>
  <si>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</si>
  <si>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</si>
  <si>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</si>
  <si>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</si>
  <si>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</si>
  <si>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</si>
  <si>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</si>
  <si>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</si>
  <si>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</si>
  <si>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</si>
  <si>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</si>
  <si>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</si>
  <si>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</si>
  <si>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</si>
  <si>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</si>
  <si>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</si>
  <si>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</si>
  <si>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</si>
  <si>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</si>
  <si>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</si>
  <si>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</si>
  <si>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</si>
  <si>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</si>
  <si>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</si>
  <si>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</si>
  <si>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</si>
  <si>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</si>
  <si>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</si>
  <si>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</si>
  <si>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</si>
  <si>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</si>
  <si>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</si>
  <si>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</si>
  <si>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</si>
  <si>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</si>
  <si>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</si>
  <si>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</si>
  <si>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</si>
  <si>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</si>
  <si>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</si>
  <si>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</si>
  <si>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</si>
  <si>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</si>
  <si>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</si>
  <si>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</si>
  <si>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</si>
  <si>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</si>
  <si>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</si>
  <si>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</si>
  <si>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</si>
  <si>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</si>
  <si>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</si>
  <si>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</si>
  <si>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</si>
  <si>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</si>
  <si>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</si>
  <si>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</si>
  <si>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</si>
  <si>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</si>
  <si>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</si>
  <si>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</si>
  <si>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</si>
  <si>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</si>
  <si>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</si>
  <si>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</si>
  <si>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</si>
  <si>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</si>
  <si>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</si>
  <si>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</si>
  <si>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</si>
  <si>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</si>
  <si>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</si>
  <si>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</si>
  <si>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</si>
  <si>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</si>
  <si>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</si>
  <si>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</si>
  <si>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</si>
  <si>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</si>
  <si>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</si>
  <si>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</si>
  <si>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</si>
  <si>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</si>
  <si>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</si>
  <si>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</si>
  <si>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</si>
  <si>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</si>
  <si>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</si>
  <si>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</si>
  <si>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</si>
  <si>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</si>
  <si>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</si>
  <si>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</si>
  <si>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</si>
  <si>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</si>
  <si>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</si>
  <si>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</si>
  <si>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</si>
  <si>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</si>
  <si>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</si>
  <si>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</si>
  <si>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</si>
  <si>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</si>
  <si>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</si>
  <si>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</si>
  <si>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</si>
  <si>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</si>
  <si>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</si>
  <si>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</si>
  <si>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</si>
  <si>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</si>
  <si>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</si>
  <si>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</si>
  <si>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</si>
  <si>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</si>
  <si>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</si>
  <si>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</si>
  <si>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</si>
  <si>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</si>
  <si>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</si>
  <si>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</si>
  <si>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</si>
  <si>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</si>
  <si>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</si>
  <si>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</si>
  <si>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</si>
  <si>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</si>
  <si>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</si>
  <si>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</si>
  <si>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</si>
  <si>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</si>
  <si>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</si>
  <si>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</si>
  <si>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</si>
  <si>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</si>
  <si>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</si>
  <si>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</si>
  <si>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</si>
  <si>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</si>
  <si>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</si>
  <si>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</si>
  <si>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</si>
  <si>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</si>
  <si>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</si>
  <si>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</si>
  <si>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</si>
  <si>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</si>
  <si>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</si>
  <si>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</si>
  <si>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</si>
  <si>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</si>
  <si>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</si>
  <si>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</si>
  <si>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</si>
  <si>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</si>
  <si>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</si>
  <si>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</si>
  <si>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</si>
  <si>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</si>
  <si>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</si>
  <si>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</si>
  <si>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</si>
  <si>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</si>
  <si>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</si>
  <si>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</si>
  <si>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</si>
  <si>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</si>
  <si>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</si>
  <si>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</si>
  <si>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</si>
  <si>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</si>
  <si>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</si>
  <si>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</si>
  <si>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</si>
  <si>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</si>
  <si>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</si>
  <si>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</si>
  <si>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</si>
  <si>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</si>
  <si>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</si>
  <si>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</si>
  <si>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</si>
  <si>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</si>
  <si>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</si>
  <si>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</si>
  <si>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</si>
  <si>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</si>
  <si>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</si>
  <si>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</si>
  <si>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</si>
  <si>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</si>
  <si>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</si>
  <si>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</si>
  <si>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</si>
  <si>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</si>
  <si>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</si>
  <si>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</si>
  <si>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</si>
  <si>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</si>
  <si>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</si>
  <si>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</si>
  <si>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</si>
  <si>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</si>
  <si>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</si>
  <si>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</si>
  <si>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</si>
  <si>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</si>
  <si>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</si>
  <si>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</si>
  <si>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</si>
  <si>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</si>
  <si>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</si>
  <si>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</si>
  <si>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</si>
  <si>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</si>
  <si>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</si>
  <si>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</si>
  <si>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</si>
  <si>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</si>
  <si>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</si>
  <si>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</si>
  <si>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</si>
  <si>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</si>
  <si>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</si>
  <si>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</si>
  <si>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</si>
  <si>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</si>
  <si>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</si>
  <si>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</si>
  <si>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</si>
  <si>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</si>
  <si>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</si>
  <si>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</si>
  <si>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</si>
  <si>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</si>
  <si>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</si>
  <si>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</si>
  <si>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</si>
  <si>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</si>
  <si>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</si>
  <si>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</si>
  <si>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</si>
  <si>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</si>
  <si>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</si>
  <si>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</si>
  <si>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</si>
  <si>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</si>
  <si>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</si>
  <si>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</si>
  <si>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</si>
  <si>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</si>
  <si>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</si>
  <si>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</si>
  <si>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</si>
  <si>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</si>
  <si>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</si>
  <si>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</si>
  <si>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</si>
  <si>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</si>
  <si>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</si>
  <si>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</si>
  <si>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</si>
  <si>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</si>
  <si>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</si>
  <si>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</si>
  <si>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</si>
  <si>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</si>
  <si>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</si>
  <si>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</si>
  <si>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</si>
  <si>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</si>
  <si>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</si>
  <si>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</si>
  <si>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</si>
  <si>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</si>
  <si>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</si>
  <si>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</si>
  <si>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</si>
  <si>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</si>
  <si>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</si>
  <si>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</si>
  <si>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</si>
  <si>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</si>
  <si>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</si>
  <si>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</si>
  <si>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</si>
  <si>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</si>
  <si>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</si>
  <si>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</si>
  <si>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</si>
  <si>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</si>
  <si>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</si>
  <si>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</si>
  <si>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</si>
  <si>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</si>
  <si>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</si>
  <si>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</si>
  <si>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</si>
  <si>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</si>
  <si>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</si>
  <si>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</si>
  <si>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</si>
  <si>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</si>
  <si>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</si>
  <si>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</si>
  <si>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</si>
  <si>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</si>
  <si>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</si>
  <si>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</si>
  <si>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</si>
  <si>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</si>
  <si>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</si>
  <si>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</si>
  <si>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</si>
  <si>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</si>
  <si>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</si>
  <si>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</si>
  <si>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</si>
  <si>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</si>
  <si>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</si>
  <si>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</si>
  <si>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</si>
  <si>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</si>
  <si>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</si>
  <si>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</si>
  <si>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</si>
  <si>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</si>
  <si>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</si>
  <si>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</si>
  <si>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</si>
  <si>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</si>
  <si>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</si>
  <si>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</si>
  <si>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</si>
  <si>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</si>
  <si>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</si>
  <si>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</si>
  <si>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</si>
  <si>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</si>
  <si>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</si>
  <si>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</si>
  <si>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</si>
  <si>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</si>
  <si>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</si>
  <si>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</si>
  <si>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</si>
  <si>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</si>
  <si>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</si>
  <si>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</si>
  <si>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</si>
  <si>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</si>
  <si>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</si>
  <si>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</si>
  <si>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</si>
  <si>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</si>
  <si>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</si>
  <si>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</si>
  <si>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</si>
  <si>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</si>
  <si>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</si>
  <si>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</si>
  <si>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</si>
  <si>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</si>
  <si>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</si>
  <si>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</si>
  <si>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</si>
  <si>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</si>
  <si>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</si>
  <si>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</si>
  <si>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</si>
  <si>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</si>
  <si>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</si>
  <si>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</si>
  <si>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</si>
  <si>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</si>
  <si>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</si>
  <si>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</si>
  <si>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</si>
  <si>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</si>
  <si>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</si>
  <si>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</si>
  <si>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</si>
  <si>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</si>
  <si>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</si>
  <si>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</si>
  <si>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</si>
  <si>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</si>
  <si>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</si>
  <si>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</si>
  <si>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</si>
  <si>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</si>
  <si>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</si>
  <si>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</si>
  <si>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</si>
  <si>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</si>
  <si>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</si>
  <si>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</si>
  <si>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</si>
  <si>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</si>
  <si>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</si>
  <si>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</si>
  <si>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</si>
  <si>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</si>
  <si>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</si>
  <si>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</si>
  <si>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</si>
  <si>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</si>
  <si>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</si>
  <si>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</si>
  <si>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</si>
  <si>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</si>
  <si>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</si>
  <si>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</si>
  <si>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</si>
  <si>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</si>
  <si>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</si>
  <si>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</si>
  <si>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</si>
  <si>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</si>
  <si>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</si>
  <si>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</si>
  <si>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</si>
  <si>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</si>
  <si>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</si>
  <si>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</si>
  <si>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</si>
  <si>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</si>
  <si>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</si>
  <si>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</si>
  <si>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</si>
  <si>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</si>
  <si>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</si>
  <si>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</si>
  <si>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</si>
  <si>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</si>
  <si>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</si>
  <si>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</si>
  <si>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</si>
  <si>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</si>
  <si>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</si>
  <si>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</si>
  <si>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</si>
  <si>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</si>
  <si>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</si>
  <si>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</si>
  <si>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</si>
  <si>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</si>
  <si>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</si>
  <si>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</si>
  <si>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</si>
  <si>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</si>
  <si>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</si>
  <si>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</si>
  <si>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</si>
  <si>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</si>
  <si>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</si>
  <si>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</si>
  <si>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</si>
  <si>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</si>
  <si>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</si>
  <si>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</si>
  <si>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</si>
  <si>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</si>
  <si>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</si>
  <si>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</si>
  <si>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</si>
  <si>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</si>
  <si>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</si>
  <si>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</si>
  <si>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</si>
  <si>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</si>
  <si>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</si>
  <si>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</si>
  <si>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</si>
  <si>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</si>
  <si>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</si>
  <si>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</si>
  <si>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</si>
  <si>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</si>
  <si>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</si>
  <si>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</si>
  <si>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</si>
  <si>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</si>
  <si>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</si>
  <si>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</si>
  <si>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</si>
  <si>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</si>
  <si>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</si>
  <si>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</si>
  <si>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</si>
  <si>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</si>
  <si>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</si>
  <si>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</si>
  <si>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</si>
  <si>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</si>
  <si>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</si>
  <si>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</si>
  <si>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</si>
  <si>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</si>
  <si>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</si>
  <si>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</si>
  <si>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</si>
  <si>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</si>
  <si>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</si>
  <si>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</si>
  <si>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</si>
  <si>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</si>
  <si>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</si>
  <si>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</si>
  <si>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</si>
  <si>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</si>
  <si>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</si>
  <si>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</si>
  <si>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</si>
  <si>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</si>
  <si>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</si>
  <si>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</si>
  <si>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</si>
  <si>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</si>
  <si>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</si>
  <si>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</si>
  <si>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</si>
  <si>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</si>
  <si>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</si>
  <si>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</si>
  <si>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</si>
  <si>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</si>
  <si>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</si>
  <si>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</si>
  <si>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</si>
  <si>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</si>
  <si>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</si>
  <si>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</si>
  <si>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</si>
  <si>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</si>
  <si>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</si>
  <si>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</si>
  <si>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</si>
  <si>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</si>
  <si>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</si>
  <si>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</si>
  <si>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</si>
  <si>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</si>
  <si>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</si>
  <si>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</si>
  <si>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</si>
  <si>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</si>
  <si>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</si>
  <si>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</si>
  <si>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</si>
  <si>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</si>
  <si>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</si>
  <si>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</si>
  <si>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</si>
  <si>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</si>
  <si>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</si>
  <si>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</si>
  <si>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</si>
  <si>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</si>
  <si>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</si>
  <si>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</si>
  <si>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</si>
  <si>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</si>
  <si>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</si>
  <si>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</si>
  <si>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</si>
  <si>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</si>
  <si>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</si>
  <si>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</si>
  <si>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</si>
  <si>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</si>
  <si>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</si>
  <si>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</si>
  <si>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</si>
  <si>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</si>
  <si>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</si>
  <si>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</si>
  <si>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</si>
  <si>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</si>
  <si>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</si>
  <si>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</si>
  <si>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</si>
  <si>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</si>
  <si>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</si>
  <si>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</si>
  <si>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</si>
  <si>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</si>
  <si>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</si>
  <si>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</si>
  <si>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</si>
  <si>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</si>
  <si>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</si>
  <si>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</si>
  <si>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</si>
  <si>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</si>
  <si>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</si>
  <si>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</si>
  <si>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</si>
  <si>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</si>
  <si>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</si>
  <si>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</si>
  <si>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</si>
  <si>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</si>
  <si>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</si>
  <si>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</si>
  <si>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</si>
  <si>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</si>
  <si>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</si>
  <si>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</si>
  <si>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</si>
  <si>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</si>
  <si>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</si>
  <si>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</si>
  <si>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</si>
  <si>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</si>
  <si>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</si>
  <si>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</si>
  <si>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</si>
  <si>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</si>
  <si>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</si>
  <si>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</si>
  <si>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</si>
  <si>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</si>
  <si>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</si>
  <si>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</si>
  <si>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</si>
  <si>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</si>
  <si>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</si>
  <si>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</si>
  <si>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</si>
  <si>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</si>
  <si>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</si>
  <si>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</si>
  <si>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</si>
  <si>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</si>
  <si>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</si>
  <si>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</si>
  <si>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</si>
  <si>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</si>
  <si>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</si>
  <si>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</si>
  <si>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</si>
  <si>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</si>
  <si>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</si>
  <si>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</si>
  <si>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</si>
  <si>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</si>
  <si>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</si>
  <si>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</si>
  <si>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</si>
  <si>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</si>
  <si>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</si>
  <si>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</si>
  <si>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</si>
  <si>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</si>
  <si>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</si>
  <si>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</si>
  <si>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</si>
  <si>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</si>
  <si>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</si>
  <si>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</si>
  <si>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</si>
  <si>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</si>
  <si>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</si>
  <si>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</si>
  <si>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</si>
  <si>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</si>
  <si>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</si>
  <si>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</si>
  <si>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</si>
  <si>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</si>
  <si>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</si>
  <si>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</si>
  <si>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</si>
  <si>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</si>
  <si>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</si>
  <si>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</si>
  <si>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</si>
  <si>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</si>
  <si>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</si>
  <si>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</si>
  <si>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</si>
  <si>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</si>
  <si>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</si>
  <si>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</si>
  <si>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</si>
  <si>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</si>
  <si>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</si>
  <si>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</si>
  <si>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</si>
  <si>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</si>
  <si>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</si>
  <si>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</si>
  <si>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</si>
  <si>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</si>
  <si>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</si>
  <si>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</si>
  <si>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</si>
  <si>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</si>
  <si>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</si>
  <si>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</si>
  <si>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</si>
  <si>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</si>
  <si>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</si>
  <si>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</si>
  <si>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</si>
  <si>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</si>
  <si>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</si>
  <si>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</si>
  <si>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</si>
  <si>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</si>
  <si>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</si>
  <si>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</si>
  <si>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</si>
  <si>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</si>
  <si>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</si>
  <si>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</si>
  <si>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</si>
  <si>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</si>
  <si>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</si>
  <si>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</si>
  <si>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</si>
  <si>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</si>
  <si>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</si>
  <si>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</si>
  <si>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</si>
  <si>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</si>
  <si>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</si>
  <si>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</si>
  <si>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</si>
  <si>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</si>
  <si>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</si>
  <si>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</si>
  <si>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</si>
  <si>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</si>
  <si>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</si>
  <si>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</si>
  <si>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</si>
  <si>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</si>
  <si>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</si>
  <si>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</si>
  <si>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</si>
  <si>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</si>
  <si>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</si>
  <si>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</si>
  <si>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</si>
  <si>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</si>
  <si>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</si>
  <si>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</si>
  <si>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</si>
  <si>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</si>
  <si>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</si>
  <si>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</si>
  <si>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</si>
  <si>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</si>
  <si>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</si>
  <si>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</si>
  <si>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</si>
  <si>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</si>
  <si>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</si>
  <si>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</si>
  <si>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</si>
  <si>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</si>
  <si>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</si>
  <si>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</si>
  <si>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</si>
  <si>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</si>
  <si>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</si>
  <si>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</si>
  <si>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</si>
  <si>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</si>
  <si>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</si>
  <si>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</si>
  <si>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</si>
  <si>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</si>
  <si>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</si>
  <si>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</si>
  <si>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</si>
  <si>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</si>
  <si>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</si>
  <si>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</si>
  <si>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</si>
  <si>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</si>
  <si>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</si>
  <si>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</si>
  <si>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</si>
  <si>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</si>
  <si>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</si>
  <si>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</si>
  <si>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</si>
  <si>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</si>
  <si>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</si>
  <si>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</si>
  <si>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</si>
  <si>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</si>
  <si>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</si>
  <si>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</si>
  <si>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</si>
  <si>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</si>
  <si>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</si>
  <si>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</si>
  <si>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</si>
  <si>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</si>
  <si>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</si>
  <si>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</si>
  <si>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</si>
  <si>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</si>
  <si>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</si>
  <si>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</si>
  <si>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</si>
  <si>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</si>
  <si>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</si>
  <si>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</si>
  <si>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</si>
  <si>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</si>
  <si>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</si>
  <si>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</si>
  <si>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</si>
  <si>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</si>
  <si>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</si>
  <si>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</si>
  <si>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</si>
  <si>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</si>
  <si>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Jo Daviess</t>
  </si>
  <si>
    <t>540 N Rush Street</t>
  </si>
  <si>
    <t>Stockton</t>
  </si>
  <si>
    <t>Colleen Fox</t>
  </si>
  <si>
    <t>colleen.fox@stocktonschools.com</t>
  </si>
  <si>
    <t>815-947-3391</t>
  </si>
  <si>
    <t>815-947-2673</t>
  </si>
  <si>
    <t>Aaron Mercier</t>
  </si>
  <si>
    <t>amercier@roe8.com</t>
  </si>
  <si>
    <t>815-599-1408</t>
  </si>
  <si>
    <t>815-297-9032</t>
  </si>
  <si>
    <t>ED-Instructional Staff-Purchased Services</t>
  </si>
  <si>
    <t>10-2200-300</t>
  </si>
  <si>
    <t>Dell Financial Services</t>
  </si>
  <si>
    <t>X</t>
  </si>
  <si>
    <t>Highland Community College</t>
  </si>
  <si>
    <t>Pearl City CUSD #200</t>
  </si>
  <si>
    <t>Northwest Special Education Cooperative</t>
  </si>
  <si>
    <t>Regional Office of Education</t>
  </si>
  <si>
    <t>Orangeville CUSD #203</t>
  </si>
  <si>
    <t>Eagle Ridge VDS/Jo Daviess Caroll CTEA</t>
  </si>
  <si>
    <t>Line</t>
  </si>
  <si>
    <t>Page</t>
  </si>
  <si>
    <t>Account</t>
  </si>
  <si>
    <t>Drug Testing</t>
  </si>
  <si>
    <t>REAP Grant</t>
  </si>
  <si>
    <t>Resale Food Receipts</t>
  </si>
  <si>
    <t>Scrap Metal Sales</t>
  </si>
  <si>
    <t>Reimbursement for Transportation</t>
  </si>
  <si>
    <t>Insurance Payment</t>
  </si>
  <si>
    <t>Bus Capital Lease</t>
  </si>
  <si>
    <t>Lease/Purchase Obligation</t>
  </si>
  <si>
    <t>Audit Check Error Message #8 is a result of a bus capital lease payment in the amount of $85,185 as shown on</t>
  </si>
  <si>
    <t>line 31 of page 24 being recorded in the Transporation Fund.</t>
  </si>
  <si>
    <t>Miscellaneous Receipts</t>
  </si>
  <si>
    <t>Other State Programs</t>
  </si>
  <si>
    <t>Stockton CUSD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</si>
</sst>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164" fontId="97" fillId="0" borderId="0" xfId="0" applyNumberFormat="1" applyFont="1" applyAlignment="1">
      <alignment horizontal="center"/>
    </xf>
    <xf numFmtId="0" fontId="74" fillId="0" borderId="0" xfId="0" applyFont="1" applyAlignment="1">
      <alignment horizontal="center"/>
    </xf>
    <xf numFmtId="0" fontId="56" fillId="0" borderId="0" xfId="0" applyFont="1" applyBorder="1" applyAlignment="1">
      <alignment horizontal="center"/>
    </xf>
    <xf numFmtId="181" fontId="56" fillId="0" borderId="166" xfId="19" applyNumberFormat="1" applyFont="1" applyBorder="1" applyAlignment="1">
      <alignment horizontal="center"/>
    </xf>
    <xf numFmtId="181" fontId="56" fillId="0" borderId="165" xfId="19" applyNumberFormat="1" applyFont="1" applyBorder="1" applyAlignment="1">
      <alignment horizontal="center"/>
    </xf>
    <xf numFmtId="182" fontId="56" fillId="0" borderId="0" xfId="1" applyNumberFormat="1" applyFont="1" applyBorder="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562841</xdr:colOff>
          <xdr:row>5</xdr:row>
          <xdr:rowOff>34636</xdr:rowOff>
        </xdr:from>
        <xdr:to>
          <xdr:col>1</xdr:col>
          <xdr:colOff>1477241</xdr:colOff>
          <xdr:row>9</xdr:row>
          <xdr:rowOff>72736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9" t="s">
        <v>405</v>
      </c>
      <c r="J1" s="1990"/>
      <c r="K1" s="1990"/>
      <c r="L1" s="1990"/>
      <c r="M1" s="1990"/>
      <c r="N1" s="1990"/>
      <c r="O1" s="1990"/>
      <c r="P1" s="1990"/>
      <c r="Q1" s="1990"/>
      <c r="R1" s="1990"/>
      <c r="S1" s="1990"/>
    </row>
    <row r="2" spans="1:28" ht="12" customHeight="1" x14ac:dyDescent="0.2">
      <c r="A2" s="47" t="s">
        <v>1993</v>
      </c>
      <c r="D2" s="48"/>
      <c r="I2" s="1991" t="s">
        <v>979</v>
      </c>
      <c r="J2" s="1990"/>
      <c r="K2" s="1990"/>
      <c r="L2" s="1990"/>
      <c r="M2" s="1990"/>
      <c r="N2" s="1990"/>
      <c r="O2" s="1990"/>
      <c r="P2" s="1990"/>
      <c r="Q2" s="1990"/>
      <c r="R2" s="1990"/>
      <c r="S2" s="1990"/>
    </row>
    <row r="3" spans="1:28" ht="12" customHeight="1" x14ac:dyDescent="0.2">
      <c r="A3" s="155" t="s">
        <v>1945</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2073</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2073</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8043206026</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2074</v>
      </c>
      <c r="B15" s="2027"/>
      <c r="C15" s="2027"/>
      <c r="D15" s="2027"/>
      <c r="E15" s="2027"/>
      <c r="F15" s="2027"/>
      <c r="G15" s="2027"/>
      <c r="H15" s="2028"/>
      <c r="T15" s="2033" t="s">
        <v>2065</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2110</v>
      </c>
      <c r="B17" s="1984"/>
      <c r="C17" s="1984"/>
      <c r="D17" s="1984"/>
      <c r="E17" s="1984"/>
      <c r="F17" s="1984"/>
      <c r="G17" s="1984"/>
      <c r="H17" s="2009"/>
      <c r="T17" s="2040" t="s">
        <v>2066</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2075</v>
      </c>
      <c r="B19" s="1969"/>
      <c r="C19" s="1969"/>
      <c r="D19" s="1969"/>
      <c r="E19" s="1969"/>
      <c r="F19" s="1969"/>
      <c r="G19" s="1969"/>
      <c r="H19" s="1949"/>
      <c r="I19" s="30"/>
      <c r="J19" s="99"/>
      <c r="K19" s="40"/>
      <c r="L19" s="38"/>
      <c r="M19" s="112" t="s">
        <v>315</v>
      </c>
      <c r="P19" s="27"/>
      <c r="Q19" s="27"/>
      <c r="R19" s="27"/>
      <c r="S19" s="31"/>
      <c r="T19" s="2023" t="s">
        <v>2067</v>
      </c>
      <c r="U19" s="1948"/>
      <c r="V19" s="1948"/>
      <c r="W19" s="1949"/>
      <c r="X19" s="2038" t="s">
        <v>2068</v>
      </c>
      <c r="Y19" s="2039"/>
      <c r="Z19" s="2036">
        <v>61032</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2076</v>
      </c>
      <c r="B21" s="1948"/>
      <c r="C21" s="1948"/>
      <c r="D21" s="1948"/>
      <c r="E21" s="1948"/>
      <c r="F21" s="1948"/>
      <c r="G21" s="1948"/>
      <c r="H21" s="1949"/>
      <c r="I21" s="2003" t="s">
        <v>678</v>
      </c>
      <c r="J21" s="1998"/>
      <c r="K21" s="1998"/>
      <c r="L21" s="1998"/>
      <c r="M21" s="1998"/>
      <c r="N21" s="1998"/>
      <c r="O21" s="1998"/>
      <c r="P21" s="1998"/>
      <c r="Q21" s="1998"/>
      <c r="R21" s="1998"/>
      <c r="S21" s="2004"/>
      <c r="T21" s="2047" t="s">
        <v>2069</v>
      </c>
      <c r="U21" s="2048"/>
      <c r="V21" s="2048"/>
      <c r="W21" s="2048"/>
      <c r="X21" s="2053" t="s">
        <v>2070</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c r="B23" s="2001"/>
      <c r="C23" s="2001"/>
      <c r="D23" s="2001"/>
      <c r="E23" s="2001"/>
      <c r="F23" s="2001"/>
      <c r="G23" s="2001"/>
      <c r="H23" s="2002"/>
      <c r="T23" s="1983" t="s">
        <v>2071</v>
      </c>
      <c r="U23" s="2046"/>
      <c r="V23" s="2046"/>
      <c r="W23" s="2046"/>
      <c r="X23" s="2050">
        <v>44530</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61085</v>
      </c>
      <c r="B25" s="1948"/>
      <c r="C25" s="1948"/>
      <c r="D25" s="1948"/>
      <c r="E25" s="1948"/>
      <c r="F25" s="1948"/>
      <c r="G25" s="1948"/>
      <c r="H25" s="1949"/>
      <c r="I25" s="113"/>
      <c r="J25" s="1972"/>
      <c r="K25" s="1972"/>
      <c r="L25" s="1972"/>
      <c r="M25" s="1972"/>
      <c r="N25" s="1972"/>
      <c r="O25" s="1972"/>
      <c r="P25" s="1972"/>
      <c r="Q25" s="1972"/>
      <c r="R25" s="1972"/>
      <c r="S25" s="1973"/>
      <c r="T25" s="2043" t="s">
        <v>2072</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2088</v>
      </c>
      <c r="M29" s="40" t="s">
        <v>99</v>
      </c>
      <c r="N29" s="32" t="s">
        <v>1523</v>
      </c>
      <c r="O29" s="32"/>
      <c r="P29" s="32"/>
      <c r="Q29" s="32"/>
      <c r="R29" s="32"/>
      <c r="S29" s="123"/>
      <c r="T29" s="6"/>
      <c r="U29" s="6"/>
      <c r="V29" s="6"/>
      <c r="W29" s="6"/>
      <c r="X29" s="6"/>
      <c r="Y29" s="6"/>
      <c r="Z29" s="6"/>
      <c r="AA29" s="132"/>
    </row>
    <row r="30" spans="1:27" ht="13.5" customHeight="1" x14ac:dyDescent="0.2">
      <c r="A30" s="153"/>
      <c r="B30" s="136" t="s">
        <v>2088</v>
      </c>
      <c r="C30" s="124" t="s">
        <v>1164</v>
      </c>
      <c r="D30" s="28"/>
      <c r="E30" s="28"/>
      <c r="F30" s="140"/>
      <c r="G30" s="114"/>
      <c r="H30" s="114"/>
      <c r="I30" s="54"/>
      <c r="J30" s="102"/>
      <c r="K30" s="28" t="s">
        <v>576</v>
      </c>
      <c r="L30" s="148" t="s">
        <v>2088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2077</v>
      </c>
      <c r="B38" s="1984"/>
      <c r="C38" s="1984"/>
      <c r="D38" s="1984"/>
      <c r="E38" s="1984"/>
      <c r="F38" s="1948"/>
      <c r="G38" s="1948"/>
      <c r="H38" s="1949"/>
      <c r="I38" s="1976"/>
      <c r="J38" s="1977"/>
      <c r="K38" s="1977"/>
      <c r="L38" s="1977"/>
      <c r="M38" s="1977"/>
      <c r="N38" s="1977"/>
      <c r="O38" s="1977"/>
      <c r="P38" s="1978"/>
      <c r="Q38" s="1978"/>
      <c r="R38" s="1978"/>
      <c r="S38" s="1979"/>
      <c r="T38" s="2033" t="s">
        <v>2081</v>
      </c>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2078</v>
      </c>
      <c r="B40" s="1962"/>
      <c r="C40" s="1963"/>
      <c r="D40" s="1963"/>
      <c r="E40" s="1963"/>
      <c r="F40" s="1964"/>
      <c r="G40" s="1964"/>
      <c r="H40" s="1965"/>
      <c r="I40" s="1986"/>
      <c r="J40" s="1987"/>
      <c r="K40" s="1987"/>
      <c r="L40" s="1987"/>
      <c r="M40" s="1987"/>
      <c r="N40" s="1987"/>
      <c r="O40" s="1987"/>
      <c r="P40" s="1987"/>
      <c r="Q40" s="1987"/>
      <c r="R40" s="1987"/>
      <c r="S40" s="1988"/>
      <c r="T40" s="1986" t="s">
        <v>2082</v>
      </c>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2079</v>
      </c>
      <c r="B42" s="1967"/>
      <c r="C42" s="1968"/>
      <c r="D42" s="1966" t="s">
        <v>2080</v>
      </c>
      <c r="E42" s="1967"/>
      <c r="F42" s="1967"/>
      <c r="G42" s="1967"/>
      <c r="H42" s="1968"/>
      <c r="I42" s="1950"/>
      <c r="J42" s="1951"/>
      <c r="K42" s="1951"/>
      <c r="L42" s="1951"/>
      <c r="M42" s="1951"/>
      <c r="N42" s="1951"/>
      <c r="O42" s="1952"/>
      <c r="P42" s="1985"/>
      <c r="Q42" s="1951"/>
      <c r="R42" s="1951"/>
      <c r="S42" s="1952"/>
      <c r="T42" s="1950" t="s">
        <v>2083</v>
      </c>
      <c r="U42" s="1951"/>
      <c r="V42" s="1951"/>
      <c r="W42" s="1952"/>
      <c r="X42" s="1985" t="s">
        <v>2084</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C16" activeCellId="1" sqref="C8 C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1802</v>
      </c>
      <c r="B2" s="1528" t="s">
        <v>1951</v>
      </c>
      <c r="C2" s="714" t="s">
        <v>1952</v>
      </c>
      <c r="D2" s="714" t="s">
        <v>1953</v>
      </c>
      <c r="E2" s="714" t="s">
        <v>1954</v>
      </c>
      <c r="F2" s="714" t="s">
        <v>1955</v>
      </c>
    </row>
    <row r="3" spans="1:6" ht="12" customHeight="1" x14ac:dyDescent="0.2">
      <c r="A3" s="2190"/>
      <c r="B3" s="1525"/>
      <c r="C3" s="1526"/>
      <c r="D3" s="1527" t="s">
        <v>256</v>
      </c>
      <c r="E3" s="1526"/>
      <c r="F3" s="1527" t="s">
        <v>257</v>
      </c>
    </row>
    <row r="4" spans="1:6" ht="13.7" customHeight="1" x14ac:dyDescent="0.2">
      <c r="A4" s="715" t="s">
        <v>1155</v>
      </c>
      <c r="B4" s="1749">
        <f>'Revenues 9-14'!C5</f>
        <v>3306384</v>
      </c>
      <c r="C4" s="1524">
        <v>688628</v>
      </c>
      <c r="D4" s="1752">
        <f>B4-C4</f>
        <v>2617756</v>
      </c>
      <c r="E4" s="1524">
        <v>3328857</v>
      </c>
      <c r="F4" s="1752">
        <f>E4-C4</f>
        <v>2640229</v>
      </c>
    </row>
    <row r="5" spans="1:6" ht="13.7" customHeight="1" x14ac:dyDescent="0.2">
      <c r="A5" s="715" t="s">
        <v>870</v>
      </c>
      <c r="B5" s="1750">
        <f>'Revenues 9-14'!D5</f>
        <v>450054</v>
      </c>
      <c r="C5" s="585">
        <v>99582</v>
      </c>
      <c r="D5" s="1753">
        <f t="shared" ref="D5:D18" si="0">B5-C5</f>
        <v>350472</v>
      </c>
      <c r="E5" s="585">
        <v>481387</v>
      </c>
      <c r="F5" s="1753">
        <f>E5-C5</f>
        <v>381805</v>
      </c>
    </row>
    <row r="6" spans="1:6" ht="13.7" customHeight="1" x14ac:dyDescent="0.2">
      <c r="A6" s="715" t="s">
        <v>411</v>
      </c>
      <c r="B6" s="1750">
        <f>'Revenues 9-14'!E5</f>
        <v>0</v>
      </c>
      <c r="C6" s="585">
        <v>0</v>
      </c>
      <c r="D6" s="1753">
        <f t="shared" si="0"/>
        <v>0</v>
      </c>
      <c r="E6" s="585">
        <v>0</v>
      </c>
      <c r="F6" s="1753">
        <f t="shared" ref="F6:F18" si="1">E6-C6</f>
        <v>0</v>
      </c>
    </row>
    <row r="7" spans="1:6" ht="13.7" customHeight="1" x14ac:dyDescent="0.2">
      <c r="A7" s="715" t="s">
        <v>155</v>
      </c>
      <c r="B7" s="1750">
        <f>'Revenues 9-14'!F5</f>
        <v>172527</v>
      </c>
      <c r="C7" s="585">
        <v>35933</v>
      </c>
      <c r="D7" s="1753">
        <f t="shared" si="0"/>
        <v>136594</v>
      </c>
      <c r="E7" s="585">
        <v>173704</v>
      </c>
      <c r="F7" s="1753">
        <f t="shared" si="1"/>
        <v>137771</v>
      </c>
    </row>
    <row r="8" spans="1:6" ht="13.7" customHeight="1" x14ac:dyDescent="0.2">
      <c r="A8" s="715" t="s">
        <v>1179</v>
      </c>
      <c r="B8" s="1750">
        <f>'Revenues 9-14'!G5</f>
        <v>90176</v>
      </c>
      <c r="C8" s="585">
        <v>18782</v>
      </c>
      <c r="D8" s="1753">
        <f t="shared" si="0"/>
        <v>71394</v>
      </c>
      <c r="E8" s="585">
        <v>90792</v>
      </c>
      <c r="F8" s="1753">
        <f t="shared" si="1"/>
        <v>72010</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35057</v>
      </c>
      <c r="C10" s="585">
        <v>7302</v>
      </c>
      <c r="D10" s="1753">
        <f t="shared" si="0"/>
        <v>27755</v>
      </c>
      <c r="E10" s="585">
        <v>35298</v>
      </c>
      <c r="F10" s="1753">
        <f t="shared" si="1"/>
        <v>27996</v>
      </c>
    </row>
    <row r="11" spans="1:6" x14ac:dyDescent="0.2">
      <c r="A11" s="715" t="s">
        <v>409</v>
      </c>
      <c r="B11" s="1750">
        <f>'Revenues 9-14'!J5</f>
        <v>148839</v>
      </c>
      <c r="C11" s="585">
        <v>31000</v>
      </c>
      <c r="D11" s="1753">
        <f t="shared" si="0"/>
        <v>117839</v>
      </c>
      <c r="E11" s="585">
        <v>149856</v>
      </c>
      <c r="F11" s="1753">
        <f t="shared" si="1"/>
        <v>118856</v>
      </c>
    </row>
    <row r="12" spans="1:6" ht="13.7" customHeight="1" x14ac:dyDescent="0.2">
      <c r="A12" s="715" t="s">
        <v>157</v>
      </c>
      <c r="B12" s="1750">
        <f>'Revenues 9-14'!K5</f>
        <v>60981</v>
      </c>
      <c r="C12" s="585">
        <v>12702</v>
      </c>
      <c r="D12" s="1753">
        <f t="shared" si="0"/>
        <v>48279</v>
      </c>
      <c r="E12" s="585">
        <v>61400</v>
      </c>
      <c r="F12" s="1753">
        <f t="shared" si="1"/>
        <v>48698</v>
      </c>
    </row>
    <row r="13" spans="1:6" ht="13.7" customHeight="1" x14ac:dyDescent="0.2">
      <c r="A13" s="715" t="s">
        <v>936</v>
      </c>
      <c r="B13" s="1750">
        <f>SUM('Revenues 9-14'!C6:D6)</f>
        <v>11777</v>
      </c>
      <c r="C13" s="585">
        <v>11763</v>
      </c>
      <c r="D13" s="1753">
        <f t="shared" si="0"/>
        <v>14</v>
      </c>
      <c r="E13" s="585">
        <v>56864</v>
      </c>
      <c r="F13" s="1753">
        <f t="shared" si="1"/>
        <v>45101</v>
      </c>
    </row>
    <row r="14" spans="1:6" ht="13.7" customHeight="1" x14ac:dyDescent="0.2">
      <c r="A14" s="715" t="s">
        <v>410</v>
      </c>
      <c r="B14" s="1750">
        <f>SUM('Revenues 9-14'!C7:D7,'Revenues 9-14'!F7:H7)</f>
        <v>128817</v>
      </c>
      <c r="C14" s="585">
        <v>26830</v>
      </c>
      <c r="D14" s="1753">
        <f t="shared" si="0"/>
        <v>101987</v>
      </c>
      <c r="E14" s="585">
        <v>129696</v>
      </c>
      <c r="F14" s="1753">
        <f t="shared" si="1"/>
        <v>102866</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140277</v>
      </c>
      <c r="C16" s="585">
        <v>29217</v>
      </c>
      <c r="D16" s="1753">
        <f t="shared" si="0"/>
        <v>111060</v>
      </c>
      <c r="E16" s="585">
        <v>141237</v>
      </c>
      <c r="F16" s="1753">
        <f t="shared" si="1"/>
        <v>112020</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4544889</v>
      </c>
      <c r="C19" s="1751">
        <f>SUM(C4:C18)</f>
        <v>961739</v>
      </c>
      <c r="D19" s="1751">
        <f>SUM(D4:D18)</f>
        <v>3583150</v>
      </c>
      <c r="E19" s="1751">
        <f>SUM(E4:E18)</f>
        <v>4649091</v>
      </c>
      <c r="F19" s="1751">
        <f>SUM(F4:F18)</f>
        <v>3687352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25" colorId="8" zoomScaleNormal="100" workbookViewId="0">
      <selection activeCell="G35" sqref="G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1802</v>
      </c>
      <c r="B2" s="2217"/>
      <c r="C2" s="1884" t="s">
        <v>1956</v>
      </c>
      <c r="D2" s="723" t="s">
        <v>1957</v>
      </c>
      <c r="E2" s="723" t="s">
        <v>1958</v>
      </c>
      <c r="F2" s="1884" t="s">
        <v>1959</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5">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2" t="s">
        <v>631</v>
      </c>
      <c r="B15" s="2203"/>
      <c r="C15" s="1755">
        <f>SUM(C6:C14)</f>
        <v>0</v>
      </c>
      <c r="D15" s="1755">
        <f>SUM(D6:D14)</f>
        <v>0</v>
      </c>
      <c r="E15" s="1755">
        <f>SUM(E6:E14)</f>
        <v>0</v>
      </c>
      <c r="F15" s="1755">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5">
        <f>SUM(C17+D17)-E17</f>
        <v>0</v>
      </c>
    </row>
    <row r="18" spans="1:11" ht="12.75" customHeight="1" thickTop="1" thickBot="1" x14ac:dyDescent="0.25">
      <c r="A18" s="2197" t="s">
        <v>6</v>
      </c>
      <c r="B18" s="2198"/>
      <c r="C18" s="726"/>
      <c r="D18" s="585"/>
      <c r="E18" s="726"/>
      <c r="F18" s="1755">
        <f>SUM(C18+D18)-E18</f>
        <v>0</v>
      </c>
    </row>
    <row r="19" spans="1:11" ht="12.75" customHeight="1" thickTop="1" thickBot="1" x14ac:dyDescent="0.25">
      <c r="A19" s="2197" t="s">
        <v>388</v>
      </c>
      <c r="B19" s="2198"/>
      <c r="C19" s="726"/>
      <c r="D19" s="585"/>
      <c r="E19" s="726"/>
      <c r="F19" s="1755">
        <f>SUM(C19+D19)-E19</f>
        <v>0</v>
      </c>
    </row>
    <row r="20" spans="1:11" ht="12.75" customHeight="1" thickTop="1" thickBot="1" x14ac:dyDescent="0.25">
      <c r="A20" s="2197" t="s">
        <v>448</v>
      </c>
      <c r="B20" s="2198"/>
      <c r="C20" s="726"/>
      <c r="D20" s="585"/>
      <c r="E20" s="726"/>
      <c r="F20" s="1755">
        <f>SUM(C20+D20)-E20</f>
        <v>0</v>
      </c>
    </row>
    <row r="21" spans="1:11" ht="14.25" thickTop="1" thickBot="1" x14ac:dyDescent="0.25">
      <c r="A21" s="2202" t="s">
        <v>632</v>
      </c>
      <c r="B21" s="2203"/>
      <c r="C21" s="1755">
        <f>SUM(C17:C20)</f>
        <v>0</v>
      </c>
      <c r="D21" s="1755">
        <f>SUM(D17:D20)</f>
        <v>0</v>
      </c>
      <c r="E21" s="1755">
        <f>SUM(E17:E20)</f>
        <v>0</v>
      </c>
      <c r="F21" s="1755">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5">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5">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5">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2104</v>
      </c>
      <c r="B31" s="733">
        <v>42607</v>
      </c>
      <c r="C31" s="734">
        <v>255651</v>
      </c>
      <c r="D31" s="735">
        <v>7</v>
      </c>
      <c r="E31" s="734">
        <v>85185</v>
      </c>
      <c r="F31" s="734"/>
      <c r="G31" s="734"/>
      <c r="H31" s="734">
        <v>85185</v>
      </c>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255651</v>
      </c>
      <c r="D49" s="745"/>
      <c r="E49" s="1756">
        <f t="shared" ref="E49:J49" si="2">SUM(E31:E48)</f>
        <v>85185</v>
      </c>
      <c r="F49" s="1756">
        <f t="shared" si="2"/>
        <v>0</v>
      </c>
      <c r="G49" s="1756">
        <f t="shared" si="2"/>
        <v>0</v>
      </c>
      <c r="H49" s="1756">
        <f t="shared" si="2"/>
        <v>85185</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t="s">
        <v>2105</v>
      </c>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topLeftCell="A1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1812</v>
      </c>
      <c r="K2" s="762" t="s">
        <v>138</v>
      </c>
    </row>
    <row r="3" spans="1:11" x14ac:dyDescent="0.2">
      <c r="A3" s="2242" t="s">
        <v>1964</v>
      </c>
      <c r="B3" s="2243"/>
      <c r="C3" s="2243"/>
      <c r="D3" s="2243"/>
      <c r="E3" s="2244"/>
      <c r="F3" s="763"/>
      <c r="G3" s="764"/>
      <c r="H3" s="764"/>
      <c r="I3" s="764"/>
      <c r="J3" s="765">
        <v>368028</v>
      </c>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128817</v>
      </c>
      <c r="I5" s="772"/>
      <c r="J5" s="773"/>
      <c r="K5" s="773"/>
    </row>
    <row r="6" spans="1:11" x14ac:dyDescent="0.2">
      <c r="A6" s="774" t="s">
        <v>720</v>
      </c>
      <c r="B6" s="775"/>
      <c r="C6" s="775"/>
      <c r="D6" s="775"/>
      <c r="E6" s="776"/>
      <c r="F6" s="777" t="s">
        <v>849</v>
      </c>
      <c r="G6" s="764"/>
      <c r="H6" s="764">
        <v>70</v>
      </c>
      <c r="I6" s="764"/>
      <c r="J6" s="765">
        <v>6228</v>
      </c>
      <c r="K6" s="765"/>
    </row>
    <row r="7" spans="1:11" x14ac:dyDescent="0.2">
      <c r="A7" s="778" t="s">
        <v>246</v>
      </c>
      <c r="B7" s="779"/>
      <c r="C7" s="779"/>
      <c r="D7" s="779"/>
      <c r="E7" s="780"/>
      <c r="F7" s="770" t="s">
        <v>850</v>
      </c>
      <c r="G7" s="767"/>
      <c r="H7" s="767"/>
      <c r="I7" s="767"/>
      <c r="J7" s="781"/>
      <c r="K7" s="765">
        <v>2100</v>
      </c>
    </row>
    <row r="8" spans="1:11" x14ac:dyDescent="0.2">
      <c r="A8" s="778" t="s">
        <v>345</v>
      </c>
      <c r="B8" s="779"/>
      <c r="C8" s="779"/>
      <c r="D8" s="779"/>
      <c r="E8" s="780"/>
      <c r="F8" s="770" t="s">
        <v>851</v>
      </c>
      <c r="G8" s="782"/>
      <c r="H8" s="782"/>
      <c r="I8" s="782"/>
      <c r="J8" s="765">
        <v>372004</v>
      </c>
      <c r="K8" s="769"/>
    </row>
    <row r="9" spans="1:11" x14ac:dyDescent="0.2">
      <c r="A9" s="778" t="s">
        <v>138</v>
      </c>
      <c r="B9" s="779"/>
      <c r="C9" s="779"/>
      <c r="D9" s="779"/>
      <c r="E9" s="780"/>
      <c r="F9" s="777" t="s">
        <v>853</v>
      </c>
      <c r="G9" s="782"/>
      <c r="H9" s="771"/>
      <c r="I9" s="771"/>
      <c r="J9" s="781"/>
      <c r="K9" s="765">
        <v>9850</v>
      </c>
    </row>
    <row r="10" spans="1:11" x14ac:dyDescent="0.2">
      <c r="A10" s="2223" t="s">
        <v>1813</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7"/>
      <c r="G12" s="1758">
        <f>SUM(G5:G11)</f>
        <v>0</v>
      </c>
      <c r="H12" s="1758">
        <f>SUM(H5:H11)</f>
        <v>128887</v>
      </c>
      <c r="I12" s="1758">
        <f>SUM(I5:I11)</f>
        <v>0</v>
      </c>
      <c r="J12" s="1758">
        <f>SUM(J5:J11)</f>
        <v>378232</v>
      </c>
      <c r="K12" s="1758">
        <f>SUM(K5:K11)</f>
        <v>11950</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128887</v>
      </c>
      <c r="I14" s="771"/>
      <c r="J14" s="773"/>
      <c r="K14" s="765">
        <v>11950</v>
      </c>
    </row>
    <row r="15" spans="1:11" x14ac:dyDescent="0.2">
      <c r="A15" s="2224" t="s">
        <v>4</v>
      </c>
      <c r="B15" s="2224"/>
      <c r="C15" s="2224"/>
      <c r="D15" s="2224"/>
      <c r="E15" s="2225"/>
      <c r="F15" s="789" t="s">
        <v>855</v>
      </c>
      <c r="G15" s="771"/>
      <c r="H15" s="764"/>
      <c r="I15" s="764"/>
      <c r="J15" s="765">
        <v>168791</v>
      </c>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1809</v>
      </c>
      <c r="B19" s="2232"/>
      <c r="C19" s="2232"/>
      <c r="D19" s="2232"/>
      <c r="E19" s="2233"/>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9"/>
      <c r="G21" s="792"/>
      <c r="H21" s="796"/>
      <c r="I21" s="796"/>
      <c r="J21" s="1760">
        <f>SUM(J18:J20)</f>
        <v>0</v>
      </c>
      <c r="K21" s="793"/>
    </row>
    <row r="22" spans="1:11" ht="13.5" thickTop="1" x14ac:dyDescent="0.2">
      <c r="A22" s="2224" t="s">
        <v>1815</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61"/>
      <c r="G23" s="1758">
        <f>SUM(G14:G16,G21,G22)</f>
        <v>0</v>
      </c>
      <c r="H23" s="1758">
        <f>SUM(H14:H16,H21,H22)</f>
        <v>128887</v>
      </c>
      <c r="I23" s="1758">
        <f>SUM(I14:I16,I21,I22)</f>
        <v>0</v>
      </c>
      <c r="J23" s="1758">
        <f>SUM(J14:J16,J21,J22)</f>
        <v>168791</v>
      </c>
      <c r="K23" s="1758">
        <f>SUM(K14:K16,K21,K22)</f>
        <v>11950</v>
      </c>
    </row>
    <row r="24" spans="1:11" ht="14.25" thickTop="1" thickBot="1" x14ac:dyDescent="0.25">
      <c r="A24" s="2254" t="s">
        <v>1965</v>
      </c>
      <c r="B24" s="2253"/>
      <c r="C24" s="2253"/>
      <c r="D24" s="2253"/>
      <c r="E24" s="2253"/>
      <c r="F24" s="1762"/>
      <c r="G24" s="1763">
        <f>SUM(G3,G12)-G23</f>
        <v>0</v>
      </c>
      <c r="H24" s="1763">
        <f>SUM(H3,H12)-H23</f>
        <v>0</v>
      </c>
      <c r="I24" s="1763">
        <f>SUM(I3,I12)-I23</f>
        <v>0</v>
      </c>
      <c r="J24" s="1763">
        <f>SUM(J3,J12)-J23</f>
        <v>577469</v>
      </c>
      <c r="K24" s="1763">
        <f>SUM(K3,K12)-K23</f>
        <v>0</v>
      </c>
    </row>
    <row r="25" spans="1:11" ht="13.5" thickTop="1" x14ac:dyDescent="0.2">
      <c r="A25" s="798" t="s">
        <v>420</v>
      </c>
      <c r="B25" s="799"/>
      <c r="C25" s="799"/>
      <c r="D25" s="799"/>
      <c r="E25" s="800"/>
      <c r="F25" s="801">
        <v>714</v>
      </c>
      <c r="G25" s="802"/>
      <c r="H25" s="802"/>
      <c r="I25" s="802"/>
      <c r="J25" s="797">
        <v>577469</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7" colorId="8" zoomScale="110" zoomScaleNormal="110" workbookViewId="0">
      <selection activeCell="D12" sqref="D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98361</v>
      </c>
      <c r="D5" s="841"/>
      <c r="E5" s="841"/>
      <c r="F5" s="1760">
        <f>(C5+D5)-E5</f>
        <v>98361</v>
      </c>
      <c r="G5" s="837"/>
      <c r="H5" s="842"/>
      <c r="I5" s="842"/>
      <c r="J5" s="842"/>
      <c r="K5" s="793"/>
      <c r="L5" s="1769">
        <f>F5-K5</f>
        <v>98361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6567221</v>
      </c>
      <c r="D8" s="844">
        <v>163250</v>
      </c>
      <c r="E8" s="844"/>
      <c r="F8" s="1760">
        <f>(C8+D8)-E8</f>
        <v>6730471</v>
      </c>
      <c r="G8" s="843">
        <v>50</v>
      </c>
      <c r="H8" s="765">
        <v>3417521</v>
      </c>
      <c r="I8" s="765">
        <v>98129</v>
      </c>
      <c r="J8" s="765"/>
      <c r="K8" s="1769">
        <f>(H8+I8)-J8</f>
        <v>3515650</v>
      </c>
      <c r="L8" s="1769">
        <f>F8-K8</f>
        <v>3214821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138578</v>
      </c>
      <c r="D10" s="846"/>
      <c r="E10" s="846"/>
      <c r="F10" s="1764">
        <f>(C10+D10)-E10</f>
        <v>138578</v>
      </c>
      <c r="G10" s="843">
        <v>20</v>
      </c>
      <c r="H10" s="847">
        <v>113263</v>
      </c>
      <c r="I10" s="847">
        <v>1592</v>
      </c>
      <c r="J10" s="847"/>
      <c r="K10" s="1769">
        <f>(H10+I10)-J10</f>
        <v>114855</v>
      </c>
      <c r="L10" s="1769">
        <f>F10-K10</f>
        <v>23723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978208</v>
      </c>
      <c r="D12" s="844">
        <v>47835</v>
      </c>
      <c r="E12" s="844"/>
      <c r="F12" s="1760">
        <f>(C12+D12)-E12</f>
        <v>1026043</v>
      </c>
      <c r="G12" s="843">
        <v>10</v>
      </c>
      <c r="H12" s="765">
        <v>576717</v>
      </c>
      <c r="I12" s="765">
        <v>76900</v>
      </c>
      <c r="J12" s="765"/>
      <c r="K12" s="1769">
        <f>(H12+I12)-J12</f>
        <v>653617</v>
      </c>
      <c r="L12" s="1769">
        <f>F12-K12</f>
        <v>372426</v>
      </c>
    </row>
    <row r="13" spans="1:14" ht="14.25" thickTop="1" thickBot="1" x14ac:dyDescent="0.25">
      <c r="A13" s="848" t="s">
        <v>1122</v>
      </c>
      <c r="B13" s="840">
        <v>252</v>
      </c>
      <c r="C13" s="844">
        <v>895305</v>
      </c>
      <c r="D13" s="844">
        <v>31696</v>
      </c>
      <c r="E13" s="844"/>
      <c r="F13" s="1760">
        <f>(C13+D13)-E13</f>
        <v>927001</v>
      </c>
      <c r="G13" s="843">
        <v>5</v>
      </c>
      <c r="H13" s="765">
        <v>637318</v>
      </c>
      <c r="I13" s="765">
        <v>92270</v>
      </c>
      <c r="J13" s="765"/>
      <c r="K13" s="1769">
        <f>(H13+I13)-J13</f>
        <v>729588</v>
      </c>
      <c r="L13" s="1769">
        <f>F13-K13</f>
        <v>197413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8677673</v>
      </c>
      <c r="D16" s="1760">
        <f>SUM(D3,D5:D6,D8:D10,D12:D15)</f>
        <v>242781</v>
      </c>
      <c r="E16" s="1760">
        <f>SUM(E3,E5:E6,E8:E10,E12:E15)</f>
        <v>0</v>
      </c>
      <c r="F16" s="1760">
        <f>SUM(F3,F5:F6,F8:F10,F12:F15)</f>
        <v>8920454</v>
      </c>
      <c r="G16" s="843"/>
      <c r="H16" s="1760">
        <f>SUM(H3,H6,H8:H10,H12:H14,)</f>
        <v>4744819</v>
      </c>
      <c r="I16" s="1760">
        <f>SUM(I3,I6,I8:I10,I12:I14,)</f>
        <v>268891</v>
      </c>
      <c r="J16" s="1760">
        <f>SUM(J3,J6,J8:J10,J12:J14,)</f>
        <v>0</v>
      </c>
      <c r="K16" s="1760">
        <f>(H16+I16)-J16</f>
        <v>5013710</v>
      </c>
      <c r="L16" s="1760">
        <f>F16-K16</f>
        <v>3906744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268891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9" activePane="bottomLeft" state="frozen"/>
      <selection activeCell="A47" sqref="A47"/>
      <selection pane="bottomLeft" activeCell="I79" sqref="I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5436901</v>
      </c>
      <c r="G8" s="865"/>
    </row>
    <row r="9" spans="1:7" x14ac:dyDescent="0.2">
      <c r="A9" s="869" t="s">
        <v>460</v>
      </c>
      <c r="B9" s="870" t="s">
        <v>1877</v>
      </c>
      <c r="C9" s="871"/>
      <c r="D9" s="869" t="s">
        <v>501</v>
      </c>
      <c r="E9" s="868"/>
      <c r="F9" s="1909">
        <f>'Expenditures 15-22'!K151</f>
        <v>495797</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389314</v>
      </c>
      <c r="G11" s="872"/>
    </row>
    <row r="12" spans="1:7" x14ac:dyDescent="0.2">
      <c r="A12" s="869" t="s">
        <v>462</v>
      </c>
      <c r="B12" s="870" t="s">
        <v>1880</v>
      </c>
      <c r="C12" s="871"/>
      <c r="D12" s="869" t="s">
        <v>501</v>
      </c>
      <c r="E12" s="868"/>
      <c r="F12" s="1909">
        <f>'Expenditures 15-22'!K295</f>
        <v>184659</v>
      </c>
      <c r="G12" s="872"/>
    </row>
    <row r="13" spans="1:7" x14ac:dyDescent="0.2">
      <c r="A13" s="869" t="s">
        <v>106</v>
      </c>
      <c r="B13" s="870" t="s">
        <v>1881</v>
      </c>
      <c r="C13" s="871"/>
      <c r="D13" s="869" t="s">
        <v>501</v>
      </c>
      <c r="E13" s="868"/>
      <c r="F13" s="1909">
        <f>'Expenditures 15-22'!K342</f>
        <v>143983</v>
      </c>
      <c r="G13" s="873"/>
    </row>
    <row r="14" spans="1:7" ht="12" customHeight="1" thickBot="1" x14ac:dyDescent="0.25">
      <c r="A14" s="1770"/>
      <c r="B14" s="1771"/>
      <c r="C14" s="1772"/>
      <c r="D14" s="1773" t="s">
        <v>501</v>
      </c>
      <c r="E14" s="1774" t="s">
        <v>958</v>
      </c>
      <c r="F14" s="1775">
        <f>SUM(F8:F13)</f>
        <v>6650654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169518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12359</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268851</v>
      </c>
      <c r="G53" s="865"/>
    </row>
    <row r="54" spans="1:7" x14ac:dyDescent="0.2">
      <c r="A54" s="869" t="s">
        <v>459</v>
      </c>
      <c r="B54" s="869" t="s">
        <v>1476</v>
      </c>
      <c r="C54" s="889" t="s">
        <v>982</v>
      </c>
      <c r="D54" s="885" t="s">
        <v>1095</v>
      </c>
      <c r="E54" s="868"/>
      <c r="F54" s="1913">
        <f>'Expenditures 15-22'!G114</f>
        <v>29224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19528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85185</v>
      </c>
      <c r="G64" s="865"/>
    </row>
    <row r="65" spans="1:8" x14ac:dyDescent="0.2">
      <c r="A65" s="869" t="s">
        <v>461</v>
      </c>
      <c r="B65" s="869" t="s">
        <v>1890</v>
      </c>
      <c r="C65" s="886" t="s">
        <v>982</v>
      </c>
      <c r="D65" s="885" t="s">
        <v>1095</v>
      </c>
      <c r="E65" s="868"/>
      <c r="F65" s="1913">
        <f>'Expenditures 15-22'!G210</f>
        <v>27478</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2909</v>
      </c>
      <c r="G67" s="865"/>
    </row>
    <row r="68" spans="1:8" x14ac:dyDescent="0.2">
      <c r="A68" s="869" t="s">
        <v>462</v>
      </c>
      <c r="B68" s="869" t="s">
        <v>1479</v>
      </c>
      <c r="C68" s="886" t="str">
        <f>'Expenditures 15-22'!B218</f>
        <v>1225</v>
      </c>
      <c r="D68" s="892" t="str">
        <f>'Expenditures 15-22'!A218</f>
        <v>Special Education Programs - Pre-K</v>
      </c>
      <c r="E68" s="868"/>
      <c r="F68" s="1913">
        <f>'Expenditures 15-22'!K218</f>
        <v>1740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616792</v>
      </c>
      <c r="G76" s="865"/>
    </row>
    <row r="77" spans="1:8" s="893" customFormat="1" ht="12" customHeight="1" thickTop="1" thickBot="1" x14ac:dyDescent="0.25">
      <c r="A77" s="1779"/>
      <c r="B77" s="1776"/>
      <c r="C77" s="1772"/>
      <c r="D77" s="1777" t="s">
        <v>1900</v>
      </c>
      <c r="E77" s="1774"/>
      <c r="F77" s="1780">
        <f>(F14-F76)</f>
        <v>6033862</v>
      </c>
      <c r="G77" s="869"/>
    </row>
    <row r="78" spans="1:8" s="893" customFormat="1" ht="12" customHeight="1" thickTop="1" x14ac:dyDescent="0.2">
      <c r="A78" s="1781"/>
      <c r="B78" s="1776"/>
      <c r="C78" s="1772"/>
      <c r="D78" s="1777" t="s">
        <v>2062</v>
      </c>
      <c r="E78" s="1774"/>
      <c r="F78" s="898">
        <v>532.20000000000005</v>
      </c>
      <c r="G78" s="899"/>
      <c r="H78" s="869"/>
    </row>
    <row r="79" spans="1:8" s="893" customFormat="1" ht="12" customHeight="1" thickBot="1" x14ac:dyDescent="0.25">
      <c r="A79" s="1782"/>
      <c r="B79" s="1776"/>
      <c r="C79" s="1772"/>
      <c r="D79" s="1777" t="s">
        <v>1901</v>
      </c>
      <c r="E79" s="1774" t="s">
        <v>958</v>
      </c>
      <c r="F79" s="1783">
        <f>IF(F78&gt;0,F77/F78," Complete Line 78")</f>
        <v>11337.58361518226</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945</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135084</v>
      </c>
      <c r="G94" s="912"/>
    </row>
    <row r="95" spans="1:7" x14ac:dyDescent="0.2">
      <c r="A95" s="908" t="s">
        <v>140</v>
      </c>
      <c r="B95" s="908" t="s">
        <v>175</v>
      </c>
      <c r="C95" s="910">
        <v>1700</v>
      </c>
      <c r="D95" s="918" t="str">
        <f>'Revenues 9-14'!A82</f>
        <v>Total District/School Activity Income</v>
      </c>
      <c r="E95" s="906"/>
      <c r="F95" s="1789">
        <f>SUM('Revenues 9-14'!C82,'Revenues 9-14'!D82)</f>
        <v>52649</v>
      </c>
      <c r="G95" s="912"/>
    </row>
    <row r="96" spans="1:7" x14ac:dyDescent="0.2">
      <c r="A96" s="908" t="s">
        <v>459</v>
      </c>
      <c r="B96" s="908" t="s">
        <v>176</v>
      </c>
      <c r="C96" s="910">
        <f>'Revenues 9-14'!B84</f>
        <v>1811</v>
      </c>
      <c r="D96" s="911" t="str">
        <f>'Revenues 9-14'!A84</f>
        <v>Rentals - Regular Textbooks</v>
      </c>
      <c r="E96" s="906"/>
      <c r="F96" s="1789">
        <f>'Revenues 9-14'!C84</f>
        <v>22812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278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8692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2020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9850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170921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1010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36811</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131180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113529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1553</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144205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17402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9297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15101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156622</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1029961</v>
      </c>
    </row>
    <row r="175" spans="1:7" ht="12" customHeight="1" x14ac:dyDescent="0.2">
      <c r="A175" s="1770"/>
      <c r="B175" s="1784"/>
      <c r="C175" s="1785"/>
      <c r="D175" s="1786" t="s">
        <v>2057</v>
      </c>
      <c r="E175" s="1787"/>
      <c r="F175" s="1789">
        <f>'PCTC-OEPP 27-28'!F77-F174</f>
        <v>5003901</v>
      </c>
    </row>
    <row r="176" spans="1:7" ht="12" customHeight="1" x14ac:dyDescent="0.2">
      <c r="A176" s="1770"/>
      <c r="B176" s="1784"/>
      <c r="C176" s="1785"/>
      <c r="D176" s="1786" t="s">
        <v>1817</v>
      </c>
      <c r="E176" s="1787"/>
      <c r="F176" s="1789">
        <f>'Cap Outlay Deprec 26'!I18</f>
        <v>268891</v>
      </c>
    </row>
    <row r="177" spans="1:7" ht="12" customHeight="1" x14ac:dyDescent="0.2">
      <c r="A177" s="1770"/>
      <c r="B177" s="1784"/>
      <c r="C177" s="1785"/>
      <c r="D177" s="1786" t="s">
        <v>2058</v>
      </c>
      <c r="E177" s="1787"/>
      <c r="F177" s="1789">
        <f>F175+F176</f>
        <v>5272792</v>
      </c>
    </row>
    <row r="178" spans="1:7" ht="12" customHeight="1" x14ac:dyDescent="0.2">
      <c r="A178" s="1770"/>
      <c r="B178" s="1790"/>
      <c r="C178" s="1785"/>
      <c r="D178" s="1786" t="str">
        <f>D78</f>
        <v>9 Month ADA from District Average Daily Attendance/Prior General State Aid Inquiry 2018-2019</v>
      </c>
      <c r="E178" s="1787"/>
      <c r="F178" s="1791">
        <f>'PCTC-OEPP 27-28'!F78</f>
        <v>532.20000000000005</v>
      </c>
      <c r="G178" s="930"/>
    </row>
    <row r="179" spans="1:7" ht="12" customHeight="1" thickBot="1" x14ac:dyDescent="0.25">
      <c r="A179" s="1770"/>
      <c r="B179" s="1790"/>
      <c r="C179" s="1785"/>
      <c r="D179" s="1786" t="s">
        <v>2059</v>
      </c>
      <c r="E179" s="1787" t="s">
        <v>1545</v>
      </c>
      <c r="F179" s="1792">
        <f>F177/F178</f>
        <v>9907.5385193536258</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7"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4" t="s">
        <v>1819</v>
      </c>
      <c r="B6" s="1535"/>
      <c r="C6" s="1535"/>
      <c r="D6" s="1535"/>
      <c r="E6" s="1535"/>
      <c r="F6" s="1535"/>
      <c r="G6" s="1536"/>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7" t="s">
        <v>1820</v>
      </c>
      <c r="B10" s="1538"/>
      <c r="C10" s="1538"/>
      <c r="D10" s="1538"/>
      <c r="E10" s="1538"/>
      <c r="F10" s="1538"/>
      <c r="G10" s="1539"/>
    </row>
    <row r="11" spans="1:7" ht="17.25" customHeight="1" x14ac:dyDescent="0.25">
      <c r="A11" s="2282" t="s">
        <v>1934</v>
      </c>
      <c r="B11" s="2283"/>
      <c r="C11" s="2283"/>
      <c r="D11" s="2283"/>
      <c r="E11" s="2283"/>
      <c r="F11" s="2283"/>
      <c r="G11" s="2284"/>
    </row>
    <row r="12" spans="1:7" ht="15" customHeight="1" x14ac:dyDescent="0.25">
      <c r="A12" s="1537" t="s">
        <v>1825</v>
      </c>
      <c r="B12" s="1538"/>
      <c r="C12" s="1538"/>
      <c r="D12" s="1538"/>
      <c r="E12" s="1538"/>
      <c r="F12" s="1538"/>
      <c r="G12" s="1539"/>
    </row>
    <row r="13" spans="1:7" ht="32.25" customHeight="1" x14ac:dyDescent="0.25">
      <c r="A13" s="2273" t="s">
        <v>1976</v>
      </c>
      <c r="B13" s="2274"/>
      <c r="C13" s="2274"/>
      <c r="D13" s="2274"/>
      <c r="E13" s="2274"/>
      <c r="F13" s="2274"/>
      <c r="G13" s="2275"/>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8" t="s">
        <v>2086</v>
      </c>
      <c r="C17" s="1939" t="s">
        <v>2087</v>
      </c>
      <c r="D17" s="1844">
        <v>46709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21709</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46709</v>
      </c>
      <c r="E141" s="1541">
        <f t="shared" si="0"/>
        <v>25000</v>
      </c>
      <c r="F141" s="1933">
        <f>SUM(F17:F140)</f>
        <v>25000</v>
      </c>
      <c r="G141" s="1795">
        <f>SUM(G17:G140)</f>
        <v>21709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131181</v>
      </c>
      <c r="F10" s="974"/>
      <c r="G10" s="975"/>
      <c r="H10" s="162"/>
      <c r="I10" s="162"/>
    </row>
    <row r="11" spans="1:9" s="668" customFormat="1" ht="22.5" customHeight="1" x14ac:dyDescent="0.2">
      <c r="A11" s="2293" t="s">
        <v>1977</v>
      </c>
      <c r="B11" s="2294"/>
      <c r="C11" s="2294"/>
      <c r="D11" s="2295"/>
      <c r="E11" s="977">
        <v>24322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3843096</v>
      </c>
      <c r="F19" s="1799"/>
      <c r="G19" s="1801">
        <f>'Expenditures 15-22'!K33-SUM('Expenditures 15-22'!G33,'Expenditures 15-22'!I33)+'Expenditures 15-22'!D229</f>
        <v>3843096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283191</v>
      </c>
      <c r="F21" s="1802"/>
      <c r="G21" s="1805">
        <f>'Expenditures 15-22'!K42-SUM('Expenditures 15-22'!G42,'Expenditures 15-22'!I42)+'Expenditures 15-22'!K120-SUM('Expenditures 15-22'!G120,'Expenditures 15-22'!I120)+'Expenditures 15-22'!K180-SUM('Expenditures 15-22'!G180,'Expenditures 15-22'!I180)+'Expenditures 15-22'!D238</f>
        <v>283191</v>
      </c>
      <c r="H21" s="987"/>
      <c r="I21" s="162"/>
    </row>
    <row r="22" spans="1:9" s="668" customFormat="1" ht="12" customHeight="1" x14ac:dyDescent="0.2">
      <c r="A22" s="994" t="s">
        <v>564</v>
      </c>
      <c r="B22" s="995"/>
      <c r="C22" s="993">
        <v>2200</v>
      </c>
      <c r="D22" s="1802"/>
      <c r="E22" s="1804">
        <f>'Expenditures 15-22'!K47-SUM('Expenditures 15-22'!G47,'Expenditures 15-22'!I47)+'Expenditures 15-22'!D243</f>
        <v>280597</v>
      </c>
      <c r="F22" s="1802"/>
      <c r="G22" s="1805">
        <f>'Expenditures 15-22'!K47-SUM('Expenditures 15-22'!G47,'Expenditures 15-22'!I47)+'Expenditures 15-22'!D243</f>
        <v>280597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221892</v>
      </c>
      <c r="F23" s="1802"/>
      <c r="G23" s="1804">
        <f>'Expenditures 15-22'!K53-SUM('Expenditures 15-22'!G53,'Expenditures 15-22'!I53)+'Expenditures 15-22'!D257+'Expenditures 15-22'!K330-SUM('Expenditures 15-22'!G330,'Expenditures 15-22'!I330)</f>
        <v>221892</v>
      </c>
      <c r="H23" s="987"/>
      <c r="I23" s="162"/>
    </row>
    <row r="24" spans="1:9" s="668" customFormat="1" ht="12" customHeight="1" x14ac:dyDescent="0.2">
      <c r="A24" s="994" t="s">
        <v>566</v>
      </c>
      <c r="B24" s="995"/>
      <c r="C24" s="993">
        <v>2400</v>
      </c>
      <c r="D24" s="1802"/>
      <c r="E24" s="1804">
        <f>'Expenditures 15-22'!K57-SUM('Expenditures 15-22'!G57,'Expenditures 15-22'!I57)+'Expenditures 15-22'!D261</f>
        <v>431693</v>
      </c>
      <c r="F24" s="1802"/>
      <c r="G24" s="1805">
        <f>'Expenditures 15-22'!K57-SUM('Expenditures 15-22'!G57,'Expenditures 15-22'!I57)+'Expenditures 15-22'!D261</f>
        <v>431693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92769</v>
      </c>
      <c r="E27" s="1804">
        <f>E8</f>
        <v>0</v>
      </c>
      <c r="F27" s="1804">
        <f>'Expenditures 15-22'!K60-SUM('Expenditures 15-22'!G60,'Expenditures 15-22'!I60)+'Expenditures 15-22'!D264-E8</f>
        <v>92769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499935</v>
      </c>
      <c r="F28" s="1806">
        <f>'Expenditures 15-22'!K61-SUM('Expenditures 15-22'!G61,'Expenditures 15-22'!I61)+'Expenditures 15-22'!K124-SUM('Expenditures 15-22'!G124,'Expenditures 15-22'!I124)+'Expenditures 15-22'!D266-E9</f>
        <v>499935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295748</v>
      </c>
      <c r="F29" s="1802"/>
      <c r="G29" s="1805">
        <f>'Expenditures 15-22'!K62-SUM('Expenditures 15-22'!G62,'Expenditures 15-22'!I62)+'Expenditures 15-22'!K125-SUM('Expenditures 15-22'!G125,'Expenditures 15-22'!I125)+'Expenditures 15-22'!K182-SUM('Expenditures 15-22'!G182,'Expenditures 15-22'!I182)+'Expenditures 15-22'!D267</f>
        <v>295748</v>
      </c>
      <c r="H29" s="985"/>
    </row>
    <row r="30" spans="1:9" ht="12" customHeight="1" x14ac:dyDescent="0.2">
      <c r="A30" s="994" t="s">
        <v>100</v>
      </c>
      <c r="B30" s="997"/>
      <c r="C30" s="993">
        <v>2560</v>
      </c>
      <c r="D30" s="1802"/>
      <c r="E30" s="1804">
        <f>'Expenditures 15-22'!K63-SUM('Expenditures 15-22'!G63,'Expenditures 15-22'!I63)+'Expenditures 15-22'!D268-E10</f>
        <v>134336</v>
      </c>
      <c r="F30" s="1802"/>
      <c r="G30" s="1804">
        <f>'Expenditures 15-22'!K63-SUM('Expenditures 15-22'!G63,'Expenditures 15-22'!I63)+'Expenditures 15-22'!D268-E10</f>
        <v>134336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3026</v>
      </c>
      <c r="F38" s="1802"/>
      <c r="G38" s="1804">
        <f>'Expenditures 15-22'!K73-SUM('Expenditures 15-22'!G73,'Expenditures 15-22'!I73)+'Expenditures 15-22'!K128-SUM('Expenditures 15-22'!G128,'Expenditures 15-22'!I128)+'Expenditures 15-22'!K183-SUM('Expenditures 15-22'!G183,'Expenditures 15-22'!I183)+'Expenditures 15-22'!D278</f>
        <v>3026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-21709</v>
      </c>
      <c r="F40" s="1802"/>
      <c r="G40" s="1806">
        <f>-'Contracts Paid in CY 29'!G141</f>
        <v>-21709</v>
      </c>
    </row>
    <row r="41" spans="1:7" ht="12" customHeight="1" x14ac:dyDescent="0.2">
      <c r="A41" s="998" t="s">
        <v>156</v>
      </c>
      <c r="B41" s="999"/>
      <c r="C41" s="1000"/>
      <c r="D41" s="1806">
        <f>SUM(D19:D39)</f>
        <v>92769</v>
      </c>
      <c r="E41" s="1806">
        <f>SUM(E19:E40)</f>
        <v>5971805</v>
      </c>
      <c r="F41" s="1806">
        <f>SUM(F19:F39)</f>
        <v>592704</v>
      </c>
      <c r="G41" s="1806">
        <f>SUM(G19:G40)</f>
        <v>5471870</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92769</v>
      </c>
      <c r="F43" s="1807" t="s">
        <v>473</v>
      </c>
      <c r="G43" s="1808">
        <f>F41</f>
        <v>592704</v>
      </c>
    </row>
    <row r="44" spans="1:7" ht="12" customHeight="1" x14ac:dyDescent="0.2">
      <c r="A44" s="987"/>
      <c r="B44" s="162"/>
      <c r="C44" s="1001"/>
      <c r="D44" s="1807" t="s">
        <v>474</v>
      </c>
      <c r="E44" s="1808">
        <f>E41</f>
        <v>5971805</v>
      </c>
      <c r="F44" s="1807" t="s">
        <v>474</v>
      </c>
      <c r="G44" s="1808">
        <f>G41</f>
        <v>5471870</v>
      </c>
    </row>
    <row r="45" spans="1:7" ht="12" customHeight="1" x14ac:dyDescent="0.2">
      <c r="A45" s="987"/>
      <c r="B45" s="162"/>
      <c r="C45" s="162"/>
      <c r="D45" s="1809" t="s">
        <v>1006</v>
      </c>
      <c r="E45" s="1810">
        <f>(E43/E44)</f>
        <v>1.5534499200827891E-2</v>
      </c>
      <c r="F45" s="1809" t="s">
        <v>1006</v>
      </c>
      <c r="G45" s="1810">
        <f>(G43/G44)</f>
        <v>0.10831836282660225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E32" sqref="E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0" t="s">
        <v>1379</v>
      </c>
      <c r="B1" s="2310"/>
      <c r="C1" s="2310"/>
      <c r="D1" s="2310"/>
      <c r="E1" s="2310"/>
      <c r="F1" s="231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1" t="s">
        <v>1546</v>
      </c>
      <c r="B5" s="2312"/>
      <c r="C5" s="2313"/>
      <c r="D5" s="2313"/>
      <c r="E5" s="2313"/>
      <c r="F5" s="2313"/>
    </row>
    <row r="6" spans="1:10" ht="12" customHeight="1" x14ac:dyDescent="0.25">
      <c r="A6" s="1850"/>
      <c r="B6" s="1851"/>
      <c r="C6" s="2314" t="str">
        <f>COVER!A17</f>
        <v>Stockton CUSD 206</v>
      </c>
      <c r="D6" s="2314"/>
      <c r="E6" s="2314"/>
      <c r="F6" s="1852"/>
    </row>
    <row r="7" spans="1:10" ht="11.25" customHeight="1" thickBot="1" x14ac:dyDescent="0.3">
      <c r="A7" s="1850"/>
      <c r="B7" s="1851"/>
      <c r="C7" s="2315">
        <f>COVER!A13</f>
        <v>8043206026</v>
      </c>
      <c r="D7" s="2315"/>
      <c r="E7" s="231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2073</v>
      </c>
      <c r="D13" s="1865" t="s">
        <v>2073</v>
      </c>
      <c r="E13" s="1868" t="s">
        <v>2073</v>
      </c>
      <c r="F13" s="1867" t="s">
        <v>2089</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2073</v>
      </c>
      <c r="D15" s="1865" t="s">
        <v>2073</v>
      </c>
      <c r="E15" s="1868" t="s">
        <v>2073</v>
      </c>
      <c r="F15" s="1867" t="s">
        <v>2090</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2091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2073</v>
      </c>
      <c r="D28" s="1865" t="s">
        <v>2073</v>
      </c>
      <c r="E28" s="1868" t="s">
        <v>2073</v>
      </c>
      <c r="F28" s="1867" t="s">
        <v>2092</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2073</v>
      </c>
      <c r="D30" s="1865" t="s">
        <v>2073</v>
      </c>
      <c r="E30" s="1868" t="s">
        <v>2073</v>
      </c>
      <c r="F30" s="1867" t="s">
        <v>2093</v>
      </c>
      <c r="H30" s="1878">
        <f t="shared" si="0"/>
        <v>5</v>
      </c>
      <c r="I30" s="1878">
        <f t="shared" si="1"/>
        <v>5</v>
      </c>
      <c r="J30" s="1878">
        <f t="shared" si="2"/>
        <v>5</v>
      </c>
    </row>
    <row r="31" spans="1:12" ht="12" customHeight="1" x14ac:dyDescent="0.2">
      <c r="A31" s="1863" t="s">
        <v>1539</v>
      </c>
      <c r="B31" s="1864"/>
      <c r="C31" s="1865" t="s">
        <v>2073</v>
      </c>
      <c r="D31" s="1865" t="s">
        <v>2073</v>
      </c>
      <c r="E31" s="1868" t="s">
        <v>2073</v>
      </c>
      <c r="F31" s="1867" t="s">
        <v>2094</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6"/>
      <c r="B43" s="2297"/>
      <c r="C43" s="2297"/>
      <c r="D43" s="2297"/>
      <c r="E43" s="2297"/>
      <c r="F43" s="2298"/>
      <c r="H43" s="1879"/>
      <c r="I43" s="1879"/>
      <c r="J43" s="1879"/>
      <c r="K43" s="1879"/>
    </row>
    <row r="44" spans="1:11" s="1870" customFormat="1" ht="12" hidden="1" customHeight="1" x14ac:dyDescent="0.25">
      <c r="A44" s="2296"/>
      <c r="B44" s="2297"/>
      <c r="C44" s="2297"/>
      <c r="D44" s="2297"/>
      <c r="E44" s="2297"/>
      <c r="F44" s="229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topLeftCell="A22" colorId="8" zoomScale="110" zoomScaleNormal="110" workbookViewId="0">
      <selection activeCell="B37" sqref="B3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Stockton CUSD 206</v>
      </c>
      <c r="J6" s="2324"/>
      <c r="Q6" s="1664"/>
    </row>
    <row r="7" spans="1:17" x14ac:dyDescent="0.2">
      <c r="A7" s="2325" t="s">
        <v>869</v>
      </c>
      <c r="B7" s="2326"/>
      <c r="C7" s="2326"/>
      <c r="D7" s="2326"/>
      <c r="E7" s="2327"/>
      <c r="F7" s="1017"/>
      <c r="G7" s="1009"/>
      <c r="H7" s="1016" t="s">
        <v>372</v>
      </c>
      <c r="I7" s="2328">
        <f>COVER!A13</f>
        <v>8043206026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43157</v>
      </c>
      <c r="F12" s="1039"/>
      <c r="G12" s="1811">
        <f t="shared" ref="G12:G18" si="0">SUM(E12:F12)</f>
        <v>43157</v>
      </c>
      <c r="H12" s="1040">
        <v>76005</v>
      </c>
      <c r="I12" s="1039"/>
      <c r="J12" s="1811">
        <f t="shared" ref="J12:J18" si="1">SUM(H12:I12)</f>
        <v>76005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43157</v>
      </c>
      <c r="F19" s="1813">
        <f t="shared" si="2"/>
        <v>0</v>
      </c>
      <c r="G19" s="1813">
        <f t="shared" si="2"/>
        <v>43157</v>
      </c>
      <c r="H19" s="1813">
        <f t="shared" si="2"/>
        <v>76005</v>
      </c>
      <c r="I19" s="1813">
        <f t="shared" si="2"/>
        <v>0</v>
      </c>
      <c r="J19" s="1813">
        <f t="shared" si="2"/>
        <v>76005</v>
      </c>
    </row>
    <row r="20" spans="1:10" ht="13.5" thickTop="1" x14ac:dyDescent="0.2">
      <c r="A20" s="1035">
        <v>9</v>
      </c>
      <c r="B20" s="2335" t="s">
        <v>1981</v>
      </c>
      <c r="C20" s="2335"/>
      <c r="D20" s="2336"/>
      <c r="E20" s="1046"/>
      <c r="F20" s="1046"/>
      <c r="G20" s="1046"/>
      <c r="H20" s="1046"/>
      <c r="I20" s="1046"/>
      <c r="J20" s="1814">
        <f>IF(AND(G19&gt;0,J19&gt;0),(((J19-G19)/G19)),"Enter Budget Data")</f>
        <v>0.76112797460435155</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t="s">
        <v>2088</v>
      </c>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2"/>
  <sheetViews>
    <sheetView showGridLines="0" zoomScale="110" zoomScaleNormal="110" workbookViewId="0">
      <selection activeCell="A28" sqref="A28:XFD32"/>
    </sheetView>
  </sheetViews>
  <sheetFormatPr defaultRowHeight="12.75" x14ac:dyDescent="0.2"/>
  <cols>
    <col min="1" max="1" width="3" style="329" customWidth="1"/>
    <col min="2" max="5" width="11.7109375" style="329" customWidth="1"/>
    <col min="6" max="6" width="29.85546875" style="329" customWidth="1"/>
    <col min="7" max="7" width="11.7109375" style="1940" customWidth="1"/>
    <col min="8" max="16384" width="9.140625" style="329"/>
  </cols>
  <sheetData>
    <row r="2" spans="1:7" x14ac:dyDescent="0.2">
      <c r="A2" s="389" t="s">
        <v>258</v>
      </c>
    </row>
    <row r="3" spans="1:7" x14ac:dyDescent="0.2">
      <c r="A3" s="329" t="s">
        <v>259</v>
      </c>
    </row>
    <row r="5" spans="1:7" x14ac:dyDescent="0.2">
      <c r="A5" s="1941"/>
      <c r="B5" s="1942" t="s">
        <v>2095</v>
      </c>
      <c r="C5" s="1942" t="s">
        <v>2096</v>
      </c>
      <c r="D5" s="1942" t="s">
        <v>1077</v>
      </c>
      <c r="E5" s="1942" t="s">
        <v>2097</v>
      </c>
      <c r="F5" s="1942" t="s">
        <v>481</v>
      </c>
      <c r="G5" s="1942" t="s">
        <v>865</v>
      </c>
    </row>
    <row r="6" spans="1:7" x14ac:dyDescent="0.2">
      <c r="A6" s="1068"/>
      <c r="B6" s="1940"/>
      <c r="C6" s="1940"/>
      <c r="D6" s="1940"/>
      <c r="E6" s="1940"/>
    </row>
    <row r="7" spans="1:7" ht="13.5" thickBot="1" x14ac:dyDescent="0.25">
      <c r="A7" s="1068"/>
      <c r="B7" s="1940">
        <v>74</v>
      </c>
      <c r="C7" s="1940">
        <v>10</v>
      </c>
      <c r="D7" s="1940">
        <v>10</v>
      </c>
      <c r="E7" s="1940">
        <v>1690</v>
      </c>
      <c r="F7" s="329" t="s">
        <v>2100</v>
      </c>
      <c r="G7" s="1945">
        <v>88</v>
      </c>
    </row>
    <row r="8" spans="1:7" ht="13.5" thickTop="1" x14ac:dyDescent="0.2">
      <c r="A8" s="1068"/>
      <c r="B8" s="1940"/>
      <c r="C8" s="1940"/>
      <c r="D8" s="1940"/>
      <c r="E8" s="1940"/>
    </row>
    <row r="9" spans="1:7" ht="13.5" thickBot="1" x14ac:dyDescent="0.25">
      <c r="A9" s="1069"/>
      <c r="B9" s="1940">
        <v>107</v>
      </c>
      <c r="C9" s="1940">
        <v>10</v>
      </c>
      <c r="D9" s="1940">
        <v>10</v>
      </c>
      <c r="E9" s="1940">
        <v>1999</v>
      </c>
      <c r="F9" s="329" t="s">
        <v>2108</v>
      </c>
      <c r="G9" s="1945">
        <v>342</v>
      </c>
    </row>
    <row r="10" spans="1:7" ht="13.5" thickTop="1" x14ac:dyDescent="0.2">
      <c r="A10" s="1069"/>
      <c r="B10" s="1940"/>
      <c r="C10" s="1940"/>
      <c r="D10" s="1940"/>
      <c r="E10" s="1940"/>
    </row>
    <row r="11" spans="1:7" ht="13.5" thickBot="1" x14ac:dyDescent="0.25">
      <c r="A11" s="1069"/>
      <c r="B11" s="1940">
        <v>107</v>
      </c>
      <c r="C11" s="1940">
        <v>10</v>
      </c>
      <c r="D11" s="1940">
        <v>20</v>
      </c>
      <c r="E11" s="1940">
        <v>1999</v>
      </c>
      <c r="F11" s="329" t="s">
        <v>2101</v>
      </c>
      <c r="G11" s="1945">
        <v>1342</v>
      </c>
    </row>
    <row r="12" spans="1:7" ht="13.5" thickTop="1" x14ac:dyDescent="0.2">
      <c r="A12" s="1069"/>
      <c r="B12" s="1940"/>
      <c r="C12" s="1940"/>
      <c r="D12" s="1940"/>
      <c r="E12" s="1940"/>
    </row>
    <row r="13" spans="1:7" x14ac:dyDescent="0.2">
      <c r="A13" s="1069"/>
      <c r="B13" s="1940">
        <v>107</v>
      </c>
      <c r="C13" s="1940">
        <v>10</v>
      </c>
      <c r="D13" s="1940">
        <v>40</v>
      </c>
      <c r="E13" s="1940">
        <v>1999</v>
      </c>
      <c r="F13" s="329" t="s">
        <v>2102</v>
      </c>
      <c r="G13" s="1946">
        <v>35</v>
      </c>
    </row>
    <row r="14" spans="1:7" x14ac:dyDescent="0.2">
      <c r="A14" s="1069"/>
      <c r="B14" s="1940"/>
      <c r="C14" s="1940"/>
      <c r="D14" s="1940"/>
      <c r="E14" s="1940"/>
      <c r="F14" s="329" t="s">
        <v>2103</v>
      </c>
      <c r="G14" s="1946">
        <v>526</v>
      </c>
    </row>
    <row r="15" spans="1:7" ht="13.5" thickBot="1" x14ac:dyDescent="0.25">
      <c r="A15" s="1069"/>
      <c r="B15" s="1940"/>
      <c r="C15" s="1940"/>
      <c r="D15" s="1940"/>
      <c r="E15" s="1940"/>
      <c r="G15" s="1944">
        <f>SUM(G13:G14)</f>
        <v>561</v>
      </c>
    </row>
    <row r="16" spans="1:7" ht="13.5" thickTop="1" x14ac:dyDescent="0.2">
      <c r="A16" s="1069"/>
      <c r="B16" s="1940"/>
      <c r="C16" s="1940"/>
      <c r="D16" s="1940"/>
      <c r="E16" s="1940"/>
      <c r="G16" s="1943"/>
    </row>
    <row r="17" spans="1:7" ht="13.5" thickBot="1" x14ac:dyDescent="0.25">
      <c r="A17" s="1069"/>
      <c r="B17" s="1940">
        <v>168</v>
      </c>
      <c r="C17" s="1940">
        <v>12</v>
      </c>
      <c r="D17" s="1940">
        <v>10</v>
      </c>
      <c r="E17" s="1940">
        <v>3999</v>
      </c>
      <c r="F17" s="329" t="s">
        <v>2109</v>
      </c>
      <c r="G17" s="1945">
        <v>1010</v>
      </c>
    </row>
    <row r="18" spans="1:7" ht="13.5" thickTop="1" x14ac:dyDescent="0.2">
      <c r="A18" s="1069"/>
      <c r="B18" s="1940"/>
      <c r="C18" s="1940"/>
      <c r="D18" s="1940"/>
      <c r="E18" s="1940"/>
    </row>
    <row r="19" spans="1:7" ht="13.5" thickBot="1" x14ac:dyDescent="0.25">
      <c r="A19" s="1069"/>
      <c r="B19" s="1940">
        <v>180</v>
      </c>
      <c r="C19" s="1940">
        <v>12</v>
      </c>
      <c r="D19" s="1940">
        <v>10</v>
      </c>
      <c r="E19" s="1940">
        <v>4090</v>
      </c>
      <c r="F19" s="329" t="s">
        <v>2099</v>
      </c>
      <c r="G19" s="1945">
        <v>36811</v>
      </c>
    </row>
    <row r="20" spans="1:7" ht="13.5" thickTop="1" x14ac:dyDescent="0.2">
      <c r="A20" s="1069"/>
      <c r="B20" s="1940"/>
      <c r="C20" s="1940"/>
      <c r="D20" s="1940"/>
      <c r="E20" s="1940"/>
    </row>
    <row r="21" spans="1:7" ht="13.5" thickBot="1" x14ac:dyDescent="0.25">
      <c r="A21" s="1069"/>
      <c r="B21" s="1940">
        <v>73</v>
      </c>
      <c r="C21" s="1940">
        <v>16</v>
      </c>
      <c r="D21" s="1940">
        <v>10</v>
      </c>
      <c r="E21" s="1940">
        <v>2900</v>
      </c>
      <c r="F21" s="329" t="s">
        <v>2098</v>
      </c>
      <c r="G21" s="1945">
        <v>3026</v>
      </c>
    </row>
    <row r="22" spans="1:7" ht="13.5" thickTop="1" x14ac:dyDescent="0.2">
      <c r="A22" s="1069"/>
      <c r="B22" s="1940"/>
      <c r="C22" s="1940"/>
      <c r="D22" s="1940"/>
      <c r="E22" s="1940"/>
    </row>
    <row r="23" spans="1:7" x14ac:dyDescent="0.2">
      <c r="A23" s="1069"/>
      <c r="B23" s="391" t="s">
        <v>2106</v>
      </c>
      <c r="C23" s="1940"/>
      <c r="D23" s="1940"/>
      <c r="E23" s="1940"/>
    </row>
    <row r="24" spans="1:7" x14ac:dyDescent="0.2">
      <c r="A24" s="1069"/>
      <c r="B24" s="329" t="s">
        <v>2107</v>
      </c>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Stockton CUSD 206</v>
      </c>
    </row>
    <row r="62" spans="1:2" x14ac:dyDescent="0.2">
      <c r="B62" s="1070">
        <f>COVER!A13</f>
        <v>8043206026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561975</xdr:colOff>
                <xdr:row>5</xdr:row>
                <xdr:rowOff>38100</xdr:rowOff>
              </from>
              <to>
                <xdr:col>1</xdr:col>
                <xdr:colOff>1476375</xdr:colOff>
                <xdr:row>9</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1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1988</v>
      </c>
      <c r="B4" s="2363"/>
      <c r="C4" s="2363"/>
      <c r="D4" s="2363"/>
      <c r="E4" s="2363"/>
      <c r="F4" s="2364"/>
      <c r="G4" s="1074"/>
      <c r="H4" s="1074"/>
    </row>
    <row r="5" spans="1:8" ht="14.25" customHeight="1" x14ac:dyDescent="0.2">
      <c r="A5" s="2365" t="s">
        <v>1984</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5706868</v>
      </c>
      <c r="C8" s="1815">
        <f>'Acct Summary 7-8'!D8</f>
        <v>459638</v>
      </c>
      <c r="D8" s="1815">
        <f>'Acct Summary 7-8'!F8</f>
        <v>366584</v>
      </c>
      <c r="E8" s="1815">
        <f>'Acct Summary 7-8'!I8</f>
        <v>36964</v>
      </c>
      <c r="F8" s="1815">
        <f>SUM(B8:E8)</f>
        <v>6570054</v>
      </c>
    </row>
    <row r="9" spans="1:8" s="1079" customFormat="1" ht="14.25" customHeight="1" thickBot="1" x14ac:dyDescent="0.25">
      <c r="A9" s="1078" t="s">
        <v>1369</v>
      </c>
      <c r="B9" s="1816">
        <f>'Acct Summary 7-8'!C17</f>
        <v>5436901</v>
      </c>
      <c r="C9" s="1816">
        <f>'Acct Summary 7-8'!D17</f>
        <v>495797</v>
      </c>
      <c r="D9" s="1816">
        <f>'Acct Summary 7-8'!F17</f>
        <v>389314</v>
      </c>
      <c r="E9" s="1815"/>
      <c r="F9" s="1815">
        <f>SUM(B9:E9)</f>
        <v>6322012</v>
      </c>
    </row>
    <row r="10" spans="1:8" s="1079" customFormat="1" ht="14.25" thickTop="1" thickBot="1" x14ac:dyDescent="0.25">
      <c r="A10" s="1080" t="s">
        <v>1370</v>
      </c>
      <c r="B10" s="1817">
        <f>(B8-B9)</f>
        <v>269967</v>
      </c>
      <c r="C10" s="1817">
        <f>(C8-C9)</f>
        <v>-36159</v>
      </c>
      <c r="D10" s="1817">
        <f>(D8-D9)</f>
        <v>-22730</v>
      </c>
      <c r="E10" s="1816">
        <f>(E8-E9)</f>
        <v>36964</v>
      </c>
      <c r="F10" s="1818">
        <f>SUM(F8-F9)</f>
        <v>248042</v>
      </c>
    </row>
    <row r="11" spans="1:8" s="1079" customFormat="1" ht="14.25" thickTop="1" thickBot="1" x14ac:dyDescent="0.25">
      <c r="A11" s="1081" t="s">
        <v>1985</v>
      </c>
      <c r="B11" s="1819">
        <f>'Acct Summary 7-8'!C81</f>
        <v>4558819</v>
      </c>
      <c r="C11" s="1819">
        <f>'Acct Summary 7-8'!D81</f>
        <v>415430</v>
      </c>
      <c r="D11" s="1819">
        <f>'Acct Summary 7-8'!F81</f>
        <v>184066</v>
      </c>
      <c r="E11" s="1819">
        <f>'Acct Summary 7-8'!I81</f>
        <v>206807</v>
      </c>
      <c r="F11" s="1820">
        <f>SUM(B11:E11)</f>
        <v>5365122</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8043206026</v>
      </c>
    </row>
    <row r="3" spans="1:2" x14ac:dyDescent="0.2">
      <c r="A3" t="s">
        <v>956</v>
      </c>
      <c r="B3" s="138" t="str">
        <f>COVER!A15</f>
        <v>Jo Daviess</v>
      </c>
    </row>
    <row r="4" spans="1:2" x14ac:dyDescent="0.2">
      <c r="A4" t="s">
        <v>1007</v>
      </c>
      <c r="B4" s="138" t="str">
        <f>COVER!A17</f>
        <v>Stockton CUSD 206</v>
      </c>
    </row>
    <row r="5" spans="1:2" x14ac:dyDescent="0.2">
      <c r="A5" t="s">
        <v>704</v>
      </c>
      <c r="B5" s="138" t="str">
        <f>COVER!A38</f>
        <v>Colleen Fox</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4558637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-182</v>
      </c>
      <c r="C91" s="2" t="s">
        <v>573</v>
      </c>
      <c r="D91" s="2" t="str">
        <f t="shared" si="0"/>
        <v>Error?</v>
      </c>
    </row>
    <row r="92" spans="1:4" x14ac:dyDescent="0.2">
      <c r="A92" s="5">
        <v>31</v>
      </c>
      <c r="B92" s="138">
        <f>'Assets-Liab 5-6'!C39</f>
        <v>4558819</v>
      </c>
      <c r="D92" s="2" t="str">
        <f t="shared" si="0"/>
        <v>Error?</v>
      </c>
    </row>
    <row r="93" spans="1:4" x14ac:dyDescent="0.2">
      <c r="A93" s="5">
        <v>32</v>
      </c>
      <c r="B93" s="138">
        <f>'Assets-Liab 5-6'!C41</f>
        <v>4558637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415424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v>
      </c>
      <c r="C122" s="2" t="s">
        <v>573</v>
      </c>
      <c r="D122" s="2" t="str">
        <f t="shared" si="0"/>
        <v>Error?</v>
      </c>
    </row>
    <row r="123" spans="1:4" x14ac:dyDescent="0.2">
      <c r="A123" s="5">
        <v>62</v>
      </c>
      <c r="B123" s="138">
        <f>'Assets-Liab 5-6'!D39</f>
        <v>415430</v>
      </c>
      <c r="D123" s="2" t="str">
        <f t="shared" si="0"/>
        <v>Error?</v>
      </c>
    </row>
    <row r="124" spans="1:4" x14ac:dyDescent="0.2">
      <c r="A124" s="5">
        <v>63</v>
      </c>
      <c r="B124" s="138">
        <f>'Assets-Liab 5-6'!D41</f>
        <v>415424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184058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v>
      </c>
      <c r="C169" s="2" t="s">
        <v>573</v>
      </c>
      <c r="D169" s="2" t="str">
        <f t="shared" si="1"/>
        <v>Error?</v>
      </c>
    </row>
    <row r="170" spans="1:4" x14ac:dyDescent="0.2">
      <c r="A170" s="5">
        <v>109</v>
      </c>
      <c r="B170" s="138">
        <f>'Assets-Liab 5-6'!F39</f>
        <v>184066</v>
      </c>
      <c r="D170" s="2" t="str">
        <f t="shared" si="1"/>
        <v>Error?</v>
      </c>
    </row>
    <row r="171" spans="1:4" x14ac:dyDescent="0.2">
      <c r="A171" s="5">
        <v>110</v>
      </c>
      <c r="B171" s="138">
        <f>'Assets-Liab 5-6'!F41</f>
        <v>184058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110421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50000</v>
      </c>
      <c r="C188" s="2" t="s">
        <v>573</v>
      </c>
      <c r="D188" s="2" t="str">
        <f t="shared" si="1"/>
        <v>Error?</v>
      </c>
    </row>
    <row r="189" spans="1:4" x14ac:dyDescent="0.2">
      <c r="A189" s="5">
        <v>128</v>
      </c>
      <c r="B189" s="138">
        <f>'Assets-Liab 5-6'!G39</f>
        <v>31840</v>
      </c>
      <c r="D189" s="2" t="str">
        <f t="shared" si="1"/>
        <v>Error?</v>
      </c>
    </row>
    <row r="190" spans="1:4" x14ac:dyDescent="0.2">
      <c r="A190" s="5">
        <v>129</v>
      </c>
      <c r="B190" s="138">
        <f>'Assets-Liab 5-6'!G41</f>
        <v>110421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577469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577469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98361</v>
      </c>
      <c r="D273" s="2" t="str">
        <f t="shared" si="3"/>
        <v>Error?</v>
      </c>
    </row>
    <row r="274" spans="1:4" x14ac:dyDescent="0.2">
      <c r="A274" s="5">
        <v>213</v>
      </c>
      <c r="B274" s="138">
        <f>'Assets-Liab 5-6'!M17</f>
        <v>6730471</v>
      </c>
      <c r="D274" s="2" t="str">
        <f t="shared" si="3"/>
        <v>Error?</v>
      </c>
    </row>
    <row r="275" spans="1:4" x14ac:dyDescent="0.2">
      <c r="A275" s="5">
        <v>214</v>
      </c>
      <c r="B275" s="138">
        <f>'Assets-Liab 5-6'!M18</f>
        <v>138578</v>
      </c>
      <c r="D275" s="2" t="str">
        <f t="shared" si="3"/>
        <v>Error?</v>
      </c>
    </row>
    <row r="276" spans="1:4" x14ac:dyDescent="0.2">
      <c r="A276" s="5">
        <v>215</v>
      </c>
      <c r="B276" s="138">
        <f>'Assets-Liab 5-6'!M19</f>
        <v>1953044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8920454</v>
      </c>
      <c r="C279" s="2" t="s">
        <v>573</v>
      </c>
      <c r="D279" s="2" t="str">
        <f t="shared" si="3"/>
        <v>Error?</v>
      </c>
    </row>
    <row r="280" spans="1:4" x14ac:dyDescent="0.2">
      <c r="A280" s="5">
        <v>219</v>
      </c>
      <c r="B280" s="138">
        <f>'Assets-Liab 5-6'!M40</f>
        <v>8920454</v>
      </c>
      <c r="D280" s="2" t="str">
        <f t="shared" si="3"/>
        <v>Error?</v>
      </c>
    </row>
    <row r="281" spans="1:4" x14ac:dyDescent="0.2">
      <c r="A281" s="5">
        <v>220</v>
      </c>
      <c r="B281" s="138">
        <f>'Assets-Liab 5-6'!M41</f>
        <v>8920454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2084651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80916</v>
      </c>
      <c r="D717" s="2" t="str">
        <f t="shared" si="10"/>
        <v>Error?</v>
      </c>
    </row>
    <row r="718" spans="1:4" x14ac:dyDescent="0.2">
      <c r="A718" s="5">
        <v>657</v>
      </c>
      <c r="B718" s="138">
        <f>'Expenditures 15-22'!C14</f>
        <v>61630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2902669</v>
      </c>
      <c r="C720" s="2" t="s">
        <v>573</v>
      </c>
      <c r="D720" s="2" t="str">
        <f t="shared" si="10"/>
        <v>Error?</v>
      </c>
    </row>
    <row r="721" spans="1:4" x14ac:dyDescent="0.2">
      <c r="A721" s="5">
        <v>660</v>
      </c>
      <c r="B721" s="138">
        <f>'Expenditures 15-22'!C36</f>
        <v>64519</v>
      </c>
      <c r="D721" s="2" t="str">
        <f t="shared" si="10"/>
        <v>Error?</v>
      </c>
    </row>
    <row r="722" spans="1:4" x14ac:dyDescent="0.2">
      <c r="A722" s="5">
        <v>661</v>
      </c>
      <c r="B722" s="138">
        <f>'Expenditures 15-22'!C37</f>
        <v>74738</v>
      </c>
      <c r="D722" s="2" t="str">
        <f t="shared" si="10"/>
        <v>Error?</v>
      </c>
    </row>
    <row r="723" spans="1:4" x14ac:dyDescent="0.2">
      <c r="A723" s="5">
        <v>662</v>
      </c>
      <c r="B723" s="138">
        <f>'Expenditures 15-22'!C38</f>
        <v>23545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51629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214431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107618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107618</v>
      </c>
      <c r="C731" s="2" t="s">
        <v>573</v>
      </c>
      <c r="D731" s="2" t="str">
        <f t="shared" si="10"/>
        <v>Error?</v>
      </c>
    </row>
    <row r="732" spans="1:4" x14ac:dyDescent="0.2">
      <c r="A732" s="5">
        <v>671</v>
      </c>
      <c r="B732" s="138">
        <f>'Expenditures 15-22'!C49</f>
        <v>2315</v>
      </c>
      <c r="D732" s="2" t="str">
        <f t="shared" si="10"/>
        <v>Error?</v>
      </c>
    </row>
    <row r="733" spans="1:4" x14ac:dyDescent="0.2">
      <c r="A733" s="5">
        <v>672</v>
      </c>
      <c r="B733" s="138">
        <f>'Expenditures 15-22'!C50</f>
        <v>36990</v>
      </c>
      <c r="D733" s="2" t="str">
        <f t="shared" si="10"/>
        <v>Error?</v>
      </c>
    </row>
    <row r="734" spans="1:4" x14ac:dyDescent="0.2">
      <c r="A734" s="5">
        <v>673</v>
      </c>
      <c r="B734" s="138">
        <f>'Expenditures 15-22'!C53</f>
        <v>39305</v>
      </c>
      <c r="C734" s="2" t="s">
        <v>573</v>
      </c>
      <c r="D734" s="2" t="str">
        <f t="shared" si="10"/>
        <v>Error?</v>
      </c>
    </row>
    <row r="735" spans="1:4" x14ac:dyDescent="0.2">
      <c r="A735" s="5">
        <v>674</v>
      </c>
      <c r="B735" s="138">
        <f>'Expenditures 15-22'!C55</f>
        <v>304050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304050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46198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120986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167184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832588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3735257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569753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20701</v>
      </c>
      <c r="D775" s="2" t="str">
        <f t="shared" si="11"/>
        <v>Error?</v>
      </c>
    </row>
    <row r="776" spans="1:4" x14ac:dyDescent="0.2">
      <c r="A776" s="5">
        <v>715</v>
      </c>
      <c r="B776" s="138">
        <f>'Expenditures 15-22'!D14</f>
        <v>2764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720101</v>
      </c>
      <c r="C778" s="2" t="s">
        <v>573</v>
      </c>
      <c r="D778" s="2" t="str">
        <f t="shared" si="11"/>
        <v>Error?</v>
      </c>
    </row>
    <row r="779" spans="1:4" x14ac:dyDescent="0.2">
      <c r="A779" s="5">
        <v>718</v>
      </c>
      <c r="B779" s="138">
        <f>'Expenditures 15-22'!D36</f>
        <v>19180</v>
      </c>
      <c r="D779" s="2" t="str">
        <f t="shared" si="11"/>
        <v>Error?</v>
      </c>
    </row>
    <row r="780" spans="1:4" x14ac:dyDescent="0.2">
      <c r="A780" s="5">
        <v>719</v>
      </c>
      <c r="B780" s="138">
        <f>'Expenditures 15-22'!D37</f>
        <v>26871</v>
      </c>
      <c r="D780" s="2" t="str">
        <f t="shared" si="11"/>
        <v>Error?</v>
      </c>
    </row>
    <row r="781" spans="1:4" x14ac:dyDescent="0.2">
      <c r="A781" s="5">
        <v>720</v>
      </c>
      <c r="B781" s="138">
        <f>'Expenditures 15-22'!D38</f>
        <v>1821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12833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60705</v>
      </c>
      <c r="C785" s="2" t="s">
        <v>573</v>
      </c>
      <c r="D785" s="2" t="str">
        <f t="shared" si="11"/>
        <v>Error?</v>
      </c>
    </row>
    <row r="786" spans="1:4" x14ac:dyDescent="0.2">
      <c r="A786" s="5">
        <v>725</v>
      </c>
      <c r="B786" s="138">
        <f>'Expenditures 15-22'!D44</f>
        <v>22635</v>
      </c>
      <c r="D786" s="2" t="str">
        <f t="shared" si="11"/>
        <v>Error?</v>
      </c>
    </row>
    <row r="787" spans="1:4" x14ac:dyDescent="0.2">
      <c r="A787" s="5">
        <v>726</v>
      </c>
      <c r="B787" s="138">
        <f>'Expenditures 15-22'!D45</f>
        <v>6156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28791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5305</v>
      </c>
      <c r="D791" s="2" t="str">
        <f t="shared" si="11"/>
        <v>Error?</v>
      </c>
    </row>
    <row r="792" spans="1:4" x14ac:dyDescent="0.2">
      <c r="A792" s="5">
        <v>731</v>
      </c>
      <c r="B792" s="138">
        <f>'Expenditures 15-22'!D53</f>
        <v>5305</v>
      </c>
      <c r="C792" s="2" t="s">
        <v>573</v>
      </c>
      <c r="D792" s="2" t="str">
        <f t="shared" si="11"/>
        <v>Error?</v>
      </c>
    </row>
    <row r="793" spans="1:4" x14ac:dyDescent="0.2">
      <c r="A793" s="5">
        <v>732</v>
      </c>
      <c r="B793" s="138">
        <f>'Expenditures 15-22'!D55</f>
        <v>103289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103289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16149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15652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31801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229891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949992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20792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1795</v>
      </c>
      <c r="D833" s="2" t="str">
        <f t="shared" si="12"/>
        <v>Error?</v>
      </c>
    </row>
    <row r="834" spans="1:4" x14ac:dyDescent="0.2">
      <c r="A834" s="5">
        <v>773</v>
      </c>
      <c r="B834" s="138">
        <f>'Expenditures 15-22'!E14</f>
        <v>13586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38783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966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1346</v>
      </c>
      <c r="C843" s="2" t="s">
        <v>573</v>
      </c>
      <c r="D843" s="2" t="str">
        <f t="shared" si="12"/>
        <v>Error?</v>
      </c>
    </row>
    <row r="844" spans="1:4" x14ac:dyDescent="0.2">
      <c r="A844" s="5">
        <v>783</v>
      </c>
      <c r="B844" s="138">
        <f>'Expenditures 15-22'!E44</f>
        <v>4134</v>
      </c>
      <c r="D844" s="2" t="str">
        <f t="shared" si="12"/>
        <v>Error?</v>
      </c>
    </row>
    <row r="845" spans="1:4" x14ac:dyDescent="0.2">
      <c r="A845" s="5">
        <v>784</v>
      </c>
      <c r="B845" s="138">
        <f>'Expenditures 15-22'!E45</f>
        <v>55985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60119</v>
      </c>
      <c r="C847" s="2" t="s">
        <v>573</v>
      </c>
      <c r="D847" s="2" t="str">
        <f t="shared" si="12"/>
        <v>Error?</v>
      </c>
    </row>
    <row r="848" spans="1:4" x14ac:dyDescent="0.2">
      <c r="A848" s="5">
        <v>787</v>
      </c>
      <c r="B848" s="138">
        <f>'Expenditures 15-22'!E49</f>
        <v>20731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20731</v>
      </c>
      <c r="C850" s="2" t="s">
        <v>573</v>
      </c>
      <c r="D850" s="2" t="str">
        <f t="shared" si="12"/>
        <v>Error?</v>
      </c>
    </row>
    <row r="851" spans="1:4" x14ac:dyDescent="0.2">
      <c r="A851" s="5">
        <v>790</v>
      </c>
      <c r="B851" s="138">
        <f>'Expenditures 15-22'!E55</f>
        <v>345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23885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23885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3026</v>
      </c>
      <c r="D870" s="2" t="str">
        <f t="shared" si="12"/>
        <v>Error?</v>
      </c>
    </row>
    <row r="871" spans="1:4" x14ac:dyDescent="0.2">
      <c r="A871" s="5">
        <v>810</v>
      </c>
      <c r="B871" s="138">
        <f>'Expenditures 15-22'!E74</f>
        <v>109452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293847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53130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5609</v>
      </c>
      <c r="D891" s="2" t="str">
        <f t="shared" si="12"/>
        <v>Error?</v>
      </c>
    </row>
    <row r="892" spans="1:4" x14ac:dyDescent="0.2">
      <c r="A892" s="5">
        <v>831</v>
      </c>
      <c r="B892" s="138">
        <f>'Expenditures 15-22'!F14</f>
        <v>6591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71646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537</v>
      </c>
      <c r="D896" s="2" t="str">
        <f t="shared" si="13"/>
        <v>Error?</v>
      </c>
    </row>
    <row r="897" spans="1:4" x14ac:dyDescent="0.2">
      <c r="A897" s="5">
        <v>836</v>
      </c>
      <c r="B897" s="138">
        <f>'Expenditures 15-22'!F38</f>
        <v>194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960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71807</v>
      </c>
      <c r="D903" s="2" t="str">
        <f t="shared" si="13"/>
        <v>Error?</v>
      </c>
    </row>
    <row r="904" spans="1:4" x14ac:dyDescent="0.2">
      <c r="A904" s="5">
        <v>843</v>
      </c>
      <c r="B904" s="138">
        <f>'Expenditures 15-22'!F46</f>
        <v>1085</v>
      </c>
      <c r="D904" s="2" t="str">
        <f t="shared" si="13"/>
        <v>Error?</v>
      </c>
    </row>
    <row r="905" spans="1:4" x14ac:dyDescent="0.2">
      <c r="A905" s="5">
        <v>844</v>
      </c>
      <c r="B905" s="138">
        <f>'Expenditures 15-22'!F47</f>
        <v>72892</v>
      </c>
      <c r="C905" s="2" t="s">
        <v>573</v>
      </c>
      <c r="D905" s="2" t="str">
        <f t="shared" si="13"/>
        <v>Error?</v>
      </c>
    </row>
    <row r="906" spans="1:4" x14ac:dyDescent="0.2">
      <c r="A906" s="5">
        <v>845</v>
      </c>
      <c r="B906" s="138">
        <f>'Expenditures 15-22'!F49</f>
        <v>4096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4096</v>
      </c>
      <c r="C908" s="2" t="s">
        <v>573</v>
      </c>
      <c r="D908" s="2" t="str">
        <f t="shared" si="13"/>
        <v>Error?</v>
      </c>
    </row>
    <row r="909" spans="1:4" x14ac:dyDescent="0.2">
      <c r="A909" s="5">
        <v>848</v>
      </c>
      <c r="B909" s="138">
        <f>'Expenditures 15-22'!F55</f>
        <v>1442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1442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113030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113319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192709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264355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4950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14983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13641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13641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14241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29224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16769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23288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6224</v>
      </c>
      <c r="D1022" s="2" t="str">
        <f t="shared" si="14"/>
        <v>Error?</v>
      </c>
    </row>
    <row r="1023" spans="1:4" x14ac:dyDescent="0.2">
      <c r="A1023" s="5">
        <v>962</v>
      </c>
      <c r="B1023" s="138">
        <f>'Expenditures 15-22'!H50</f>
        <v>862</v>
      </c>
      <c r="D1023" s="2" t="str">
        <f t="shared" ref="D1023:D1086" si="15">IF(ISBLANK(B1023),"OK",IF(A1023-B1023=0,"OK","Error?"))</f>
        <v>Error?</v>
      </c>
    </row>
    <row r="1024" spans="1:4" x14ac:dyDescent="0.2">
      <c r="A1024" s="5">
        <v>963</v>
      </c>
      <c r="B1024" s="138">
        <f>'Expenditures 15-22'!H53</f>
        <v>7086</v>
      </c>
      <c r="C1024" s="2" t="s">
        <v>573</v>
      </c>
      <c r="D1024" s="2" t="str">
        <f t="shared" si="15"/>
        <v>Error?</v>
      </c>
    </row>
    <row r="1025" spans="1:4" x14ac:dyDescent="0.2">
      <c r="A1025" s="5">
        <v>964</v>
      </c>
      <c r="B1025" s="138">
        <f>'Expenditures 15-22'!H55</f>
        <v>1568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1568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8699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123239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155226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2753878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109021</v>
      </c>
      <c r="C1105" s="2" t="s">
        <v>573</v>
      </c>
      <c r="D1105" s="2" t="str">
        <f t="shared" si="16"/>
        <v>Error?</v>
      </c>
    </row>
    <row r="1106" spans="1:4" x14ac:dyDescent="0.2">
      <c r="A1106" s="5">
        <v>1045</v>
      </c>
      <c r="B1106" s="138">
        <f>'Expenditures 15-22'!K14</f>
        <v>106290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3780470</v>
      </c>
      <c r="C1108" s="2" t="s">
        <v>573</v>
      </c>
      <c r="D1108" s="2" t="str">
        <f t="shared" si="16"/>
        <v>Error?</v>
      </c>
    </row>
    <row r="1109" spans="1:4" x14ac:dyDescent="0.2">
      <c r="A1109" s="5">
        <v>1048</v>
      </c>
      <c r="B1109" s="138">
        <f>'Expenditures 15-22'!K36</f>
        <v>83699</v>
      </c>
      <c r="C1109" s="2" t="s">
        <v>573</v>
      </c>
      <c r="D1109" s="2" t="str">
        <f t="shared" si="16"/>
        <v>Error?</v>
      </c>
    </row>
    <row r="1110" spans="1:4" x14ac:dyDescent="0.2">
      <c r="A1110" s="5">
        <v>1049</v>
      </c>
      <c r="B1110" s="138">
        <f>'Expenditures 15-22'!K37</f>
        <v>102146</v>
      </c>
      <c r="C1110" s="2" t="s">
        <v>573</v>
      </c>
      <c r="D1110" s="2" t="str">
        <f t="shared" si="16"/>
        <v>Error?</v>
      </c>
    </row>
    <row r="1111" spans="1:4" x14ac:dyDescent="0.2">
      <c r="A1111" s="5">
        <v>1050</v>
      </c>
      <c r="B1111" s="138">
        <f>'Expenditures 15-22'!K38</f>
        <v>25940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65657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277442</v>
      </c>
      <c r="C1115" s="2" t="s">
        <v>573</v>
      </c>
      <c r="D1115" s="2" t="str">
        <f t="shared" si="16"/>
        <v>Error?</v>
      </c>
    </row>
    <row r="1116" spans="1:4" x14ac:dyDescent="0.2">
      <c r="A1116" s="5">
        <v>1055</v>
      </c>
      <c r="B1116" s="138">
        <f>'Expenditures 15-22'!K44</f>
        <v>26769</v>
      </c>
      <c r="C1116" s="2" t="s">
        <v>573</v>
      </c>
      <c r="D1116" s="2" t="str">
        <f t="shared" si="16"/>
        <v>Error?</v>
      </c>
    </row>
    <row r="1117" spans="1:4" x14ac:dyDescent="0.2">
      <c r="A1117" s="5">
        <v>1056</v>
      </c>
      <c r="B1117" s="138">
        <f>'Expenditures 15-22'!K45</f>
        <v>255207</v>
      </c>
      <c r="C1117" s="2" t="s">
        <v>573</v>
      </c>
      <c r="D1117" s="2" t="str">
        <f t="shared" si="16"/>
        <v>Error?</v>
      </c>
    </row>
    <row r="1118" spans="1:4" x14ac:dyDescent="0.2">
      <c r="A1118" s="5">
        <v>1057</v>
      </c>
      <c r="B1118" s="138">
        <f>'Expenditures 15-22'!K46</f>
        <v>1085</v>
      </c>
      <c r="C1118" s="2" t="s">
        <v>573</v>
      </c>
      <c r="D1118" s="2" t="str">
        <f t="shared" si="16"/>
        <v>Error?</v>
      </c>
    </row>
    <row r="1119" spans="1:4" x14ac:dyDescent="0.2">
      <c r="A1119" s="5">
        <v>1058</v>
      </c>
      <c r="B1119" s="138">
        <f>'Expenditures 15-22'!K47</f>
        <v>283061</v>
      </c>
      <c r="C1119" s="2" t="s">
        <v>573</v>
      </c>
      <c r="D1119" s="2" t="str">
        <f t="shared" si="16"/>
        <v>Error?</v>
      </c>
    </row>
    <row r="1120" spans="1:4" x14ac:dyDescent="0.2">
      <c r="A1120" s="5">
        <v>1059</v>
      </c>
      <c r="B1120" s="138">
        <f>'Expenditures 15-22'!K49</f>
        <v>33366</v>
      </c>
      <c r="C1120" s="2" t="s">
        <v>573</v>
      </c>
      <c r="D1120" s="2" t="str">
        <f t="shared" si="16"/>
        <v>Error?</v>
      </c>
    </row>
    <row r="1121" spans="1:4" x14ac:dyDescent="0.2">
      <c r="A1121" s="5">
        <v>1060</v>
      </c>
      <c r="B1121" s="138">
        <f>'Expenditures 15-22'!K50</f>
        <v>43157</v>
      </c>
      <c r="C1121" s="2" t="s">
        <v>573</v>
      </c>
      <c r="D1121" s="2" t="str">
        <f t="shared" si="16"/>
        <v>Error?</v>
      </c>
    </row>
    <row r="1122" spans="1:4" x14ac:dyDescent="0.2">
      <c r="A1122" s="5">
        <v>1061</v>
      </c>
      <c r="B1122" s="138">
        <f>'Expenditures 15-22'!K53</f>
        <v>76523</v>
      </c>
      <c r="C1122" s="2" t="s">
        <v>573</v>
      </c>
      <c r="D1122" s="2" t="str">
        <f t="shared" si="16"/>
        <v>Error?</v>
      </c>
    </row>
    <row r="1123" spans="1:4" x14ac:dyDescent="0.2">
      <c r="A1123" s="5">
        <v>1062</v>
      </c>
      <c r="B1123" s="138">
        <f>'Expenditures 15-22'!K55</f>
        <v>410694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410694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86566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250268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336834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3026</v>
      </c>
      <c r="C1142" s="2" t="s">
        <v>573</v>
      </c>
      <c r="D1142" s="2" t="str">
        <f t="shared" si="16"/>
        <v>Error?</v>
      </c>
    </row>
    <row r="1143" spans="1:4" x14ac:dyDescent="0.2">
      <c r="A1143" s="5">
        <v>1082</v>
      </c>
      <c r="B1143" s="138">
        <f>'Expenditures 15-22'!K74</f>
        <v>1387580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268851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5436901</v>
      </c>
      <c r="C1152" s="2" t="s">
        <v>573</v>
      </c>
      <c r="D1152" s="2" t="str">
        <f t="shared" si="17"/>
        <v>Error?</v>
      </c>
    </row>
    <row r="1153" spans="1:4" x14ac:dyDescent="0.2">
      <c r="A1153" s="5">
        <v>1092</v>
      </c>
      <c r="B1153" s="138">
        <f>'Expenditures 15-22'!K115</f>
        <v>269967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164167</v>
      </c>
      <c r="D1221" s="2" t="str">
        <f t="shared" si="18"/>
        <v>Error?</v>
      </c>
    </row>
    <row r="1222" spans="1:4" x14ac:dyDescent="0.2">
      <c r="A1222" s="10">
        <v>1161</v>
      </c>
      <c r="D1222" s="2" t="str">
        <f t="shared" si="18"/>
        <v>OK</v>
      </c>
    </row>
    <row r="1223" spans="1:4" x14ac:dyDescent="0.2">
      <c r="A1223" s="5">
        <v>1162</v>
      </c>
      <c r="B1223" s="138">
        <f>'Expenditures 15-22'!C127</f>
        <v>164167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164167</v>
      </c>
      <c r="C1225" s="2" t="s">
        <v>573</v>
      </c>
      <c r="D1225" s="2" t="str">
        <f t="shared" si="18"/>
        <v>Error?</v>
      </c>
    </row>
    <row r="1226" spans="1:4" x14ac:dyDescent="0.2">
      <c r="A1226" s="5">
        <v>1165</v>
      </c>
      <c r="B1226" s="138">
        <f>'Expenditures 15-22'!C151</f>
        <v>164167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26043</v>
      </c>
      <c r="D1229" s="2" t="str">
        <f t="shared" si="18"/>
        <v>Error?</v>
      </c>
    </row>
    <row r="1230" spans="1:4" x14ac:dyDescent="0.2">
      <c r="A1230" s="10">
        <v>1169</v>
      </c>
      <c r="D1230" s="2" t="str">
        <f t="shared" si="18"/>
        <v>OK</v>
      </c>
    </row>
    <row r="1231" spans="1:4" x14ac:dyDescent="0.2">
      <c r="A1231" s="5">
        <v>1170</v>
      </c>
      <c r="B1231" s="138">
        <f>'Expenditures 15-22'!D127</f>
        <v>26043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26043</v>
      </c>
      <c r="C1233" s="2" t="s">
        <v>573</v>
      </c>
      <c r="D1233" s="2" t="str">
        <f t="shared" si="18"/>
        <v>Error?</v>
      </c>
    </row>
    <row r="1234" spans="1:4" x14ac:dyDescent="0.2">
      <c r="A1234" s="5">
        <v>1173</v>
      </c>
      <c r="B1234" s="138">
        <f>'Expenditures 15-22'!D151</f>
        <v>26043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144361</v>
      </c>
      <c r="D1237" s="2" t="str">
        <f t="shared" si="18"/>
        <v>Error?</v>
      </c>
    </row>
    <row r="1238" spans="1:4" x14ac:dyDescent="0.2">
      <c r="A1238" s="10">
        <v>1177</v>
      </c>
      <c r="D1238" s="2" t="str">
        <f t="shared" si="18"/>
        <v>OK</v>
      </c>
    </row>
    <row r="1239" spans="1:4" x14ac:dyDescent="0.2">
      <c r="A1239" s="5">
        <v>1178</v>
      </c>
      <c r="B1239" s="138">
        <f>'Expenditures 15-22'!E127</f>
        <v>144361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144361</v>
      </c>
      <c r="C1241" s="2" t="s">
        <v>573</v>
      </c>
      <c r="D1241" s="2" t="str">
        <f t="shared" si="18"/>
        <v>Error?</v>
      </c>
    </row>
    <row r="1242" spans="1:4" x14ac:dyDescent="0.2">
      <c r="A1242" s="5">
        <v>1181</v>
      </c>
      <c r="B1242" s="138">
        <f>'Expenditures 15-22'!E151</f>
        <v>144361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141673</v>
      </c>
      <c r="D1245" s="2" t="str">
        <f t="shared" si="18"/>
        <v>Error?</v>
      </c>
    </row>
    <row r="1246" spans="1:4" x14ac:dyDescent="0.2">
      <c r="A1246" s="10">
        <v>1185</v>
      </c>
      <c r="D1246" s="2" t="str">
        <f t="shared" si="18"/>
        <v>OK</v>
      </c>
    </row>
    <row r="1247" spans="1:4" x14ac:dyDescent="0.2">
      <c r="A1247" s="5">
        <v>1186</v>
      </c>
      <c r="B1247" s="138">
        <f>'Expenditures 15-22'!F127</f>
        <v>141673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141673</v>
      </c>
      <c r="C1249" s="2" t="s">
        <v>573</v>
      </c>
      <c r="D1249" s="2" t="str">
        <f t="shared" si="18"/>
        <v>Error?</v>
      </c>
    </row>
    <row r="1250" spans="1:4" x14ac:dyDescent="0.2">
      <c r="A1250" s="5">
        <v>1189</v>
      </c>
      <c r="B1250" s="138">
        <f>'Expenditures 15-22'!F151</f>
        <v>141673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19528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19528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19528</v>
      </c>
      <c r="C1258" s="2" t="s">
        <v>573</v>
      </c>
      <c r="D1258" s="2" t="str">
        <f t="shared" si="18"/>
        <v>Error?</v>
      </c>
    </row>
    <row r="1259" spans="1:4" x14ac:dyDescent="0.2">
      <c r="A1259" s="5">
        <v>1198</v>
      </c>
      <c r="B1259" s="138">
        <f>'Expenditures 15-22'!G151</f>
        <v>19528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v>
      </c>
      <c r="D1262" s="2" t="str">
        <f t="shared" si="18"/>
        <v>Error?</v>
      </c>
    </row>
    <row r="1263" spans="1:4" x14ac:dyDescent="0.2">
      <c r="A1263" s="10">
        <v>1202</v>
      </c>
      <c r="D1263" s="2" t="str">
        <f t="shared" si="18"/>
        <v>OK</v>
      </c>
    </row>
    <row r="1264" spans="1:4" x14ac:dyDescent="0.2">
      <c r="A1264" s="5">
        <v>1203</v>
      </c>
      <c r="B1264" s="138">
        <f>'Expenditures 15-22'!H127</f>
        <v>25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495797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495797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495797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495797</v>
      </c>
      <c r="C1288" s="2" t="s">
        <v>573</v>
      </c>
      <c r="D1288" s="2" t="str">
        <f t="shared" si="19"/>
        <v>Error?</v>
      </c>
    </row>
    <row r="1289" spans="1:4" x14ac:dyDescent="0.2">
      <c r="A1289" s="5">
        <v>1228</v>
      </c>
      <c r="B1289" s="138">
        <f>'Expenditures 15-22'!K152</f>
        <v>-36159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183436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183436</v>
      </c>
      <c r="C1339" s="2" t="s">
        <v>573</v>
      </c>
      <c r="D1339" s="2" t="str">
        <f t="shared" si="19"/>
        <v>Error?</v>
      </c>
    </row>
    <row r="1340" spans="1:4" x14ac:dyDescent="0.2">
      <c r="A1340" s="5">
        <v>1279</v>
      </c>
      <c r="B1340" s="138">
        <f>'Expenditures 15-22'!C210</f>
        <v>183436</v>
      </c>
      <c r="C1340" s="2" t="s">
        <v>573</v>
      </c>
      <c r="D1340" s="2" t="str">
        <f t="shared" si="19"/>
        <v>Error?</v>
      </c>
    </row>
    <row r="1341" spans="1:4" x14ac:dyDescent="0.2">
      <c r="A1341" s="5">
        <v>1280</v>
      </c>
      <c r="B1341" s="138">
        <f>'Expenditures 15-22'!D182</f>
        <v>16149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16149</v>
      </c>
      <c r="C1345" s="2" t="s">
        <v>573</v>
      </c>
      <c r="D1345" s="2" t="str">
        <f t="shared" si="20"/>
        <v>Error?</v>
      </c>
    </row>
    <row r="1346" spans="1:4" x14ac:dyDescent="0.2">
      <c r="A1346" s="5">
        <v>1285</v>
      </c>
      <c r="B1346" s="138">
        <f>'Expenditures 15-22'!D210</f>
        <v>16149</v>
      </c>
      <c r="C1346" s="2" t="s">
        <v>573</v>
      </c>
      <c r="D1346" s="2" t="str">
        <f t="shared" si="20"/>
        <v>Error?</v>
      </c>
    </row>
    <row r="1347" spans="1:4" x14ac:dyDescent="0.2">
      <c r="A1347" s="5">
        <v>1286</v>
      </c>
      <c r="B1347" s="138">
        <f>'Expenditures 15-22'!E182</f>
        <v>24633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24633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24633</v>
      </c>
      <c r="C1353" s="2" t="s">
        <v>573</v>
      </c>
      <c r="D1353" s="2" t="str">
        <f t="shared" si="20"/>
        <v>Error?</v>
      </c>
    </row>
    <row r="1354" spans="1:4" x14ac:dyDescent="0.2">
      <c r="A1354" s="5">
        <v>1293</v>
      </c>
      <c r="B1354" s="138">
        <f>'Expenditures 15-22'!F182</f>
        <v>49080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49080</v>
      </c>
      <c r="C1358" s="2" t="s">
        <v>573</v>
      </c>
      <c r="D1358" s="2" t="str">
        <f t="shared" si="20"/>
        <v>Error?</v>
      </c>
    </row>
    <row r="1359" spans="1:4" x14ac:dyDescent="0.2">
      <c r="A1359" s="5">
        <v>1298</v>
      </c>
      <c r="B1359" s="138">
        <f>'Expenditures 15-22'!F210</f>
        <v>49080</v>
      </c>
      <c r="C1359" s="2" t="s">
        <v>573</v>
      </c>
      <c r="D1359" s="2" t="str">
        <f t="shared" si="20"/>
        <v>Error?</v>
      </c>
    </row>
    <row r="1360" spans="1:4" x14ac:dyDescent="0.2">
      <c r="A1360" s="5">
        <v>1299</v>
      </c>
      <c r="B1360" s="138">
        <f>'Expenditures 15-22'!G182</f>
        <v>27478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27478</v>
      </c>
      <c r="C1364" s="2" t="s">
        <v>573</v>
      </c>
      <c r="D1364" s="2" t="str">
        <f t="shared" si="20"/>
        <v>Error?</v>
      </c>
    </row>
    <row r="1365" spans="1:4" x14ac:dyDescent="0.2">
      <c r="A1365" s="5">
        <v>1304</v>
      </c>
      <c r="B1365" s="138">
        <f>'Expenditures 15-22'!G210</f>
        <v>27478</v>
      </c>
      <c r="C1365" s="2" t="s">
        <v>573</v>
      </c>
      <c r="D1365" s="2" t="str">
        <f t="shared" si="20"/>
        <v>Error?</v>
      </c>
    </row>
    <row r="1366" spans="1:4" x14ac:dyDescent="0.2">
      <c r="A1366" s="5">
        <v>1305</v>
      </c>
      <c r="B1366" s="138">
        <f>'Expenditures 15-22'!H182</f>
        <v>429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429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88109</v>
      </c>
      <c r="C1375" s="2" t="s">
        <v>573</v>
      </c>
      <c r="D1375" s="2" t="str">
        <f t="shared" si="20"/>
        <v>Error?</v>
      </c>
    </row>
    <row r="1376" spans="1:4" x14ac:dyDescent="0.2">
      <c r="A1376" s="5">
        <v>1315</v>
      </c>
      <c r="B1376" s="138">
        <f>'Expenditures 15-22'!H210</f>
        <v>88538</v>
      </c>
      <c r="C1376" s="2" t="s">
        <v>573</v>
      </c>
      <c r="D1376" s="2" t="str">
        <f t="shared" si="20"/>
        <v>Error?</v>
      </c>
    </row>
    <row r="1377" spans="1:4" x14ac:dyDescent="0.2">
      <c r="A1377" s="5">
        <v>1316</v>
      </c>
      <c r="B1377" s="138">
        <f>'Expenditures 15-22'!K182</f>
        <v>301205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301205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88109</v>
      </c>
      <c r="C1387" s="2" t="s">
        <v>573</v>
      </c>
      <c r="D1387" s="2" t="str">
        <f t="shared" si="20"/>
        <v>Error?</v>
      </c>
    </row>
    <row r="1388" spans="1:4" x14ac:dyDescent="0.2">
      <c r="A1388" s="5">
        <v>1327</v>
      </c>
      <c r="B1388" s="138">
        <f>'Expenditures 15-22'!K210</f>
        <v>389314</v>
      </c>
      <c r="C1388" s="2" t="s">
        <v>573</v>
      </c>
      <c r="D1388" s="2" t="str">
        <f t="shared" si="20"/>
        <v>Error?</v>
      </c>
    </row>
    <row r="1389" spans="1:4" x14ac:dyDescent="0.2">
      <c r="A1389" s="5">
        <v>1328</v>
      </c>
      <c r="B1389" s="138">
        <f>'Expenditures 15-22'!K211</f>
        <v>-22730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1158</v>
      </c>
      <c r="D1407" s="2" t="str">
        <f t="shared" ref="D1407:D1470" si="21">IF(ISBLANK(B1407),"OK",IF(A1407-B1407=0,"OK","Error?"))</f>
        <v>Error?</v>
      </c>
    </row>
    <row r="1408" spans="1:4" x14ac:dyDescent="0.2">
      <c r="A1408" s="5">
        <v>1347</v>
      </c>
      <c r="B1408" s="138">
        <f>'Expenditures 15-22'!D223</f>
        <v>3846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77609</v>
      </c>
      <c r="C1410" s="2" t="s">
        <v>573</v>
      </c>
      <c r="D1410" s="2" t="str">
        <f t="shared" si="21"/>
        <v>Error?</v>
      </c>
    </row>
    <row r="1411" spans="1:4" x14ac:dyDescent="0.2">
      <c r="A1411" s="5">
        <v>1350</v>
      </c>
      <c r="B1411" s="138">
        <f>'Expenditures 15-22'!D232</f>
        <v>896</v>
      </c>
      <c r="D1411" s="2" t="str">
        <f t="shared" si="21"/>
        <v>Error?</v>
      </c>
    </row>
    <row r="1412" spans="1:4" x14ac:dyDescent="0.2">
      <c r="A1412" s="5">
        <v>1351</v>
      </c>
      <c r="B1412" s="138">
        <f>'Expenditures 15-22'!D233</f>
        <v>1025</v>
      </c>
      <c r="D1412" s="2" t="str">
        <f t="shared" si="21"/>
        <v>Error?</v>
      </c>
    </row>
    <row r="1413" spans="1:4" x14ac:dyDescent="0.2">
      <c r="A1413" s="5">
        <v>1352</v>
      </c>
      <c r="B1413" s="138">
        <f>'Expenditures 15-22'!D234</f>
        <v>3099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5749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11177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11177</v>
      </c>
      <c r="C1421" s="2" t="s">
        <v>573</v>
      </c>
      <c r="D1421" s="2" t="str">
        <f t="shared" si="21"/>
        <v>Error?</v>
      </c>
    </row>
    <row r="1422" spans="1:4" x14ac:dyDescent="0.2">
      <c r="A1422" s="5">
        <v>1361</v>
      </c>
      <c r="B1422" s="138">
        <f>'Expenditures 15-22'!D245</f>
        <v>177</v>
      </c>
      <c r="D1422" s="2" t="str">
        <f t="shared" si="21"/>
        <v>Error?</v>
      </c>
    </row>
    <row r="1423" spans="1:4" x14ac:dyDescent="0.2">
      <c r="A1423" s="5">
        <v>1362</v>
      </c>
      <c r="B1423" s="138">
        <f>'Expenditures 15-22'!D246</f>
        <v>1209</v>
      </c>
      <c r="D1423" s="2" t="str">
        <f t="shared" si="21"/>
        <v>Error?</v>
      </c>
    </row>
    <row r="1424" spans="1:4" x14ac:dyDescent="0.2">
      <c r="A1424" s="5">
        <v>1363</v>
      </c>
      <c r="B1424" s="138">
        <f>'Expenditures 15-22'!D257</f>
        <v>1386</v>
      </c>
      <c r="C1424" s="2" t="s">
        <v>573</v>
      </c>
      <c r="D1424" s="2" t="str">
        <f t="shared" si="21"/>
        <v>Error?</v>
      </c>
    </row>
    <row r="1425" spans="1:4" x14ac:dyDescent="0.2">
      <c r="A1425" s="5">
        <v>1364</v>
      </c>
      <c r="B1425" s="138">
        <f>'Expenditures 15-22'!D259</f>
        <v>20999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20999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23666</v>
      </c>
      <c r="D1431" s="2" t="str">
        <f t="shared" si="21"/>
        <v>Error?</v>
      </c>
    </row>
    <row r="1432" spans="1:4" x14ac:dyDescent="0.2">
      <c r="A1432" s="5">
        <v>1371</v>
      </c>
      <c r="B1432" s="138">
        <f>'Expenditures 15-22'!D267</f>
        <v>22021</v>
      </c>
      <c r="D1432" s="2" t="str">
        <f t="shared" si="21"/>
        <v>Error?</v>
      </c>
    </row>
    <row r="1433" spans="1:4" x14ac:dyDescent="0.2">
      <c r="A1433" s="5">
        <v>1372</v>
      </c>
      <c r="B1433" s="138">
        <f>'Expenditures 15-22'!D268</f>
        <v>15849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67739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107050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184659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1158</v>
      </c>
      <c r="C1471" s="2" t="s">
        <v>573</v>
      </c>
      <c r="D1471" s="2" t="str">
        <f t="shared" ref="D1471:D1534" si="22">IF(ISBLANK(B1471),"OK",IF(A1471-B1471=0,"OK","Error?"))</f>
        <v>Error?</v>
      </c>
    </row>
    <row r="1472" spans="1:4" x14ac:dyDescent="0.2">
      <c r="A1472" s="5">
        <v>1411</v>
      </c>
      <c r="B1472" s="138">
        <f>'Expenditures 15-22'!K223</f>
        <v>3846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77609</v>
      </c>
      <c r="C1474" s="2" t="s">
        <v>573</v>
      </c>
      <c r="D1474" s="2" t="str">
        <f t="shared" si="22"/>
        <v>Error?</v>
      </c>
    </row>
    <row r="1475" spans="1:4" x14ac:dyDescent="0.2">
      <c r="A1475" s="5">
        <v>1414</v>
      </c>
      <c r="B1475" s="138">
        <f>'Expenditures 15-22'!K232</f>
        <v>896</v>
      </c>
      <c r="C1475" s="2" t="s">
        <v>573</v>
      </c>
      <c r="D1475" s="2" t="str">
        <f t="shared" si="22"/>
        <v>Error?</v>
      </c>
    </row>
    <row r="1476" spans="1:4" x14ac:dyDescent="0.2">
      <c r="A1476" s="5">
        <v>1415</v>
      </c>
      <c r="B1476" s="138">
        <f>'Expenditures 15-22'!K233</f>
        <v>1025</v>
      </c>
      <c r="C1476" s="2" t="s">
        <v>573</v>
      </c>
      <c r="D1476" s="2" t="str">
        <f t="shared" si="22"/>
        <v>Error?</v>
      </c>
    </row>
    <row r="1477" spans="1:4" x14ac:dyDescent="0.2">
      <c r="A1477" s="5">
        <v>1416</v>
      </c>
      <c r="B1477" s="138">
        <f>'Expenditures 15-22'!K234</f>
        <v>3099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729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5749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11177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11177</v>
      </c>
      <c r="C1485" s="2" t="s">
        <v>573</v>
      </c>
      <c r="D1485" s="2" t="str">
        <f t="shared" si="22"/>
        <v>Error?</v>
      </c>
    </row>
    <row r="1486" spans="1:4" x14ac:dyDescent="0.2">
      <c r="A1486" s="5">
        <v>1425</v>
      </c>
      <c r="B1486" s="138">
        <f>'Expenditures 15-22'!K245</f>
        <v>177</v>
      </c>
      <c r="C1486" s="2" t="s">
        <v>573</v>
      </c>
      <c r="D1486" s="2" t="str">
        <f t="shared" si="22"/>
        <v>Error?</v>
      </c>
    </row>
    <row r="1487" spans="1:4" x14ac:dyDescent="0.2">
      <c r="A1487" s="5">
        <v>1426</v>
      </c>
      <c r="B1487" s="138">
        <f>'Expenditures 15-22'!K246</f>
        <v>1209</v>
      </c>
      <c r="C1487" s="2" t="s">
        <v>573</v>
      </c>
      <c r="D1487" s="2" t="str">
        <f t="shared" si="22"/>
        <v>Error?</v>
      </c>
    </row>
    <row r="1488" spans="1:4" x14ac:dyDescent="0.2">
      <c r="A1488" s="5">
        <v>1427</v>
      </c>
      <c r="B1488" s="138">
        <f>'Expenditures 15-22'!K257</f>
        <v>1386</v>
      </c>
      <c r="C1488" s="2" t="s">
        <v>573</v>
      </c>
      <c r="D1488" s="2" t="str">
        <f t="shared" si="22"/>
        <v>Error?</v>
      </c>
    </row>
    <row r="1489" spans="1:4" x14ac:dyDescent="0.2">
      <c r="A1489" s="5">
        <v>1428</v>
      </c>
      <c r="B1489" s="138">
        <f>'Expenditures 15-22'!K259</f>
        <v>20999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20999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23666</v>
      </c>
      <c r="C1495" s="2" t="s">
        <v>573</v>
      </c>
      <c r="D1495" s="2" t="str">
        <f t="shared" si="22"/>
        <v>Error?</v>
      </c>
    </row>
    <row r="1496" spans="1:4" x14ac:dyDescent="0.2">
      <c r="A1496" s="5">
        <v>1435</v>
      </c>
      <c r="B1496" s="138">
        <f>'Expenditures 15-22'!K267</f>
        <v>22021</v>
      </c>
      <c r="C1496" s="2" t="s">
        <v>573</v>
      </c>
      <c r="D1496" s="2" t="str">
        <f t="shared" si="22"/>
        <v>Error?</v>
      </c>
    </row>
    <row r="1497" spans="1:4" x14ac:dyDescent="0.2">
      <c r="A1497" s="5">
        <v>1436</v>
      </c>
      <c r="B1497" s="138">
        <f>'Expenditures 15-22'!K268</f>
        <v>15849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67739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107050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184659</v>
      </c>
      <c r="C1517" s="2" t="s">
        <v>573</v>
      </c>
      <c r="D1517" s="2" t="str">
        <f t="shared" si="22"/>
        <v>Error?</v>
      </c>
    </row>
    <row r="1518" spans="1:4" x14ac:dyDescent="0.2">
      <c r="A1518" s="5">
        <v>1457</v>
      </c>
      <c r="B1518" s="138">
        <f>'Expenditures 15-22'!K296</f>
        <v>50385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77882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77882</v>
      </c>
      <c r="C1535" s="2" t="s">
        <v>573</v>
      </c>
      <c r="D1535" s="2" t="str">
        <f t="shared" ref="D1535:D1598" si="23">IF(ISBLANK(B1535),"OK",IF(A1535-B1535=0,"OK","Error?"))</f>
        <v>Error?</v>
      </c>
    </row>
    <row r="1536" spans="1:4" x14ac:dyDescent="0.2">
      <c r="A1536" s="5">
        <v>1475</v>
      </c>
      <c r="B1536" s="138">
        <f>'Expenditures 15-22'!E312</f>
        <v>77882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93334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93334</v>
      </c>
      <c r="C1547" s="2" t="s">
        <v>573</v>
      </c>
      <c r="D1547" s="2" t="str">
        <f t="shared" si="23"/>
        <v>Error?</v>
      </c>
    </row>
    <row r="1548" spans="1:4" x14ac:dyDescent="0.2">
      <c r="A1548" s="5">
        <v>1487</v>
      </c>
      <c r="B1548" s="138">
        <f>'Expenditures 15-22'!G312</f>
        <v>93334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171216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171216</v>
      </c>
      <c r="C1559" s="2" t="s">
        <v>573</v>
      </c>
      <c r="D1559" s="2" t="str">
        <f t="shared" si="23"/>
        <v>Error?</v>
      </c>
    </row>
    <row r="1560" spans="1:4" x14ac:dyDescent="0.2">
      <c r="A1560" s="5">
        <v>1499</v>
      </c>
      <c r="B1560" s="138">
        <f>'Expenditures 15-22'!K312</f>
        <v>171216</v>
      </c>
      <c r="C1560" s="2" t="s">
        <v>573</v>
      </c>
      <c r="D1560" s="2" t="str">
        <f t="shared" si="23"/>
        <v>Error?</v>
      </c>
    </row>
    <row r="1561" spans="1:4" x14ac:dyDescent="0.2">
      <c r="A1561" s="5">
        <v>1500</v>
      </c>
      <c r="B1561" s="138">
        <f>'Expenditures 15-22'!K313</f>
        <v>209441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4288852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4558819</v>
      </c>
      <c r="C1630" s="2" t="s">
        <v>573</v>
      </c>
      <c r="D1630" s="2" t="str">
        <f t="shared" si="24"/>
        <v>Error?</v>
      </c>
    </row>
    <row r="1631" spans="1:4" x14ac:dyDescent="0.2">
      <c r="A1631" s="5">
        <v>1570</v>
      </c>
      <c r="B1631" s="138">
        <f>'Acct Summary 7-8'!D79</f>
        <v>451589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415430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206796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184066</v>
      </c>
      <c r="C1672" s="2" t="s">
        <v>573</v>
      </c>
      <c r="D1672" s="2" t="str">
        <f t="shared" si="25"/>
        <v>Error?</v>
      </c>
    </row>
    <row r="1673" spans="1:4" x14ac:dyDescent="0.2">
      <c r="A1673" s="5">
        <v>1612</v>
      </c>
      <c r="B1673" s="138">
        <f>'Acct Summary 7-8'!G79</f>
        <v>10036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60421</v>
      </c>
      <c r="C1686" s="2" t="s">
        <v>573</v>
      </c>
      <c r="D1686" s="2" t="str">
        <f t="shared" si="25"/>
        <v>Error?</v>
      </c>
    </row>
    <row r="1687" spans="1:4" x14ac:dyDescent="0.2">
      <c r="A1687" s="5">
        <v>1626</v>
      </c>
      <c r="B1687" s="138">
        <f>'Acct Summary 7-8'!H79</f>
        <v>368028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577469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3306384</v>
      </c>
      <c r="C1744" s="2" t="s">
        <v>573</v>
      </c>
      <c r="D1744" s="2" t="str">
        <f t="shared" si="26"/>
        <v>Error?</v>
      </c>
    </row>
    <row r="1745" spans="1:5" x14ac:dyDescent="0.2">
      <c r="A1745" s="5">
        <v>1684</v>
      </c>
      <c r="B1745" s="138">
        <f>'Tax Sched 23'!B5</f>
        <v>450054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172527</v>
      </c>
      <c r="C1747" s="2" t="s">
        <v>573</v>
      </c>
      <c r="D1747" s="2" t="str">
        <f t="shared" si="26"/>
        <v>Error?</v>
      </c>
    </row>
    <row r="1748" spans="1:5" x14ac:dyDescent="0.2">
      <c r="A1748" s="5">
        <v>1687</v>
      </c>
      <c r="B1748" s="138">
        <f>'Tax Sched 23'!B8</f>
        <v>90176</v>
      </c>
      <c r="C1748" s="2" t="s">
        <v>573</v>
      </c>
      <c r="D1748" s="2" t="str">
        <f t="shared" si="26"/>
        <v>Error?</v>
      </c>
    </row>
    <row r="1749" spans="1:5" x14ac:dyDescent="0.2">
      <c r="A1749" s="5">
        <v>1688</v>
      </c>
      <c r="B1749" s="138">
        <f>'Tax Sched 23'!B10</f>
        <v>35057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148839</v>
      </c>
      <c r="C1752" s="2" t="s">
        <v>573</v>
      </c>
      <c r="D1752" s="2" t="str">
        <f t="shared" si="26"/>
        <v>Error?</v>
      </c>
    </row>
    <row r="1753" spans="1:5" x14ac:dyDescent="0.2">
      <c r="A1753" s="5">
        <v>1692</v>
      </c>
      <c r="B1753" s="138">
        <f>'Tax Sched 23'!B12</f>
        <v>60981</v>
      </c>
      <c r="C1753" s="2" t="s">
        <v>573</v>
      </c>
      <c r="D1753" s="2" t="str">
        <f t="shared" si="26"/>
        <v>Error?</v>
      </c>
    </row>
    <row r="1754" spans="1:5" x14ac:dyDescent="0.2">
      <c r="A1754" s="5">
        <v>1693</v>
      </c>
      <c r="B1754" s="138">
        <f>'Tax Sched 23'!B14</f>
        <v>128817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4544889</v>
      </c>
      <c r="C1759" s="2" t="s">
        <v>573</v>
      </c>
      <c r="D1759" s="2" t="str">
        <f t="shared" si="26"/>
        <v>Error?</v>
      </c>
    </row>
    <row r="1760" spans="1:5" x14ac:dyDescent="0.2">
      <c r="A1760" s="5">
        <v>1699</v>
      </c>
      <c r="B1760" s="138">
        <f>'Tax Sched 23'!D4</f>
        <v>2617756</v>
      </c>
      <c r="C1760" s="2" t="s">
        <v>573</v>
      </c>
      <c r="D1760" s="2" t="str">
        <f t="shared" si="26"/>
        <v>Error?</v>
      </c>
    </row>
    <row r="1761" spans="1:5" x14ac:dyDescent="0.2">
      <c r="A1761" s="5">
        <v>1700</v>
      </c>
      <c r="B1761" s="138">
        <f>'Tax Sched 23'!D5</f>
        <v>350472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136594</v>
      </c>
      <c r="C1763" s="2" t="s">
        <v>573</v>
      </c>
      <c r="D1763" s="2" t="str">
        <f t="shared" si="26"/>
        <v>Error?</v>
      </c>
    </row>
    <row r="1764" spans="1:5" x14ac:dyDescent="0.2">
      <c r="A1764" s="5">
        <v>1703</v>
      </c>
      <c r="B1764" s="138">
        <f>'Tax Sched 23'!D8</f>
        <v>71394</v>
      </c>
      <c r="C1764" s="2" t="s">
        <v>573</v>
      </c>
      <c r="D1764" s="2" t="str">
        <f t="shared" si="26"/>
        <v>Error?</v>
      </c>
    </row>
    <row r="1765" spans="1:5" x14ac:dyDescent="0.2">
      <c r="A1765" s="5">
        <v>1704</v>
      </c>
      <c r="B1765" s="138">
        <f>'Tax Sched 23'!D10</f>
        <v>27755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117839</v>
      </c>
      <c r="C1768" s="2" t="s">
        <v>573</v>
      </c>
      <c r="D1768" s="2" t="str">
        <f t="shared" si="26"/>
        <v>Error?</v>
      </c>
    </row>
    <row r="1769" spans="1:5" x14ac:dyDescent="0.2">
      <c r="A1769" s="5">
        <v>1708</v>
      </c>
      <c r="B1769" s="138">
        <f>'Tax Sched 23'!D12</f>
        <v>48279</v>
      </c>
      <c r="C1769" s="2" t="s">
        <v>573</v>
      </c>
      <c r="D1769" s="2" t="str">
        <f t="shared" si="26"/>
        <v>Error?</v>
      </c>
    </row>
    <row r="1770" spans="1:5" x14ac:dyDescent="0.2">
      <c r="A1770" s="5">
        <v>1709</v>
      </c>
      <c r="B1770" s="138">
        <f>'Tax Sched 23'!D14</f>
        <v>101987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3583150</v>
      </c>
      <c r="C1775" s="2" t="s">
        <v>573</v>
      </c>
      <c r="D1775" s="2" t="str">
        <f t="shared" si="26"/>
        <v>Error?</v>
      </c>
    </row>
    <row r="1776" spans="1:5" x14ac:dyDescent="0.2">
      <c r="A1776" s="5">
        <v>1715</v>
      </c>
      <c r="B1776" s="138">
        <f>'Tax Sched 23'!C4</f>
        <v>688628</v>
      </c>
      <c r="D1776" s="2" t="str">
        <f t="shared" si="26"/>
        <v>Error?</v>
      </c>
    </row>
    <row r="1777" spans="1:4" x14ac:dyDescent="0.2">
      <c r="A1777" s="5">
        <v>1716</v>
      </c>
      <c r="B1777" s="138">
        <f>'Tax Sched 23'!C5</f>
        <v>99582</v>
      </c>
      <c r="D1777" s="2" t="str">
        <f t="shared" si="26"/>
        <v>Error?</v>
      </c>
    </row>
    <row r="1778" spans="1:4" x14ac:dyDescent="0.2">
      <c r="A1778" s="5">
        <v>1717</v>
      </c>
      <c r="B1778" s="138">
        <f>'Tax Sched 23'!C6</f>
        <v>0</v>
      </c>
      <c r="D1778" s="2" t="str">
        <f t="shared" si="26"/>
        <v>Error?</v>
      </c>
    </row>
    <row r="1779" spans="1:4" x14ac:dyDescent="0.2">
      <c r="A1779" s="5">
        <v>1718</v>
      </c>
      <c r="B1779" s="138">
        <f>'Tax Sched 23'!C7</f>
        <v>35933</v>
      </c>
      <c r="D1779" s="2" t="str">
        <f t="shared" si="26"/>
        <v>Error?</v>
      </c>
    </row>
    <row r="1780" spans="1:4" x14ac:dyDescent="0.2">
      <c r="A1780" s="5">
        <v>1719</v>
      </c>
      <c r="B1780" s="138">
        <f>'Tax Sched 23'!C8</f>
        <v>18782</v>
      </c>
      <c r="D1780" s="2" t="str">
        <f t="shared" si="26"/>
        <v>Error?</v>
      </c>
    </row>
    <row r="1781" spans="1:4" x14ac:dyDescent="0.2">
      <c r="A1781" s="5">
        <v>1720</v>
      </c>
      <c r="B1781" s="138">
        <f>'Tax Sched 23'!C10</f>
        <v>7302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31000</v>
      </c>
      <c r="D1784" s="2" t="str">
        <f t="shared" si="26"/>
        <v>Error?</v>
      </c>
    </row>
    <row r="1785" spans="1:4" x14ac:dyDescent="0.2">
      <c r="A1785" s="5">
        <v>1724</v>
      </c>
      <c r="B1785" s="138">
        <f>'Tax Sched 23'!C12</f>
        <v>12702</v>
      </c>
      <c r="D1785" s="2" t="str">
        <f t="shared" si="26"/>
        <v>Error?</v>
      </c>
    </row>
    <row r="1786" spans="1:4" x14ac:dyDescent="0.2">
      <c r="A1786" s="5">
        <v>1725</v>
      </c>
      <c r="B1786" s="138">
        <f>'Tax Sched 23'!C14</f>
        <v>26830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961739</v>
      </c>
      <c r="C1791" s="2" t="s">
        <v>573</v>
      </c>
      <c r="D1791" s="2" t="str">
        <f t="shared" ref="D1791:D1854" si="27">IF(ISBLANK(B1791),"OK",IF(A1791-B1791=0,"OK","Error?"))</f>
        <v>Error?</v>
      </c>
    </row>
    <row r="1792" spans="1:4" x14ac:dyDescent="0.2">
      <c r="A1792" s="5">
        <v>1731</v>
      </c>
      <c r="B1792" s="138">
        <f>'Tax Sched 23'!F4</f>
        <v>2640229</v>
      </c>
      <c r="C1792" s="2" t="s">
        <v>573</v>
      </c>
      <c r="D1792" s="2" t="str">
        <f t="shared" si="27"/>
        <v>Error?</v>
      </c>
    </row>
    <row r="1793" spans="1:4" x14ac:dyDescent="0.2">
      <c r="A1793" s="5">
        <v>1732</v>
      </c>
      <c r="B1793" s="138">
        <f>'Tax Sched 23'!F5</f>
        <v>381805</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137771</v>
      </c>
      <c r="C1795" s="2" t="s">
        <v>573</v>
      </c>
      <c r="D1795" s="2" t="str">
        <f t="shared" si="27"/>
        <v>Error?</v>
      </c>
    </row>
    <row r="1796" spans="1:4" x14ac:dyDescent="0.2">
      <c r="A1796" s="5">
        <v>1735</v>
      </c>
      <c r="B1796" s="138">
        <f>'Tax Sched 23'!F8</f>
        <v>72010</v>
      </c>
      <c r="C1796" s="2" t="s">
        <v>573</v>
      </c>
      <c r="D1796" s="2" t="str">
        <f t="shared" si="27"/>
        <v>Error?</v>
      </c>
    </row>
    <row r="1797" spans="1:4" x14ac:dyDescent="0.2">
      <c r="A1797" s="5">
        <v>1736</v>
      </c>
      <c r="B1797" s="138">
        <f>'Tax Sched 23'!F10</f>
        <v>27996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118856</v>
      </c>
      <c r="C1800" s="2" t="s">
        <v>573</v>
      </c>
      <c r="D1800" s="2" t="str">
        <f t="shared" si="27"/>
        <v>Error?</v>
      </c>
    </row>
    <row r="1801" spans="1:4" x14ac:dyDescent="0.2">
      <c r="A1801" s="5">
        <v>1740</v>
      </c>
      <c r="B1801" s="138">
        <f>'Tax Sched 23'!F12</f>
        <v>48698</v>
      </c>
      <c r="C1801" s="2" t="s">
        <v>573</v>
      </c>
      <c r="D1801" s="2" t="str">
        <f t="shared" si="27"/>
        <v>Error?</v>
      </c>
    </row>
    <row r="1802" spans="1:4" x14ac:dyDescent="0.2">
      <c r="A1802" s="5">
        <v>1741</v>
      </c>
      <c r="B1802" s="138">
        <f>'Tax Sched 23'!F14</f>
        <v>102866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3687352</v>
      </c>
      <c r="C1807" s="2" t="s">
        <v>573</v>
      </c>
      <c r="D1807" s="2" t="str">
        <f t="shared" si="27"/>
        <v>Error?</v>
      </c>
    </row>
    <row r="1808" spans="1:4" x14ac:dyDescent="0.2">
      <c r="A1808" s="5">
        <v>1747</v>
      </c>
      <c r="B1808" s="138">
        <f>'Tax Sched 23'!E4</f>
        <v>3328857</v>
      </c>
      <c r="D1808" s="2" t="str">
        <f t="shared" si="27"/>
        <v>Error?</v>
      </c>
    </row>
    <row r="1809" spans="1:4" x14ac:dyDescent="0.2">
      <c r="A1809" s="5">
        <v>1748</v>
      </c>
      <c r="B1809" s="138">
        <f>'Tax Sched 23'!E5</f>
        <v>481387</v>
      </c>
      <c r="D1809" s="2" t="str">
        <f t="shared" si="27"/>
        <v>Error?</v>
      </c>
    </row>
    <row r="1810" spans="1:4" x14ac:dyDescent="0.2">
      <c r="A1810" s="5">
        <v>1749</v>
      </c>
      <c r="B1810" s="138">
        <f>'Tax Sched 23'!E6</f>
        <v>0</v>
      </c>
      <c r="D1810" s="2" t="str">
        <f t="shared" si="27"/>
        <v>Error?</v>
      </c>
    </row>
    <row r="1811" spans="1:4" x14ac:dyDescent="0.2">
      <c r="A1811" s="5">
        <v>1750</v>
      </c>
      <c r="B1811" s="138">
        <f>'Tax Sched 23'!E7</f>
        <v>173704</v>
      </c>
      <c r="D1811" s="2" t="str">
        <f t="shared" si="27"/>
        <v>Error?</v>
      </c>
    </row>
    <row r="1812" spans="1:4" x14ac:dyDescent="0.2">
      <c r="A1812" s="5">
        <v>1751</v>
      </c>
      <c r="B1812" s="138">
        <f>'Tax Sched 23'!E8</f>
        <v>90792</v>
      </c>
      <c r="D1812" s="2" t="str">
        <f t="shared" si="27"/>
        <v>Error?</v>
      </c>
    </row>
    <row r="1813" spans="1:4" x14ac:dyDescent="0.2">
      <c r="A1813" s="5">
        <v>1752</v>
      </c>
      <c r="B1813" s="138">
        <f>'Tax Sched 23'!E10</f>
        <v>35298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149856</v>
      </c>
      <c r="D1816" s="2" t="str">
        <f t="shared" si="27"/>
        <v>Error?</v>
      </c>
    </row>
    <row r="1817" spans="1:4" x14ac:dyDescent="0.2">
      <c r="A1817" s="5">
        <v>1756</v>
      </c>
      <c r="B1817" s="138">
        <f>'Tax Sched 23'!E12</f>
        <v>61400</v>
      </c>
      <c r="D1817" s="2" t="str">
        <f t="shared" si="27"/>
        <v>Error?</v>
      </c>
    </row>
    <row r="1818" spans="1:4" x14ac:dyDescent="0.2">
      <c r="A1818" s="5">
        <v>1757</v>
      </c>
      <c r="B1818" s="138">
        <f>'Tax Sched 23'!E14</f>
        <v>129696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4649091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85185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128817</v>
      </c>
      <c r="D1972" s="2" t="str">
        <f t="shared" si="29"/>
        <v>Error?</v>
      </c>
    </row>
    <row r="1973" spans="1:5" x14ac:dyDescent="0.2">
      <c r="A1973" s="5">
        <v>1912</v>
      </c>
      <c r="B1973" s="138">
        <f>'Rest Tax Levies-Tort Im 25'!H6</f>
        <v>70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128887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128887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98361</v>
      </c>
      <c r="D2008" s="2" t="str">
        <f t="shared" si="30"/>
        <v>Error?</v>
      </c>
    </row>
    <row r="2009" spans="1:4" x14ac:dyDescent="0.2">
      <c r="A2009" s="5">
        <v>1948</v>
      </c>
      <c r="B2009" s="138">
        <f>'Cap Outlay Deprec 26'!C8</f>
        <v>6567221</v>
      </c>
      <c r="D2009" s="2" t="str">
        <f t="shared" si="30"/>
        <v>Error?</v>
      </c>
    </row>
    <row r="2010" spans="1:4" x14ac:dyDescent="0.2">
      <c r="A2010" s="5">
        <v>1949</v>
      </c>
      <c r="B2010" s="138">
        <f>'Cap Outlay Deprec 26'!C10</f>
        <v>138578</v>
      </c>
      <c r="D2010" s="2" t="str">
        <f t="shared" si="30"/>
        <v>Error?</v>
      </c>
    </row>
    <row r="2011" spans="1:4" x14ac:dyDescent="0.2">
      <c r="A2011" s="5">
        <v>1950</v>
      </c>
      <c r="B2011" s="138">
        <f>'Cap Outlay Deprec 26'!C12</f>
        <v>978208</v>
      </c>
      <c r="D2011" s="2" t="str">
        <f t="shared" si="30"/>
        <v>Error?</v>
      </c>
    </row>
    <row r="2012" spans="1:4" x14ac:dyDescent="0.2">
      <c r="A2012" s="5">
        <v>1951</v>
      </c>
      <c r="B2012" s="138">
        <f>'Cap Outlay Deprec 26'!C13</f>
        <v>895305</v>
      </c>
      <c r="D2012" s="2" t="str">
        <f t="shared" si="30"/>
        <v>Error?</v>
      </c>
    </row>
    <row r="2013" spans="1:4" x14ac:dyDescent="0.2">
      <c r="A2013" s="5">
        <v>1952</v>
      </c>
      <c r="B2013" s="138">
        <f>'Cap Outlay Deprec 26'!C16</f>
        <v>8677673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163250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47835</v>
      </c>
      <c r="D2017" s="2" t="str">
        <f t="shared" si="30"/>
        <v>Error?</v>
      </c>
    </row>
    <row r="2018" spans="1:4" x14ac:dyDescent="0.2">
      <c r="A2018" s="5">
        <v>1957</v>
      </c>
      <c r="B2018" s="138">
        <f>'Cap Outlay Deprec 26'!D13</f>
        <v>31696</v>
      </c>
      <c r="D2018" s="2" t="str">
        <f t="shared" si="30"/>
        <v>Error?</v>
      </c>
    </row>
    <row r="2019" spans="1:4" x14ac:dyDescent="0.2">
      <c r="A2019" s="5">
        <v>1958</v>
      </c>
      <c r="B2019" s="138">
        <f>'Cap Outlay Deprec 26'!D16</f>
        <v>242781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98361</v>
      </c>
      <c r="C2026" s="2" t="s">
        <v>573</v>
      </c>
      <c r="D2026" s="2" t="str">
        <f t="shared" si="30"/>
        <v>Error?</v>
      </c>
    </row>
    <row r="2027" spans="1:4" x14ac:dyDescent="0.2">
      <c r="A2027" s="5">
        <v>1966</v>
      </c>
      <c r="B2027" s="138">
        <f>'Cap Outlay Deprec 26'!F8</f>
        <v>6730471</v>
      </c>
      <c r="C2027" s="2" t="s">
        <v>573</v>
      </c>
      <c r="D2027" s="2" t="str">
        <f t="shared" si="30"/>
        <v>Error?</v>
      </c>
    </row>
    <row r="2028" spans="1:4" x14ac:dyDescent="0.2">
      <c r="A2028" s="5">
        <v>1967</v>
      </c>
      <c r="B2028" s="138">
        <f>'Cap Outlay Deprec 26'!F10</f>
        <v>138578</v>
      </c>
      <c r="C2028" s="2" t="s">
        <v>573</v>
      </c>
      <c r="D2028" s="2" t="str">
        <f t="shared" si="30"/>
        <v>Error?</v>
      </c>
    </row>
    <row r="2029" spans="1:4" x14ac:dyDescent="0.2">
      <c r="A2029" s="5">
        <v>1968</v>
      </c>
      <c r="B2029" s="138">
        <f>'Cap Outlay Deprec 26'!F12</f>
        <v>1026043</v>
      </c>
      <c r="C2029" s="2" t="s">
        <v>573</v>
      </c>
      <c r="D2029" s="2" t="str">
        <f t="shared" si="30"/>
        <v>Error?</v>
      </c>
    </row>
    <row r="2030" spans="1:4" x14ac:dyDescent="0.2">
      <c r="A2030" s="5">
        <v>1969</v>
      </c>
      <c r="B2030" s="138">
        <f>'Cap Outlay Deprec 26'!F13</f>
        <v>927001</v>
      </c>
      <c r="C2030" s="2" t="s">
        <v>573</v>
      </c>
      <c r="D2030" s="2" t="str">
        <f t="shared" si="30"/>
        <v>Error?</v>
      </c>
    </row>
    <row r="2031" spans="1:4" x14ac:dyDescent="0.2">
      <c r="A2031" s="5">
        <v>1970</v>
      </c>
      <c r="B2031" s="138">
        <f>'Cap Outlay Deprec 26'!F16</f>
        <v>8920454</v>
      </c>
      <c r="C2031" s="2" t="s">
        <v>573</v>
      </c>
      <c r="D2031" s="2" t="str">
        <f t="shared" si="30"/>
        <v>Error?</v>
      </c>
    </row>
    <row r="2032" spans="1:4" x14ac:dyDescent="0.2">
      <c r="A2032" s="10">
        <v>1971</v>
      </c>
      <c r="D2032" s="2" t="str">
        <f t="shared" si="30"/>
        <v>OK</v>
      </c>
    </row>
    <row r="2033" spans="1:4" x14ac:dyDescent="0.2">
      <c r="A2033" s="5">
        <v>1972</v>
      </c>
      <c r="B2033" s="138">
        <f>'Cap Outlay Deprec 26'!H8</f>
        <v>3417521</v>
      </c>
      <c r="D2033" s="2" t="str">
        <f t="shared" si="30"/>
        <v>Error?</v>
      </c>
    </row>
    <row r="2034" spans="1:4" x14ac:dyDescent="0.2">
      <c r="A2034" s="5">
        <v>1973</v>
      </c>
      <c r="B2034" s="138">
        <f>'Cap Outlay Deprec 26'!H10</f>
        <v>113263</v>
      </c>
      <c r="D2034" s="2" t="str">
        <f t="shared" si="30"/>
        <v>Error?</v>
      </c>
    </row>
    <row r="2035" spans="1:4" x14ac:dyDescent="0.2">
      <c r="A2035" s="5">
        <v>1974</v>
      </c>
      <c r="B2035" s="138">
        <f>'Cap Outlay Deprec 26'!H12</f>
        <v>576717</v>
      </c>
      <c r="D2035" s="2" t="str">
        <f t="shared" si="30"/>
        <v>Error?</v>
      </c>
    </row>
    <row r="2036" spans="1:4" x14ac:dyDescent="0.2">
      <c r="A2036" s="5">
        <v>1975</v>
      </c>
      <c r="B2036" s="138">
        <f>'Cap Outlay Deprec 26'!H13</f>
        <v>637318</v>
      </c>
      <c r="D2036" s="2" t="str">
        <f t="shared" si="30"/>
        <v>Error?</v>
      </c>
    </row>
    <row r="2037" spans="1:4" x14ac:dyDescent="0.2">
      <c r="A2037" s="5">
        <v>1976</v>
      </c>
      <c r="B2037" s="138">
        <f>'Cap Outlay Deprec 26'!H16</f>
        <v>4744819</v>
      </c>
      <c r="C2037" s="2" t="s">
        <v>573</v>
      </c>
      <c r="D2037" s="2" t="str">
        <f t="shared" si="30"/>
        <v>Error?</v>
      </c>
    </row>
    <row r="2038" spans="1:4" x14ac:dyDescent="0.2">
      <c r="A2038" s="10">
        <v>1977</v>
      </c>
      <c r="D2038" s="2" t="str">
        <f t="shared" si="30"/>
        <v>OK</v>
      </c>
    </row>
    <row r="2039" spans="1:4" x14ac:dyDescent="0.2">
      <c r="A2039" s="5">
        <v>1978</v>
      </c>
      <c r="B2039" s="138">
        <f>'Cap Outlay Deprec 26'!I8</f>
        <v>98129</v>
      </c>
      <c r="D2039" s="2" t="str">
        <f t="shared" si="30"/>
        <v>Error?</v>
      </c>
    </row>
    <row r="2040" spans="1:4" x14ac:dyDescent="0.2">
      <c r="A2040" s="5">
        <v>1979</v>
      </c>
      <c r="B2040" s="138">
        <f>'Cap Outlay Deprec 26'!I10</f>
        <v>1592</v>
      </c>
      <c r="D2040" s="2" t="str">
        <f t="shared" si="30"/>
        <v>Error?</v>
      </c>
    </row>
    <row r="2041" spans="1:4" x14ac:dyDescent="0.2">
      <c r="A2041" s="5">
        <v>1980</v>
      </c>
      <c r="B2041" s="138">
        <f>'Cap Outlay Deprec 26'!I12</f>
        <v>76900</v>
      </c>
      <c r="D2041" s="2" t="str">
        <f t="shared" si="30"/>
        <v>Error?</v>
      </c>
    </row>
    <row r="2042" spans="1:4" x14ac:dyDescent="0.2">
      <c r="A2042" s="5">
        <v>1981</v>
      </c>
      <c r="B2042" s="138">
        <f>'Cap Outlay Deprec 26'!I13</f>
        <v>92270</v>
      </c>
      <c r="D2042" s="2" t="str">
        <f t="shared" si="30"/>
        <v>Error?</v>
      </c>
    </row>
    <row r="2043" spans="1:4" x14ac:dyDescent="0.2">
      <c r="A2043" s="5">
        <v>1982</v>
      </c>
      <c r="B2043" s="138">
        <f>'Cap Outlay Deprec 26'!I16</f>
        <v>268891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3515650</v>
      </c>
      <c r="C2051" s="2" t="s">
        <v>573</v>
      </c>
      <c r="D2051" s="2" t="str">
        <f t="shared" si="31"/>
        <v>Error?</v>
      </c>
    </row>
    <row r="2052" spans="1:4" x14ac:dyDescent="0.2">
      <c r="A2052" s="5">
        <v>1991</v>
      </c>
      <c r="B2052" s="138">
        <f>'Cap Outlay Deprec 26'!K10</f>
        <v>114855</v>
      </c>
      <c r="C2052" s="2" t="s">
        <v>573</v>
      </c>
      <c r="D2052" s="2" t="str">
        <f t="shared" si="31"/>
        <v>Error?</v>
      </c>
    </row>
    <row r="2053" spans="1:4" x14ac:dyDescent="0.2">
      <c r="A2053" s="5">
        <v>1992</v>
      </c>
      <c r="B2053" s="138">
        <f>'Cap Outlay Deprec 26'!K12</f>
        <v>653617</v>
      </c>
      <c r="C2053" s="2" t="s">
        <v>573</v>
      </c>
      <c r="D2053" s="2" t="str">
        <f t="shared" si="31"/>
        <v>Error?</v>
      </c>
    </row>
    <row r="2054" spans="1:4" x14ac:dyDescent="0.2">
      <c r="A2054" s="5">
        <v>1993</v>
      </c>
      <c r="B2054" s="138">
        <f>'Cap Outlay Deprec 26'!K13</f>
        <v>729588</v>
      </c>
      <c r="C2054" s="2" t="s">
        <v>573</v>
      </c>
      <c r="D2054" s="2" t="str">
        <f t="shared" si="31"/>
        <v>Error?</v>
      </c>
    </row>
    <row r="2055" spans="1:4" x14ac:dyDescent="0.2">
      <c r="A2055" s="5">
        <v>1994</v>
      </c>
      <c r="B2055" s="138">
        <f>'Cap Outlay Deprec 26'!K16</f>
        <v>5013710</v>
      </c>
      <c r="C2055" s="2" t="s">
        <v>573</v>
      </c>
      <c r="D2055" s="2" t="str">
        <f t="shared" si="31"/>
        <v>Error?</v>
      </c>
    </row>
    <row r="2056" spans="1:4" x14ac:dyDescent="0.2">
      <c r="A2056" s="5">
        <v>1995</v>
      </c>
      <c r="B2056" s="138">
        <f>'Cap Outlay Deprec 26'!L5</f>
        <v>98361</v>
      </c>
      <c r="C2056" s="2" t="s">
        <v>573</v>
      </c>
      <c r="D2056" s="2" t="str">
        <f t="shared" si="31"/>
        <v>Error?</v>
      </c>
    </row>
    <row r="2057" spans="1:4" x14ac:dyDescent="0.2">
      <c r="A2057" s="5">
        <v>1996</v>
      </c>
      <c r="B2057" s="138">
        <f>'Cap Outlay Deprec 26'!L8</f>
        <v>3214821</v>
      </c>
      <c r="C2057" s="2" t="s">
        <v>573</v>
      </c>
      <c r="D2057" s="2" t="str">
        <f t="shared" si="31"/>
        <v>Error?</v>
      </c>
    </row>
    <row r="2058" spans="1:4" x14ac:dyDescent="0.2">
      <c r="A2058" s="5">
        <v>1997</v>
      </c>
      <c r="B2058" s="138">
        <f>'Cap Outlay Deprec 26'!L10</f>
        <v>23723</v>
      </c>
      <c r="C2058" s="2" t="s">
        <v>573</v>
      </c>
      <c r="D2058" s="2" t="str">
        <f t="shared" si="31"/>
        <v>Error?</v>
      </c>
    </row>
    <row r="2059" spans="1:4" x14ac:dyDescent="0.2">
      <c r="A2059" s="5">
        <v>1998</v>
      </c>
      <c r="B2059" s="138">
        <f>'Cap Outlay Deprec 26'!L12</f>
        <v>372426</v>
      </c>
      <c r="C2059" s="2" t="s">
        <v>573</v>
      </c>
      <c r="D2059" s="2" t="str">
        <f t="shared" si="31"/>
        <v>Error?</v>
      </c>
    </row>
    <row r="2060" spans="1:4" x14ac:dyDescent="0.2">
      <c r="A2060" s="5">
        <v>1999</v>
      </c>
      <c r="B2060" s="138">
        <f>'Cap Outlay Deprec 26'!L13</f>
        <v>197413</v>
      </c>
      <c r="C2060" s="2" t="s">
        <v>573</v>
      </c>
      <c r="D2060" s="2" t="str">
        <f t="shared" si="31"/>
        <v>Error?</v>
      </c>
    </row>
    <row r="2061" spans="1:4" x14ac:dyDescent="0.2">
      <c r="A2061" s="5">
        <v>2000</v>
      </c>
      <c r="B2061" s="138">
        <f>'Cap Outlay Deprec 26'!L16</f>
        <v>3906744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41754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187366</v>
      </c>
      <c r="C2088" s="2" t="s">
        <v>573</v>
      </c>
      <c r="D2088" s="2" t="str">
        <f t="shared" si="31"/>
        <v>Error?</v>
      </c>
    </row>
    <row r="2089" spans="1:4" x14ac:dyDescent="0.2">
      <c r="A2089" s="5">
        <v>2028</v>
      </c>
      <c r="B2089" s="138">
        <f>'Expenditures 15-22'!K92</f>
        <v>81485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28581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577469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3918798</v>
      </c>
      <c r="C2551" s="2" t="s">
        <v>573</v>
      </c>
      <c r="D2551" s="2" t="str">
        <f t="shared" si="38"/>
        <v>Error?</v>
      </c>
    </row>
    <row r="2552" spans="1:4" x14ac:dyDescent="0.2">
      <c r="A2552" s="10">
        <v>2491</v>
      </c>
      <c r="D2552" s="2" t="str">
        <f t="shared" si="38"/>
        <v>OK</v>
      </c>
    </row>
    <row r="2553" spans="1:4" x14ac:dyDescent="0.2">
      <c r="A2553" s="5">
        <v>2492</v>
      </c>
      <c r="B2553" s="138">
        <f>'Acct Summary 7-8'!C6</f>
        <v>1308043</v>
      </c>
      <c r="C2553" s="2" t="s">
        <v>573</v>
      </c>
      <c r="D2553" s="2" t="str">
        <f t="shared" si="38"/>
        <v>Error?</v>
      </c>
    </row>
    <row r="2554" spans="1:4" x14ac:dyDescent="0.2">
      <c r="A2554" s="5">
        <v>2493</v>
      </c>
      <c r="B2554" s="138">
        <f>'Acct Summary 7-8'!C7</f>
        <v>480027</v>
      </c>
      <c r="C2554" s="2" t="s">
        <v>573</v>
      </c>
      <c r="D2554" s="2" t="str">
        <f t="shared" si="38"/>
        <v>Error?</v>
      </c>
    </row>
    <row r="2555" spans="1:4" x14ac:dyDescent="0.2">
      <c r="A2555" s="5">
        <v>2494</v>
      </c>
      <c r="B2555" s="138">
        <f>'Acct Summary 7-8'!C8</f>
        <v>5706868</v>
      </c>
      <c r="C2555" s="2" t="s">
        <v>573</v>
      </c>
      <c r="D2555" s="2" t="str">
        <f t="shared" si="38"/>
        <v>Error?</v>
      </c>
    </row>
    <row r="2556" spans="1:4" x14ac:dyDescent="0.2">
      <c r="A2556" s="5">
        <v>2495</v>
      </c>
      <c r="B2556" s="138">
        <f>'Acct Summary 7-8'!C12</f>
        <v>3780470</v>
      </c>
      <c r="C2556" s="2" t="s">
        <v>573</v>
      </c>
      <c r="D2556" s="2" t="str">
        <f t="shared" si="38"/>
        <v>Error?</v>
      </c>
    </row>
    <row r="2557" spans="1:4" x14ac:dyDescent="0.2">
      <c r="A2557" s="5">
        <v>2496</v>
      </c>
      <c r="B2557" s="138">
        <f>'Acct Summary 7-8'!C13</f>
        <v>1387580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268851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5436901</v>
      </c>
      <c r="C2561" s="2" t="s">
        <v>573</v>
      </c>
      <c r="D2561" s="2" t="str">
        <f t="shared" si="39"/>
        <v>Error?</v>
      </c>
    </row>
    <row r="2562" spans="1:4" x14ac:dyDescent="0.2">
      <c r="A2562" s="5">
        <v>2501</v>
      </c>
      <c r="B2562" s="138">
        <f>'Acct Summary 7-8'!C20</f>
        <v>269967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458496</v>
      </c>
      <c r="C2564" s="2" t="s">
        <v>573</v>
      </c>
      <c r="D2564" s="2" t="str">
        <f t="shared" si="39"/>
        <v>Error?</v>
      </c>
    </row>
    <row r="2565" spans="1:4" x14ac:dyDescent="0.2">
      <c r="A2565" s="10">
        <v>2504</v>
      </c>
      <c r="D2565" s="2" t="str">
        <f t="shared" si="39"/>
        <v>OK</v>
      </c>
    </row>
    <row r="2566" spans="1:4" x14ac:dyDescent="0.2">
      <c r="A2566" s="5">
        <v>2505</v>
      </c>
      <c r="B2566" s="138">
        <f>'Acct Summary 7-8'!D6</f>
        <v>1142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459638</v>
      </c>
      <c r="C2568" s="2" t="s">
        <v>573</v>
      </c>
      <c r="D2568" s="2" t="str">
        <f t="shared" si="39"/>
        <v>Error?</v>
      </c>
    </row>
    <row r="2569" spans="1:4" x14ac:dyDescent="0.2">
      <c r="A2569" s="5">
        <v>2508</v>
      </c>
      <c r="B2569" s="138">
        <f>'Acct Summary 7-8'!D13</f>
        <v>495797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495797</v>
      </c>
      <c r="C2573" s="2" t="s">
        <v>573</v>
      </c>
      <c r="D2573" s="2" t="str">
        <f t="shared" si="39"/>
        <v>Error?</v>
      </c>
    </row>
    <row r="2574" spans="1:4" x14ac:dyDescent="0.2">
      <c r="A2574" s="5">
        <v>2513</v>
      </c>
      <c r="B2574" s="138">
        <f>'Acct Summary 7-8'!D20</f>
        <v>-36159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182775</v>
      </c>
      <c r="C2591" s="2" t="s">
        <v>573</v>
      </c>
      <c r="D2591" s="2" t="str">
        <f t="shared" si="39"/>
        <v>Error?</v>
      </c>
    </row>
    <row r="2592" spans="1:4" x14ac:dyDescent="0.2">
      <c r="A2592" s="10">
        <v>2531</v>
      </c>
      <c r="D2592" s="2" t="str">
        <f t="shared" si="39"/>
        <v>OK</v>
      </c>
    </row>
    <row r="2593" spans="1:4" x14ac:dyDescent="0.2">
      <c r="A2593" s="5">
        <v>2532</v>
      </c>
      <c r="B2593" s="138">
        <f>'Acct Summary 7-8'!F6</f>
        <v>183809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366584</v>
      </c>
      <c r="C2595" s="2" t="s">
        <v>573</v>
      </c>
      <c r="D2595" s="2" t="str">
        <f t="shared" si="39"/>
        <v>Error?</v>
      </c>
    </row>
    <row r="2596" spans="1:4" x14ac:dyDescent="0.2">
      <c r="A2596" s="5">
        <v>2535</v>
      </c>
      <c r="B2596" s="138">
        <f>'Acct Summary 7-8'!F13</f>
        <v>301205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88109</v>
      </c>
      <c r="C2599" s="2" t="s">
        <v>573</v>
      </c>
      <c r="D2599" s="2" t="str">
        <f t="shared" si="39"/>
        <v>Error?</v>
      </c>
    </row>
    <row r="2600" spans="1:4" x14ac:dyDescent="0.2">
      <c r="A2600" s="5">
        <v>2539</v>
      </c>
      <c r="B2600" s="138">
        <f>'Acct Summary 7-8'!F17</f>
        <v>389314</v>
      </c>
      <c r="C2600" s="2" t="s">
        <v>573</v>
      </c>
      <c r="D2600" s="2" t="str">
        <f t="shared" si="39"/>
        <v>Error?</v>
      </c>
    </row>
    <row r="2601" spans="1:4" x14ac:dyDescent="0.2">
      <c r="A2601" s="5">
        <v>2540</v>
      </c>
      <c r="B2601" s="138">
        <f>'Acct Summary 7-8'!F20</f>
        <v>-22730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233427</v>
      </c>
      <c r="C2603" s="2" t="s">
        <v>573</v>
      </c>
      <c r="D2603" s="2" t="str">
        <f t="shared" si="39"/>
        <v>Error?</v>
      </c>
    </row>
    <row r="2604" spans="1:4" x14ac:dyDescent="0.2">
      <c r="A2604" s="5">
        <v>2543</v>
      </c>
      <c r="B2604" s="138">
        <f>'Acct Summary 7-8'!G6</f>
        <v>1617</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235044</v>
      </c>
      <c r="C2606" s="2" t="s">
        <v>573</v>
      </c>
      <c r="D2606" s="2" t="str">
        <f t="shared" si="39"/>
        <v>Error?</v>
      </c>
    </row>
    <row r="2607" spans="1:4" x14ac:dyDescent="0.2">
      <c r="A2607" s="5">
        <v>2546</v>
      </c>
      <c r="B2607" s="138">
        <f>'Acct Summary 7-8'!G12</f>
        <v>77609</v>
      </c>
      <c r="C2607" s="2" t="s">
        <v>573</v>
      </c>
      <c r="D2607" s="2" t="str">
        <f t="shared" si="39"/>
        <v>Error?</v>
      </c>
    </row>
    <row r="2608" spans="1:4" x14ac:dyDescent="0.2">
      <c r="A2608" s="5">
        <v>2547</v>
      </c>
      <c r="B2608" s="138">
        <f>'Acct Summary 7-8'!G13</f>
        <v>107050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184659</v>
      </c>
      <c r="C2612" s="2" t="s">
        <v>573</v>
      </c>
      <c r="D2612" s="2" t="str">
        <f t="shared" si="39"/>
        <v>Error?</v>
      </c>
    </row>
    <row r="2613" spans="1:4" x14ac:dyDescent="0.2">
      <c r="A2613" s="5">
        <v>2552</v>
      </c>
      <c r="B2613" s="138">
        <f>'Acct Summary 7-8'!G20</f>
        <v>50385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380657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380657</v>
      </c>
      <c r="C2658" s="2" t="s">
        <v>573</v>
      </c>
      <c r="D2658" s="2" t="str">
        <f t="shared" si="40"/>
        <v>Error?</v>
      </c>
    </row>
    <row r="2659" spans="1:4" x14ac:dyDescent="0.2">
      <c r="A2659" s="5">
        <v>2598</v>
      </c>
      <c r="B2659" s="138">
        <f>'Acct Summary 7-8'!H13</f>
        <v>171216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171216</v>
      </c>
      <c r="C2661" s="2" t="s">
        <v>573</v>
      </c>
      <c r="D2661" s="2" t="str">
        <f t="shared" si="40"/>
        <v>Error?</v>
      </c>
    </row>
    <row r="2662" spans="1:4" x14ac:dyDescent="0.2">
      <c r="A2662" s="5">
        <v>2601</v>
      </c>
      <c r="B2662" s="138">
        <f>'Acct Summary 7-8'!H20</f>
        <v>209441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145612</v>
      </c>
      <c r="C2789" s="2" t="s">
        <v>573</v>
      </c>
      <c r="D2789" s="2" t="str">
        <f t="shared" si="42"/>
        <v>Error?</v>
      </c>
    </row>
    <row r="2790" spans="1:4" x14ac:dyDescent="0.2">
      <c r="A2790" s="5">
        <v>2729</v>
      </c>
      <c r="B2790" s="138">
        <f>'Expenditures 15-22'!E102</f>
        <v>145612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206807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97221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206807</v>
      </c>
      <c r="D2912" s="2" t="str">
        <f t="shared" si="44"/>
        <v>Error?</v>
      </c>
    </row>
    <row r="2913" spans="1:4" x14ac:dyDescent="0.2">
      <c r="A2913" s="5">
        <v>2852</v>
      </c>
      <c r="B2913" s="138">
        <f>'Assets-Liab 5-6'!I41</f>
        <v>206807</v>
      </c>
      <c r="C2913" s="2" t="s">
        <v>573</v>
      </c>
      <c r="D2913" s="2" t="str">
        <f t="shared" si="44"/>
        <v>Error?</v>
      </c>
    </row>
    <row r="2914" spans="1:4" x14ac:dyDescent="0.2">
      <c r="A2914" s="5">
        <v>2853</v>
      </c>
      <c r="B2914" s="138">
        <f>'Assets-Liab 5-6'!L33</f>
        <v>97221</v>
      </c>
      <c r="D2914" s="2" t="str">
        <f t="shared" si="44"/>
        <v>Error?</v>
      </c>
    </row>
    <row r="2915" spans="1:4" x14ac:dyDescent="0.2">
      <c r="A2915" s="10">
        <v>2854</v>
      </c>
      <c r="D2915" s="2" t="str">
        <f t="shared" si="44"/>
        <v>OK</v>
      </c>
    </row>
    <row r="2916" spans="1:4" x14ac:dyDescent="0.2">
      <c r="A2916" s="5">
        <v>2855</v>
      </c>
      <c r="B2916" s="138">
        <f>'Assets-Liab 5-6'!L34</f>
        <v>97221</v>
      </c>
      <c r="C2916" s="2" t="s">
        <v>573</v>
      </c>
      <c r="D2916" s="2" t="str">
        <f t="shared" si="44"/>
        <v>Error?</v>
      </c>
    </row>
    <row r="2917" spans="1:4" x14ac:dyDescent="0.2">
      <c r="A2917" s="5">
        <v>2856</v>
      </c>
      <c r="B2917" s="138">
        <f>'Assets-Liab 5-6'!L41</f>
        <v>97221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145612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41754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187366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93902</v>
      </c>
      <c r="D3055" s="2" t="str">
        <f t="shared" si="46"/>
        <v>Error?</v>
      </c>
    </row>
    <row r="3056" spans="1:4" x14ac:dyDescent="0.2">
      <c r="A3056" s="5">
        <v>2995</v>
      </c>
      <c r="B3056" s="138">
        <f>'Expenditures 15-22'!D10</f>
        <v>30927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124829</v>
      </c>
      <c r="C3062" s="2" t="s">
        <v>573</v>
      </c>
      <c r="D3062" s="2" t="str">
        <f t="shared" si="46"/>
        <v>Error?</v>
      </c>
    </row>
    <row r="3063" spans="1:4" x14ac:dyDescent="0.2">
      <c r="A3063" s="10">
        <v>3002</v>
      </c>
      <c r="D3063" s="2" t="str">
        <f t="shared" si="46"/>
        <v>OK</v>
      </c>
    </row>
    <row r="3064" spans="1:4" x14ac:dyDescent="0.2">
      <c r="A3064" s="5">
        <v>3003</v>
      </c>
      <c r="B3064" s="138">
        <f>'Expenditures 15-22'!D219</f>
        <v>4452</v>
      </c>
      <c r="D3064" s="2" t="str">
        <f t="shared" si="46"/>
        <v>Error?</v>
      </c>
    </row>
    <row r="3065" spans="1:4" x14ac:dyDescent="0.2">
      <c r="A3065" s="5">
        <v>3004</v>
      </c>
      <c r="B3065" s="138">
        <f>'Expenditures 15-22'!K219</f>
        <v>4452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36964</v>
      </c>
      <c r="C3225" s="2" t="s">
        <v>573</v>
      </c>
      <c r="D3225" s="2" t="str">
        <f t="shared" si="49"/>
        <v>Error?</v>
      </c>
    </row>
    <row r="3226" spans="1:4" x14ac:dyDescent="0.2">
      <c r="A3226" s="5">
        <v>3165</v>
      </c>
      <c r="B3226" s="138">
        <f>'Acct Summary 7-8'!I8</f>
        <v>36964</v>
      </c>
      <c r="C3226" s="2" t="s">
        <v>573</v>
      </c>
      <c r="D3226" s="2" t="str">
        <f t="shared" si="49"/>
        <v>Error?</v>
      </c>
    </row>
    <row r="3227" spans="1:4" x14ac:dyDescent="0.2">
      <c r="A3227" s="5">
        <v>3166</v>
      </c>
      <c r="B3227" s="138">
        <f>'Acct Summary 7-8'!I20</f>
        <v>36964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269967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-36159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-22730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50385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209441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36964</v>
      </c>
      <c r="C3320" s="2" t="s">
        <v>573</v>
      </c>
      <c r="D3320" s="2" t="str">
        <f t="shared" si="50"/>
        <v>Error?</v>
      </c>
    </row>
    <row r="3321" spans="1:4" x14ac:dyDescent="0.2">
      <c r="A3321" s="5">
        <v>3260</v>
      </c>
      <c r="B3321" s="138">
        <f>'Acct Summary 7-8'!I79</f>
        <v>169843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206807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399904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62010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466856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39968</v>
      </c>
      <c r="D3387" s="2" t="str">
        <f t="shared" si="51"/>
        <v>Error?</v>
      </c>
    </row>
    <row r="3388" spans="1:4" x14ac:dyDescent="0.2">
      <c r="A3388" s="5">
        <v>3327</v>
      </c>
      <c r="B3388" s="138">
        <f>'Expenditures 15-22'!D217</f>
        <v>23028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39968</v>
      </c>
      <c r="C3390" s="2" t="s">
        <v>573</v>
      </c>
      <c r="D3390" s="2" t="str">
        <f t="shared" si="51"/>
        <v>Error?</v>
      </c>
    </row>
    <row r="3391" spans="1:4" x14ac:dyDescent="0.2">
      <c r="A3391" s="5">
        <v>3330</v>
      </c>
      <c r="B3391" s="138">
        <f>'Expenditures 15-22'!K217</f>
        <v>23028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4558202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415424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184058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110421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577469</v>
      </c>
      <c r="D3425" s="2" t="str">
        <f t="shared" si="52"/>
        <v>Error?</v>
      </c>
    </row>
    <row r="3426" spans="1:4" x14ac:dyDescent="0.2">
      <c r="A3426" s="10">
        <v>3365</v>
      </c>
      <c r="D3426" s="2" t="str">
        <f t="shared" si="52"/>
        <v>OK</v>
      </c>
    </row>
    <row r="3427" spans="1:4" x14ac:dyDescent="0.2">
      <c r="A3427" s="5">
        <v>3366</v>
      </c>
      <c r="B3427" s="138">
        <f>'Assets-Liab 5-6'!I4</f>
        <v>156807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97221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140277</v>
      </c>
      <c r="C3446" s="2" t="s">
        <v>573</v>
      </c>
      <c r="D3446" s="2" t="str">
        <f t="shared" si="52"/>
        <v>Error?</v>
      </c>
    </row>
    <row r="3447" spans="1:4" x14ac:dyDescent="0.2">
      <c r="A3447" s="5">
        <v>3386</v>
      </c>
      <c r="B3447" s="138">
        <f>'Tax Sched 23'!D16</f>
        <v>111060</v>
      </c>
      <c r="C3447" s="2" t="s">
        <v>573</v>
      </c>
      <c r="D3447" s="2" t="str">
        <f t="shared" si="52"/>
        <v>Error?</v>
      </c>
    </row>
    <row r="3448" spans="1:4" x14ac:dyDescent="0.2">
      <c r="A3448" s="5">
        <v>3387</v>
      </c>
      <c r="B3448" s="138">
        <f>'Tax Sched 23'!C16</f>
        <v>29217</v>
      </c>
      <c r="D3448" s="2" t="str">
        <f t="shared" si="52"/>
        <v>Error?</v>
      </c>
    </row>
    <row r="3449" spans="1:4" x14ac:dyDescent="0.2">
      <c r="A3449" s="5">
        <v>3388</v>
      </c>
      <c r="B3449" s="138">
        <f>'Tax Sched 23'!F16</f>
        <v>112020</v>
      </c>
      <c r="C3449" s="2" t="s">
        <v>573</v>
      </c>
      <c r="D3449" s="2" t="str">
        <f t="shared" si="52"/>
        <v>Error?</v>
      </c>
    </row>
    <row r="3450" spans="1:4" x14ac:dyDescent="0.2">
      <c r="A3450" s="5">
        <v>3389</v>
      </c>
      <c r="B3450" s="138">
        <f>'Tax Sched 23'!E16</f>
        <v>141237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21487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21487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21487</v>
      </c>
      <c r="D3567" s="2" t="str">
        <f t="shared" si="54"/>
        <v>Error?</v>
      </c>
    </row>
    <row r="3568" spans="1:4" x14ac:dyDescent="0.2">
      <c r="A3568" s="5">
        <v>3507</v>
      </c>
      <c r="B3568" s="138">
        <f>'Assets-Liab 5-6'!K41</f>
        <v>21487</v>
      </c>
      <c r="C3568" s="2" t="s">
        <v>573</v>
      </c>
      <c r="D3568" s="2" t="str">
        <f t="shared" si="54"/>
        <v>Error?</v>
      </c>
    </row>
    <row r="3569" spans="1:4" x14ac:dyDescent="0.2">
      <c r="A3569" s="5">
        <v>3508</v>
      </c>
      <c r="B3569" s="138">
        <f>'Acct Summary 7-8'!K4</f>
        <v>61222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61222</v>
      </c>
      <c r="C3571" s="2" t="s">
        <v>573</v>
      </c>
      <c r="D3571" s="2" t="str">
        <f t="shared" si="54"/>
        <v>Error?</v>
      </c>
    </row>
    <row r="3572" spans="1:4" x14ac:dyDescent="0.2">
      <c r="A3572" s="5">
        <v>3511</v>
      </c>
      <c r="B3572" s="138">
        <f>'Acct Summary 7-8'!K13</f>
        <v>92781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92781</v>
      </c>
      <c r="C3575" s="2" t="s">
        <v>573</v>
      </c>
      <c r="D3575" s="2" t="str">
        <f t="shared" si="54"/>
        <v>Error?</v>
      </c>
    </row>
    <row r="3576" spans="1:4" x14ac:dyDescent="0.2">
      <c r="A3576" s="5">
        <v>3515</v>
      </c>
      <c r="B3576" s="138">
        <f>'Acct Summary 7-8'!K20</f>
        <v>-31559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-31559</v>
      </c>
      <c r="C3588" s="2" t="s">
        <v>573</v>
      </c>
      <c r="D3588" s="2" t="str">
        <f t="shared" si="55"/>
        <v>Error?</v>
      </c>
    </row>
    <row r="3589" spans="1:4" x14ac:dyDescent="0.2">
      <c r="A3589" s="5">
        <v>3528</v>
      </c>
      <c r="B3589" s="138">
        <f>'Acct Summary 7-8'!K79</f>
        <v>53046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21487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24781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24781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24781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68000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68000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68000</v>
      </c>
      <c r="C3649" s="2" t="s">
        <v>573</v>
      </c>
      <c r="D3649" s="2" t="str">
        <f t="shared" si="56"/>
        <v>Error?</v>
      </c>
    </row>
    <row r="3650" spans="1:4" x14ac:dyDescent="0.2">
      <c r="A3650" s="5">
        <v>3589</v>
      </c>
      <c r="B3650" s="138">
        <f>'Expenditures 15-22'!G367</f>
        <v>68000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92781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92781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92781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92781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-31559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11777</v>
      </c>
      <c r="C3725" s="2" t="s">
        <v>573</v>
      </c>
      <c r="D3725" s="2" t="str">
        <f t="shared" si="57"/>
        <v>Error?</v>
      </c>
    </row>
    <row r="3726" spans="1:4" x14ac:dyDescent="0.2">
      <c r="A3726" s="5">
        <v>3665</v>
      </c>
      <c r="B3726" s="138">
        <f>'Tax Sched 23'!D13</f>
        <v>14</v>
      </c>
      <c r="C3726" s="2" t="s">
        <v>573</v>
      </c>
      <c r="D3726" s="2" t="str">
        <f t="shared" si="57"/>
        <v>Error?</v>
      </c>
    </row>
    <row r="3727" spans="1:4" x14ac:dyDescent="0.2">
      <c r="A3727" s="5">
        <v>3666</v>
      </c>
      <c r="B3727" s="138">
        <f>'Tax Sched 23'!C13</f>
        <v>11763</v>
      </c>
      <c r="D3727" s="2" t="str">
        <f t="shared" si="57"/>
        <v>Error?</v>
      </c>
    </row>
    <row r="3728" spans="1:4" x14ac:dyDescent="0.2">
      <c r="A3728" s="5">
        <v>3667</v>
      </c>
      <c r="B3728" s="138">
        <f>'Tax Sched 23'!F13</f>
        <v>45101</v>
      </c>
      <c r="C3728" s="2" t="s">
        <v>573</v>
      </c>
      <c r="D3728" s="2" t="str">
        <f t="shared" si="57"/>
        <v>Error?</v>
      </c>
    </row>
    <row r="3729" spans="1:4" x14ac:dyDescent="0.2">
      <c r="A3729" s="5">
        <v>3668</v>
      </c>
      <c r="B3729" s="138">
        <f>'Tax Sched 23'!E13</f>
        <v>56864</v>
      </c>
      <c r="D3729" s="2" t="str">
        <f t="shared" si="57"/>
        <v>Error?</v>
      </c>
    </row>
    <row r="3730" spans="1:4" x14ac:dyDescent="0.2">
      <c r="A3730" s="5">
        <v>3669</v>
      </c>
      <c r="B3730" s="138">
        <f>'ICR Computation 30'!E10</f>
        <v>131181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2333420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8040288</v>
      </c>
      <c r="C4122" s="2" t="s">
        <v>573</v>
      </c>
      <c r="D4122" s="2" t="str">
        <f t="shared" si="63"/>
        <v>Error?</v>
      </c>
    </row>
    <row r="4123" spans="1:4" x14ac:dyDescent="0.2">
      <c r="A4123" s="5">
        <v>4062</v>
      </c>
      <c r="B4123" s="138">
        <f>'Acct Summary 7-8'!D10</f>
        <v>459638</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366584</v>
      </c>
      <c r="C4125" s="2" t="s">
        <v>573</v>
      </c>
      <c r="D4125" s="2" t="str">
        <f t="shared" si="63"/>
        <v>Error?</v>
      </c>
    </row>
    <row r="4126" spans="1:4" x14ac:dyDescent="0.2">
      <c r="A4126" s="5">
        <v>4065</v>
      </c>
      <c r="B4126" s="138">
        <f>'Acct Summary 7-8'!G10</f>
        <v>235044</v>
      </c>
      <c r="C4126" s="2" t="s">
        <v>573</v>
      </c>
      <c r="D4126" s="2" t="str">
        <f t="shared" si="63"/>
        <v>Error?</v>
      </c>
    </row>
    <row r="4127" spans="1:4" x14ac:dyDescent="0.2">
      <c r="A4127" s="5">
        <v>4066</v>
      </c>
      <c r="B4127" s="138">
        <f>'Acct Summary 7-8'!H10</f>
        <v>380657</v>
      </c>
      <c r="C4127" s="2" t="s">
        <v>573</v>
      </c>
      <c r="D4127" s="2" t="str">
        <f t="shared" si="63"/>
        <v>Error?</v>
      </c>
    </row>
    <row r="4128" spans="1:4" x14ac:dyDescent="0.2">
      <c r="A4128" s="5">
        <v>4067</v>
      </c>
      <c r="B4128" s="138">
        <f>'Acct Summary 7-8'!I10</f>
        <v>36964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61222</v>
      </c>
      <c r="C4130" s="2" t="s">
        <v>573</v>
      </c>
      <c r="D4130" s="2" t="str">
        <f t="shared" si="63"/>
        <v>Error?</v>
      </c>
    </row>
    <row r="4131" spans="1:4" x14ac:dyDescent="0.2">
      <c r="A4131" s="5">
        <v>4070</v>
      </c>
      <c r="B4131" s="138">
        <f>'Acct Summary 7-8'!C18</f>
        <v>2333420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7770321</v>
      </c>
      <c r="C4136" s="2" t="s">
        <v>573</v>
      </c>
      <c r="D4136" s="2" t="str">
        <f t="shared" si="63"/>
        <v>Error?</v>
      </c>
    </row>
    <row r="4137" spans="1:4" x14ac:dyDescent="0.2">
      <c r="A4137" s="5">
        <v>4076</v>
      </c>
      <c r="B4137" s="138">
        <f>'Acct Summary 7-8'!D19</f>
        <v>495797</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389314</v>
      </c>
      <c r="C4139" s="2" t="s">
        <v>573</v>
      </c>
      <c r="D4139" s="2" t="str">
        <f t="shared" si="63"/>
        <v>Error?</v>
      </c>
    </row>
    <row r="4140" spans="1:4" x14ac:dyDescent="0.2">
      <c r="A4140" s="5">
        <v>4079</v>
      </c>
      <c r="B4140" s="138">
        <f>'Acct Summary 7-8'!G19</f>
        <v>184659</v>
      </c>
      <c r="C4140" s="2" t="s">
        <v>573</v>
      </c>
      <c r="D4140" s="2" t="str">
        <f t="shared" si="63"/>
        <v>Error?</v>
      </c>
    </row>
    <row r="4141" spans="1:4" x14ac:dyDescent="0.2">
      <c r="A4141" s="5">
        <v>4080</v>
      </c>
      <c r="B4141" s="138">
        <f>'Acct Summary 7-8'!H19</f>
        <v>171216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92781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85185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85185</v>
      </c>
      <c r="D4210" s="2" t="str">
        <f t="shared" si="64"/>
        <v>Error?</v>
      </c>
    </row>
    <row r="4211" spans="1:4" x14ac:dyDescent="0.2">
      <c r="A4211" s="5">
        <v>4150</v>
      </c>
      <c r="B4211" s="138">
        <f>'Expenditures 15-22'!K206</f>
        <v>85185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3692.1299999999997</v>
      </c>
      <c r="C4265" s="2" t="s">
        <v>573</v>
      </c>
      <c r="D4265" s="2" t="str">
        <f t="shared" si="65"/>
        <v>Error?</v>
      </c>
      <c r="E4265" s="128"/>
    </row>
    <row r="4266" spans="1:5" x14ac:dyDescent="0.2">
      <c r="A4266" s="12">
        <v>4205</v>
      </c>
      <c r="B4266" s="138">
        <f>('FP Info 3'!F10)*100000</f>
        <v>533.91999999999996</v>
      </c>
      <c r="C4266" s="2" t="s">
        <v>573</v>
      </c>
      <c r="D4266" s="2" t="str">
        <f t="shared" si="65"/>
        <v>Error?</v>
      </c>
      <c r="E4266" s="128"/>
    </row>
    <row r="4267" spans="1:5" x14ac:dyDescent="0.2">
      <c r="A4267" s="12">
        <v>4206</v>
      </c>
      <c r="B4267" s="138">
        <f>('FP Info 3'!H10)*100000</f>
        <v>192.66</v>
      </c>
      <c r="C4267" s="2" t="s">
        <v>573</v>
      </c>
      <c r="D4267" s="2" t="str">
        <f t="shared" si="65"/>
        <v>Error?</v>
      </c>
      <c r="E4267" s="128"/>
    </row>
    <row r="4268" spans="1:5" x14ac:dyDescent="0.2">
      <c r="A4268" s="12">
        <v>4207</v>
      </c>
      <c r="B4268" s="138">
        <f>('FP Info 3'!J10)*100000</f>
        <v>4419</v>
      </c>
      <c r="C4268" s="2" t="s">
        <v>573</v>
      </c>
      <c r="D4268" s="2" t="str">
        <f t="shared" si="65"/>
        <v>Error?</v>
      </c>
    </row>
    <row r="4269" spans="1:5" x14ac:dyDescent="0.2">
      <c r="A4269" s="12">
        <v>4208</v>
      </c>
      <c r="B4269" s="138">
        <f>'FP Info 3'!J16</f>
        <v>5365122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9297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15101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1553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17402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39.15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36811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92767617</v>
      </c>
      <c r="D4995" s="2" t="str">
        <f t="shared" si="77"/>
        <v>Error?</v>
      </c>
    </row>
    <row r="4996" spans="1:4" x14ac:dyDescent="0.2">
      <c r="A4996" s="12">
        <v>4935</v>
      </c>
      <c r="B4996" s="138">
        <f>'FP Info 3'!H31</f>
        <v>12801931.146000002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11777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3306384</v>
      </c>
      <c r="D5061" s="2" t="str">
        <f t="shared" si="78"/>
        <v>Error?</v>
      </c>
    </row>
    <row r="5062" spans="1:4" x14ac:dyDescent="0.2">
      <c r="A5062" s="10">
        <v>5001</v>
      </c>
      <c r="D5062" s="2" t="str">
        <f t="shared" si="78"/>
        <v>OK</v>
      </c>
    </row>
    <row r="5063" spans="1:4" x14ac:dyDescent="0.2">
      <c r="A5063" s="5">
        <v>5002</v>
      </c>
      <c r="B5063" s="138">
        <f>'Revenues 9-14'!C7</f>
        <v>128817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3446978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121563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121563</v>
      </c>
      <c r="C5071" s="2" t="s">
        <v>573</v>
      </c>
      <c r="D5071" s="2" t="str">
        <f t="shared" si="78"/>
        <v>Error?</v>
      </c>
    </row>
    <row r="5072" spans="1:4" x14ac:dyDescent="0.2">
      <c r="A5072" s="5">
        <v>5011</v>
      </c>
      <c r="B5072" s="138">
        <f>'Revenues 9-14'!C20</f>
        <v>13042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13042</v>
      </c>
      <c r="C5087" s="2" t="s">
        <v>573</v>
      </c>
      <c r="D5087" s="2" t="str">
        <f t="shared" si="78"/>
        <v>Error?</v>
      </c>
    </row>
    <row r="5088" spans="1:4" x14ac:dyDescent="0.2">
      <c r="A5088" s="5">
        <v>5027</v>
      </c>
      <c r="B5088" s="138">
        <f>'Revenues 9-14'!C65</f>
        <v>71068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71068</v>
      </c>
      <c r="C5090" s="2" t="s">
        <v>573</v>
      </c>
      <c r="D5090" s="2" t="str">
        <f t="shared" si="78"/>
        <v>Error?</v>
      </c>
    </row>
    <row r="5091" spans="1:4" x14ac:dyDescent="0.2">
      <c r="A5091" s="5">
        <v>5030</v>
      </c>
      <c r="B5091" s="138">
        <f>'Revenues 9-14'!C70</f>
        <v>3556</v>
      </c>
      <c r="D5091" s="2" t="str">
        <f t="shared" si="78"/>
        <v>Error?</v>
      </c>
    </row>
    <row r="5092" spans="1:4" x14ac:dyDescent="0.2">
      <c r="A5092" s="5">
        <v>5031</v>
      </c>
      <c r="B5092" s="138">
        <f>'Revenues 9-14'!C71</f>
        <v>44206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88</v>
      </c>
      <c r="D5095" s="2" t="str">
        <f t="shared" si="78"/>
        <v>Error?</v>
      </c>
    </row>
    <row r="5096" spans="1:4" x14ac:dyDescent="0.2">
      <c r="A5096" s="5">
        <v>5035</v>
      </c>
      <c r="B5096" s="138">
        <f>'Revenues 9-14'!C75</f>
        <v>135084</v>
      </c>
      <c r="C5096" s="2" t="s">
        <v>573</v>
      </c>
      <c r="D5096" s="2" t="str">
        <f t="shared" si="78"/>
        <v>Error?</v>
      </c>
    </row>
    <row r="5097" spans="1:4" x14ac:dyDescent="0.2">
      <c r="A5097" s="5">
        <v>5036</v>
      </c>
      <c r="B5097" s="138">
        <f>'Revenues 9-14'!C77</f>
        <v>27018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25568</v>
      </c>
      <c r="D5099" s="2" t="str">
        <f t="shared" si="78"/>
        <v>Error?</v>
      </c>
    </row>
    <row r="5100" spans="1:4" x14ac:dyDescent="0.2">
      <c r="A5100" s="5">
        <v>5039</v>
      </c>
      <c r="B5100" s="138">
        <f>'Revenues 9-14'!C80</f>
        <v>63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52649</v>
      </c>
      <c r="C5102" s="2" t="s">
        <v>573</v>
      </c>
      <c r="D5102" s="2" t="str">
        <f t="shared" si="78"/>
        <v>Error?</v>
      </c>
    </row>
    <row r="5103" spans="1:4" x14ac:dyDescent="0.2">
      <c r="A5103" s="5">
        <v>5042</v>
      </c>
      <c r="B5103" s="138">
        <f>'Revenues 9-14'!C84</f>
        <v>22812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22812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38184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342</v>
      </c>
      <c r="D5119" s="2" t="str">
        <f t="shared" ref="D5119:D5182" si="79">IF(ISBLANK(B5119),"OK",IF(A5119-B5119=0,"OK","Error?"))</f>
        <v>Error?</v>
      </c>
    </row>
    <row r="5120" spans="1:4" x14ac:dyDescent="0.2">
      <c r="A5120" s="5">
        <v>5059</v>
      </c>
      <c r="B5120" s="138">
        <f>'Revenues 9-14'!C108</f>
        <v>55602</v>
      </c>
      <c r="C5120" s="2" t="s">
        <v>573</v>
      </c>
      <c r="D5120" s="2" t="str">
        <f t="shared" si="79"/>
        <v>Error?</v>
      </c>
    </row>
    <row r="5121" spans="1:4" x14ac:dyDescent="0.2">
      <c r="A5121" s="5">
        <v>5060</v>
      </c>
      <c r="B5121" s="138">
        <f>'Revenues 9-14'!C109</f>
        <v>3918798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1260924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1260924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8692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2020</v>
      </c>
      <c r="D5167" s="2" t="str">
        <f t="shared" si="79"/>
        <v>Error?</v>
      </c>
    </row>
    <row r="5168" spans="1:4" x14ac:dyDescent="0.2">
      <c r="A5168" s="5">
        <v>5107</v>
      </c>
      <c r="B5168" s="138">
        <f>'Revenues 9-14'!C148</f>
        <v>9850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25547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47119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1308043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36811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110454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20726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131180</v>
      </c>
      <c r="C5246" s="2" t="s">
        <v>573</v>
      </c>
      <c r="D5246" s="2" t="str">
        <f t="shared" si="80"/>
        <v>Error?</v>
      </c>
    </row>
    <row r="5247" spans="1:4" x14ac:dyDescent="0.2">
      <c r="A5247" s="5">
        <v>5186</v>
      </c>
      <c r="B5247" s="138">
        <f>'Revenues 9-14'!C200</f>
        <v>113529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1553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113529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10949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144205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155154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443216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480027</v>
      </c>
      <c r="C5326" s="2" t="s">
        <v>573</v>
      </c>
      <c r="D5326" s="2" t="str">
        <f t="shared" si="82"/>
        <v>Error?</v>
      </c>
    </row>
    <row r="5327" spans="1:5" x14ac:dyDescent="0.2">
      <c r="A5327" s="5">
        <v>5266</v>
      </c>
      <c r="B5327" s="138">
        <f>'Revenues 9-14'!C268</f>
        <v>5706868</v>
      </c>
      <c r="C5327" s="2" t="s">
        <v>573</v>
      </c>
      <c r="D5327" s="2" t="str">
        <f t="shared" si="82"/>
        <v>Error?</v>
      </c>
    </row>
    <row r="5328" spans="1:5" x14ac:dyDescent="0.2">
      <c r="A5328" s="5">
        <v>5267</v>
      </c>
      <c r="B5328" s="138">
        <f>'Revenues 9-14'!D5</f>
        <v>450054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450054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6822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1342</v>
      </c>
      <c r="D5354" s="2" t="str">
        <f t="shared" si="82"/>
        <v>Error?</v>
      </c>
    </row>
    <row r="5355" spans="1:4" x14ac:dyDescent="0.2">
      <c r="A5355" s="5">
        <v>5294</v>
      </c>
      <c r="B5355" s="138">
        <f>'Revenues 9-14'!D108</f>
        <v>1620</v>
      </c>
      <c r="C5355" s="2" t="s">
        <v>573</v>
      </c>
      <c r="D5355" s="2" t="str">
        <f t="shared" si="82"/>
        <v>Error?</v>
      </c>
    </row>
    <row r="5356" spans="1:4" x14ac:dyDescent="0.2">
      <c r="A5356" s="5">
        <v>5295</v>
      </c>
      <c r="B5356" s="138">
        <f>'Revenues 9-14'!D109</f>
        <v>458496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1142</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1142</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1142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459638</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172527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172527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945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945</v>
      </c>
      <c r="C5579" s="2" t="s">
        <v>573</v>
      </c>
      <c r="D5579" s="2" t="str">
        <f t="shared" si="86"/>
        <v>Error?</v>
      </c>
    </row>
    <row r="5580" spans="1:4" x14ac:dyDescent="0.2">
      <c r="A5580" s="5">
        <v>5519</v>
      </c>
      <c r="B5580" s="138">
        <f>'Revenues 9-14'!F65</f>
        <v>2507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2507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6235</v>
      </c>
      <c r="D5585" s="2" t="str">
        <f t="shared" si="86"/>
        <v>Error?</v>
      </c>
    </row>
    <row r="5586" spans="1:4" x14ac:dyDescent="0.2">
      <c r="A5586" s="5">
        <v>5525</v>
      </c>
      <c r="B5586" s="138">
        <f>'Revenues 9-14'!F107</f>
        <v>561</v>
      </c>
      <c r="D5586" s="2" t="str">
        <f t="shared" si="86"/>
        <v>Error?</v>
      </c>
    </row>
    <row r="5587" spans="1:4" x14ac:dyDescent="0.2">
      <c r="A5587" s="5">
        <v>5526</v>
      </c>
      <c r="B5587" s="138">
        <f>'Revenues 9-14'!F108</f>
        <v>6796</v>
      </c>
      <c r="C5587" s="2" t="s">
        <v>573</v>
      </c>
      <c r="D5587" s="2" t="str">
        <f t="shared" si="86"/>
        <v>Error?</v>
      </c>
    </row>
    <row r="5588" spans="1:4" x14ac:dyDescent="0.2">
      <c r="A5588" s="5">
        <v>5527</v>
      </c>
      <c r="B5588" s="138">
        <f>'Revenues 9-14'!F109</f>
        <v>182775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164285</v>
      </c>
      <c r="D5615" s="2" t="str">
        <f t="shared" si="86"/>
        <v>Error?</v>
      </c>
    </row>
    <row r="5616" spans="1:4" x14ac:dyDescent="0.2">
      <c r="A5616" s="10">
        <v>5555</v>
      </c>
      <c r="D5616" s="2" t="str">
        <f t="shared" si="86"/>
        <v>OK</v>
      </c>
    </row>
    <row r="5617" spans="1:5" x14ac:dyDescent="0.2">
      <c r="A5617" s="5">
        <v>5556</v>
      </c>
      <c r="B5617" s="138">
        <f>'Revenues 9-14'!F153</f>
        <v>6636</v>
      </c>
      <c r="D5617" s="2" t="str">
        <f t="shared" si="86"/>
        <v>Error?</v>
      </c>
    </row>
    <row r="5618" spans="1:5" x14ac:dyDescent="0.2">
      <c r="A5618" s="5">
        <v>5557</v>
      </c>
      <c r="B5618" s="138">
        <f>'Revenues 9-14'!F155</f>
        <v>170921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12888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183809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183809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366584</v>
      </c>
      <c r="C5720" s="2" t="s">
        <v>573</v>
      </c>
      <c r="D5720" s="2" t="str">
        <f t="shared" si="88"/>
        <v>Error?</v>
      </c>
    </row>
    <row r="5721" spans="1:4" x14ac:dyDescent="0.2">
      <c r="A5721" s="5">
        <v>5660</v>
      </c>
      <c r="B5721" s="138">
        <f>'Revenues 9-14'!G5</f>
        <v>90176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140277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230453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1974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1974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1617</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1617</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1617</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235044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6228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6228</v>
      </c>
      <c r="C5881" s="2" t="s">
        <v>573</v>
      </c>
      <c r="D5881" s="2" t="str">
        <f t="shared" si="90"/>
        <v>Error?</v>
      </c>
    </row>
    <row r="5882" spans="1:4" x14ac:dyDescent="0.2">
      <c r="A5882" s="5">
        <v>5821</v>
      </c>
      <c r="B5882" s="138">
        <f>'Revenues 9-14'!H96</f>
        <v>2425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374429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380657</v>
      </c>
      <c r="C5915" s="2" t="s">
        <v>573</v>
      </c>
      <c r="D5915" s="2" t="str">
        <f t="shared" si="91"/>
        <v>Error?</v>
      </c>
    </row>
    <row r="5916" spans="1:4" x14ac:dyDescent="0.2">
      <c r="A5916" s="5">
        <v>5855</v>
      </c>
      <c r="B5916" s="138">
        <f>'Revenues 9-14'!I5</f>
        <v>35057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35057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1907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1907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36964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60981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60981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61222</v>
      </c>
      <c r="C6023" s="2" t="s">
        <v>573</v>
      </c>
      <c r="D6023" s="2" t="str">
        <f t="shared" si="93"/>
        <v>Error?</v>
      </c>
    </row>
    <row r="6024" spans="1:5" x14ac:dyDescent="0.2">
      <c r="A6024" s="5">
        <v>5963</v>
      </c>
      <c r="B6024" s="138">
        <f>'Revenues 9-14'!G109</f>
        <v>233427</v>
      </c>
      <c r="C6024" s="2" t="s">
        <v>573</v>
      </c>
      <c r="D6024" s="2" t="str">
        <f t="shared" si="93"/>
        <v>Error?</v>
      </c>
    </row>
    <row r="6025" spans="1:5" x14ac:dyDescent="0.2">
      <c r="A6025" s="5">
        <v>5964</v>
      </c>
      <c r="B6025" s="138">
        <f>'Revenues 9-14'!H109</f>
        <v>380657</v>
      </c>
      <c r="C6025" s="2" t="s">
        <v>573</v>
      </c>
      <c r="D6025" s="2" t="str">
        <f t="shared" si="93"/>
        <v>Error?</v>
      </c>
    </row>
    <row r="6026" spans="1:5" x14ac:dyDescent="0.2">
      <c r="A6026" s="5">
        <v>5965</v>
      </c>
      <c r="B6026" s="138">
        <f>'Revenues 9-14'!I109</f>
        <v>36964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61222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87234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24322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532.20000000000005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50000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435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38470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50000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38470</v>
      </c>
      <c r="D6215" s="2" t="str">
        <f t="shared" si="96"/>
        <v>Error?</v>
      </c>
      <c r="E6215" s="2" t="s">
        <v>190</v>
      </c>
    </row>
    <row r="6216" spans="1:5" x14ac:dyDescent="0.2">
      <c r="A6216">
        <v>6155</v>
      </c>
      <c r="B6216" s="138">
        <f>'Assets-Liab 5-6'!J41</f>
        <v>38470</v>
      </c>
      <c r="D6216" s="2" t="str">
        <f t="shared" si="96"/>
        <v>Error?</v>
      </c>
      <c r="E6216" s="2" t="s">
        <v>190</v>
      </c>
    </row>
    <row r="6217" spans="1:5" x14ac:dyDescent="0.2">
      <c r="A6217">
        <v>6156</v>
      </c>
      <c r="B6217" s="138">
        <f>'Assets-Liab 5-6'!J4</f>
        <v>38470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149929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149929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149929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143983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143983</v>
      </c>
      <c r="D6229" s="2" t="str">
        <f t="shared" si="96"/>
        <v>Error?</v>
      </c>
      <c r="E6229" s="2" t="s">
        <v>190</v>
      </c>
    </row>
    <row r="6230" spans="1:5" x14ac:dyDescent="0.2">
      <c r="A6230">
        <v>6169</v>
      </c>
      <c r="B6230" s="138">
        <f>'Acct Summary 7-8'!J20</f>
        <v>5946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5946</v>
      </c>
      <c r="D6263" s="2" t="str">
        <f t="shared" si="96"/>
        <v>Error?</v>
      </c>
      <c r="E6263" s="2" t="s">
        <v>190</v>
      </c>
    </row>
    <row r="6264" spans="1:5" x14ac:dyDescent="0.2">
      <c r="A6264">
        <v>6203</v>
      </c>
      <c r="B6264" s="138">
        <f>'Acct Summary 7-8'!J79</f>
        <v>32524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38470</v>
      </c>
      <c r="D6266" s="2" t="str">
        <f t="shared" si="96"/>
        <v>Error?</v>
      </c>
      <c r="E6266" s="2" t="s">
        <v>190</v>
      </c>
    </row>
    <row r="6267" spans="1:5" x14ac:dyDescent="0.2">
      <c r="A6267">
        <v>6206</v>
      </c>
      <c r="B6267" s="138">
        <f>'Acct Summary 7-8'!C82</f>
        <v>269967</v>
      </c>
      <c r="D6267" s="2" t="str">
        <f t="shared" si="96"/>
        <v>Error?</v>
      </c>
      <c r="E6267" s="2" t="s">
        <v>190</v>
      </c>
    </row>
    <row r="6268" spans="1:5" x14ac:dyDescent="0.2">
      <c r="A6268">
        <v>6207</v>
      </c>
      <c r="B6268" s="138">
        <f>'Acct Summary 7-8'!D82</f>
        <v>-36159</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-22730</v>
      </c>
      <c r="D6270" s="2" t="str">
        <f t="shared" si="96"/>
        <v>Error?</v>
      </c>
      <c r="E6270" s="2" t="s">
        <v>190</v>
      </c>
    </row>
    <row r="6271" spans="1:5" x14ac:dyDescent="0.2">
      <c r="A6271">
        <v>6210</v>
      </c>
      <c r="B6271" s="138">
        <f>'Acct Summary 7-8'!G82</f>
        <v>50385</v>
      </c>
      <c r="D6271" s="2" t="str">
        <f t="shared" ref="D6271:D6334" si="97">IF(ISBLANK(B6271),"OK",IF(A6271-B6271=0,"OK","Error?"))</f>
        <v>Error?</v>
      </c>
      <c r="E6271" s="2" t="s">
        <v>190</v>
      </c>
    </row>
    <row r="6272" spans="1:5" x14ac:dyDescent="0.2">
      <c r="A6272">
        <v>6211</v>
      </c>
      <c r="B6272" s="138">
        <f>'Acct Summary 7-8'!H82</f>
        <v>209441</v>
      </c>
      <c r="D6272" s="2" t="str">
        <f t="shared" si="97"/>
        <v>Error?</v>
      </c>
      <c r="E6272" s="2" t="s">
        <v>190</v>
      </c>
    </row>
    <row r="6273" spans="1:5" x14ac:dyDescent="0.2">
      <c r="A6273">
        <v>6212</v>
      </c>
      <c r="B6273" s="138">
        <f>'Acct Summary 7-8'!I82</f>
        <v>36964</v>
      </c>
      <c r="D6273" s="2" t="str">
        <f t="shared" si="97"/>
        <v>Error?</v>
      </c>
      <c r="E6273" s="2" t="s">
        <v>190</v>
      </c>
    </row>
    <row r="6274" spans="1:5" x14ac:dyDescent="0.2">
      <c r="A6274">
        <v>6213</v>
      </c>
      <c r="B6274" s="138">
        <f>'Acct Summary 7-8'!J82</f>
        <v>5946</v>
      </c>
      <c r="D6274" s="2" t="str">
        <f t="shared" si="97"/>
        <v>Error?</v>
      </c>
      <c r="E6274" s="2" t="s">
        <v>190</v>
      </c>
    </row>
    <row r="6275" spans="1:5" x14ac:dyDescent="0.2">
      <c r="A6275">
        <v>6214</v>
      </c>
      <c r="B6275" s="138">
        <f>'Acct Summary 7-8'!K82</f>
        <v>-31559</v>
      </c>
      <c r="D6275" s="2" t="str">
        <f t="shared" si="97"/>
        <v>Error?</v>
      </c>
      <c r="E6275" s="2" t="s">
        <v>190</v>
      </c>
    </row>
    <row r="6276" spans="1:5" x14ac:dyDescent="0.2">
      <c r="A6276">
        <v>6215</v>
      </c>
      <c r="B6276" s="138">
        <f>'Acct Summary 7-8'!C83</f>
        <v>5.9218626578506406E-2</v>
      </c>
      <c r="D6276" s="2" t="str">
        <f t="shared" si="97"/>
        <v>Error?</v>
      </c>
      <c r="E6276" s="2" t="s">
        <v>190</v>
      </c>
    </row>
    <row r="6277" spans="1:5" x14ac:dyDescent="0.2">
      <c r="A6277">
        <v>6216</v>
      </c>
      <c r="B6277" s="138">
        <f>'Acct Summary 7-8'!D83</f>
        <v>-8.70399345256722E-2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-0.1234883139743353</v>
      </c>
      <c r="D6279" s="2" t="str">
        <f t="shared" si="97"/>
        <v>Error?</v>
      </c>
      <c r="E6279" s="2" t="s">
        <v>190</v>
      </c>
    </row>
    <row r="6280" spans="1:5" x14ac:dyDescent="0.2">
      <c r="A6280">
        <v>6219</v>
      </c>
      <c r="B6280" s="138">
        <f>'Acct Summary 7-8'!G83</f>
        <v>0.83389881001638499</v>
      </c>
      <c r="D6280" s="2" t="str">
        <f t="shared" si="97"/>
        <v>Error?</v>
      </c>
      <c r="E6280" s="2" t="s">
        <v>190</v>
      </c>
    </row>
    <row r="6281" spans="1:5" x14ac:dyDescent="0.2">
      <c r="A6281">
        <v>6220</v>
      </c>
      <c r="B6281" s="138">
        <f>'Acct Summary 7-8'!H83</f>
        <v>0.36268786722750485</v>
      </c>
      <c r="D6281" s="2" t="str">
        <f t="shared" si="97"/>
        <v>Error?</v>
      </c>
      <c r="E6281" s="2" t="s">
        <v>190</v>
      </c>
    </row>
    <row r="6282" spans="1:5" x14ac:dyDescent="0.2">
      <c r="A6282">
        <v>6221</v>
      </c>
      <c r="B6282" s="138">
        <f>'Acct Summary 7-8'!I83</f>
        <v>0.1787366965334829</v>
      </c>
      <c r="D6282" s="2" t="str">
        <f t="shared" si="97"/>
        <v>Error?</v>
      </c>
      <c r="E6282" s="2" t="s">
        <v>190</v>
      </c>
    </row>
    <row r="6283" spans="1:5" x14ac:dyDescent="0.2">
      <c r="A6283">
        <v>6222</v>
      </c>
      <c r="B6283" s="138">
        <f>'Acct Summary 7-8'!J83</f>
        <v>0.15456199636080062</v>
      </c>
      <c r="D6283" s="2" t="str">
        <f t="shared" si="97"/>
        <v>Error?</v>
      </c>
      <c r="E6283" s="2" t="s">
        <v>190</v>
      </c>
    </row>
    <row r="6284" spans="1:5" x14ac:dyDescent="0.2">
      <c r="A6284">
        <v>6223</v>
      </c>
      <c r="B6284" s="138">
        <f>'Acct Summary 7-8'!K83</f>
        <v>-1.4687485456322427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148839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148839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1090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1090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13675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2100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149929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8692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134298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9000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169518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12359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37719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9000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10065</v>
      </c>
      <c r="D6983" s="2" t="str">
        <f t="shared" si="108"/>
        <v>Error?</v>
      </c>
    </row>
    <row r="6984" spans="1:4" x14ac:dyDescent="0.2">
      <c r="A6984">
        <v>6923</v>
      </c>
      <c r="B6984" s="138">
        <f>'Expenditures 15-22'!K86</f>
        <v>10065</v>
      </c>
      <c r="D6984" s="2" t="str">
        <f t="shared" si="108"/>
        <v>Error?</v>
      </c>
    </row>
    <row r="6985" spans="1:4" x14ac:dyDescent="0.2">
      <c r="A6985">
        <v>6924</v>
      </c>
      <c r="B6985" s="138">
        <f>'Expenditures 15-22'!H87</f>
        <v>3162</v>
      </c>
      <c r="D6985" s="2" t="str">
        <f t="shared" si="108"/>
        <v>Error?</v>
      </c>
    </row>
    <row r="6986" spans="1:4" x14ac:dyDescent="0.2">
      <c r="A6986">
        <v>6925</v>
      </c>
      <c r="B6986" s="138">
        <f>'Expenditures 15-22'!K87</f>
        <v>3162</v>
      </c>
      <c r="D6986" s="2" t="str">
        <f t="shared" si="108"/>
        <v>Error?</v>
      </c>
    </row>
    <row r="6987" spans="1:4" x14ac:dyDescent="0.2">
      <c r="A6987">
        <v>6926</v>
      </c>
      <c r="B6987" s="138">
        <f>'Expenditures 15-22'!H88</f>
        <v>44318</v>
      </c>
      <c r="D6987" s="2" t="str">
        <f t="shared" si="108"/>
        <v>Error?</v>
      </c>
    </row>
    <row r="6988" spans="1:4" x14ac:dyDescent="0.2">
      <c r="A6988">
        <v>6927</v>
      </c>
      <c r="B6988" s="138">
        <f>'Expenditures 15-22'!K88</f>
        <v>44318</v>
      </c>
      <c r="D6988" s="2" t="str">
        <f t="shared" si="108"/>
        <v>Error?</v>
      </c>
    </row>
    <row r="6989" spans="1:4" x14ac:dyDescent="0.2">
      <c r="A6989">
        <v>6928</v>
      </c>
      <c r="B6989" s="138">
        <f>'Expenditures 15-22'!H89</f>
        <v>11940</v>
      </c>
      <c r="D6989" s="2" t="str">
        <f t="shared" si="108"/>
        <v>Error?</v>
      </c>
    </row>
    <row r="6990" spans="1:4" x14ac:dyDescent="0.2">
      <c r="A6990">
        <v>6929</v>
      </c>
      <c r="B6990" s="138">
        <f>'Expenditures 15-22'!K89</f>
        <v>11940</v>
      </c>
      <c r="D6990" s="2" t="str">
        <f t="shared" si="108"/>
        <v>Error?</v>
      </c>
    </row>
    <row r="6991" spans="1:4" x14ac:dyDescent="0.2">
      <c r="A6991">
        <v>6930</v>
      </c>
      <c r="B6991" s="138">
        <f>'Expenditures 15-22'!H90</f>
        <v>12000</v>
      </c>
      <c r="D6991" s="2" t="str">
        <f t="shared" si="108"/>
        <v>Error?</v>
      </c>
    </row>
    <row r="6992" spans="1:4" x14ac:dyDescent="0.2">
      <c r="A6992">
        <v>6931</v>
      </c>
      <c r="B6992" s="138">
        <f>'Expenditures 15-22'!K90</f>
        <v>12000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81485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9000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143983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149929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2924</v>
      </c>
      <c r="D7067" s="2" t="str">
        <f t="shared" si="109"/>
        <v>Error?</v>
      </c>
    </row>
    <row r="7068" spans="1:4" x14ac:dyDescent="0.2">
      <c r="A7068">
        <v>7007</v>
      </c>
      <c r="B7068" s="138">
        <f>'Expenditures 15-22'!K205</f>
        <v>2924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2909</v>
      </c>
      <c r="D7073" s="2" t="str">
        <f t="shared" si="109"/>
        <v>Error?</v>
      </c>
    </row>
    <row r="7074" spans="1:4" x14ac:dyDescent="0.2">
      <c r="A7074">
        <v>7013</v>
      </c>
      <c r="B7074" s="138">
        <f>'Expenditures 15-22'!K216</f>
        <v>2909</v>
      </c>
      <c r="D7074" s="2" t="str">
        <f t="shared" si="109"/>
        <v>Error?</v>
      </c>
    </row>
    <row r="7075" spans="1:4" x14ac:dyDescent="0.2">
      <c r="A7075">
        <v>7014</v>
      </c>
      <c r="B7075" s="138">
        <f>'Expenditures 15-22'!D218</f>
        <v>1740</v>
      </c>
      <c r="D7075" s="2" t="str">
        <f t="shared" si="109"/>
        <v>Error?</v>
      </c>
    </row>
    <row r="7076" spans="1:4" x14ac:dyDescent="0.2">
      <c r="A7076">
        <v>7015</v>
      </c>
      <c r="B7076" s="138">
        <f>'Expenditures 15-22'!K218</f>
        <v>1740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508</v>
      </c>
      <c r="D7079" s="2" t="str">
        <f t="shared" si="109"/>
        <v>Error?</v>
      </c>
    </row>
    <row r="7080" spans="1:4" x14ac:dyDescent="0.2">
      <c r="A7080">
        <v>7019</v>
      </c>
      <c r="B7080" s="138">
        <f>'Expenditures 15-22'!K226</f>
        <v>508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22866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22866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1447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1447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41724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41724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67067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67067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10879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10879</v>
      </c>
      <c r="D7198" s="2" t="str">
        <f t="shared" si="111"/>
        <v>Error?</v>
      </c>
    </row>
    <row r="7199" spans="1:4" x14ac:dyDescent="0.2">
      <c r="A7199">
        <v>7138</v>
      </c>
      <c r="B7199" s="138">
        <f>'Expenditures 15-22'!C330</f>
        <v>67067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76916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143983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67067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76916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143983</v>
      </c>
      <c r="D7224" s="2" t="str">
        <f t="shared" si="111"/>
        <v>Error?</v>
      </c>
    </row>
    <row r="7225" spans="1:4" x14ac:dyDescent="0.2">
      <c r="A7225">
        <v>7164</v>
      </c>
      <c r="B7225" s="138">
        <f>'Expenditures 15-22'!K343</f>
        <v>5946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33946</v>
      </c>
      <c r="D7246" s="2" t="str">
        <f t="shared" si="112"/>
        <v>Error?</v>
      </c>
    </row>
    <row r="7247" spans="1:4" x14ac:dyDescent="0.2">
      <c r="A7247">
        <f t="shared" si="113"/>
        <v>7186</v>
      </c>
      <c r="B7247" s="138">
        <f>'Expenditures 15-22'!E7</f>
        <v>136</v>
      </c>
      <c r="D7247" s="2" t="str">
        <f t="shared" si="112"/>
        <v>Error?</v>
      </c>
    </row>
    <row r="7248" spans="1:4" x14ac:dyDescent="0.2">
      <c r="A7248">
        <f t="shared" si="113"/>
        <v>7187</v>
      </c>
      <c r="B7248" s="138">
        <f>'Expenditures 15-22'!F7</f>
        <v>1138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12359</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35009</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2000</v>
      </c>
      <c r="D7265" s="2" t="str">
        <f t="shared" si="112"/>
        <v>Error?</v>
      </c>
    </row>
    <row r="7266" spans="1:5" x14ac:dyDescent="0.2">
      <c r="A7266">
        <f t="shared" si="113"/>
        <v>7205</v>
      </c>
      <c r="B7266" s="138">
        <f>'Expenditures 15-22'!F17</f>
        <v>710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268891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368028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6228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2100</v>
      </c>
      <c r="D7712" s="2" t="str">
        <f t="shared" si="126"/>
        <v>Error?</v>
      </c>
      <c r="E7712" s="2" t="s">
        <v>827</v>
      </c>
    </row>
    <row r="7713" spans="1:6" x14ac:dyDescent="0.2">
      <c r="A7713">
        <v>7652</v>
      </c>
      <c r="B7713" s="138">
        <f>'Rest Tax Levies-Tort Im 25'!J8</f>
        <v>372004</v>
      </c>
      <c r="D7713" s="2" t="str">
        <f t="shared" si="126"/>
        <v>Error?</v>
      </c>
      <c r="E7713" s="2" t="s">
        <v>827</v>
      </c>
    </row>
    <row r="7714" spans="1:6" x14ac:dyDescent="0.2">
      <c r="A7714">
        <v>7653</v>
      </c>
      <c r="B7714" s="138">
        <f>'Rest Tax Levies-Tort Im 25'!K9</f>
        <v>9850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378232</v>
      </c>
      <c r="D7718" s="2" t="str">
        <f t="shared" si="126"/>
        <v>Error?</v>
      </c>
      <c r="E7718" s="2" t="s">
        <v>827</v>
      </c>
    </row>
    <row r="7719" spans="1:6" x14ac:dyDescent="0.2">
      <c r="A7719">
        <v>7658</v>
      </c>
      <c r="B7719" s="138">
        <f>'Rest Tax Levies-Tort Im 25'!K12</f>
        <v>11950</v>
      </c>
      <c r="D7719" s="2" t="str">
        <f t="shared" si="126"/>
        <v>Error?</v>
      </c>
      <c r="E7719" s="2" t="s">
        <v>827</v>
      </c>
    </row>
    <row r="7720" spans="1:6" x14ac:dyDescent="0.2">
      <c r="A7720">
        <v>7659</v>
      </c>
      <c r="B7720" s="138">
        <f>'Rest Tax Levies-Tort Im 25'!H14</f>
        <v>128887</v>
      </c>
      <c r="D7720" s="2" t="str">
        <f t="shared" si="126"/>
        <v>Error?</v>
      </c>
      <c r="E7720" s="2" t="s">
        <v>827</v>
      </c>
    </row>
    <row r="7721" spans="1:6" x14ac:dyDescent="0.2">
      <c r="A7721">
        <v>7660</v>
      </c>
      <c r="B7721" s="138">
        <f>'Rest Tax Levies-Tort Im 25'!K14</f>
        <v>11950</v>
      </c>
      <c r="D7721" s="2" t="str">
        <f t="shared" si="126"/>
        <v>Error?</v>
      </c>
      <c r="E7721" s="2" t="s">
        <v>827</v>
      </c>
    </row>
    <row r="7722" spans="1:6" x14ac:dyDescent="0.2">
      <c r="A7722">
        <v>7661</v>
      </c>
      <c r="B7722" s="138">
        <f>'Rest Tax Levies-Tort Im 25'!J15</f>
        <v>168791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168791</v>
      </c>
      <c r="D7730" s="2" t="str">
        <f t="shared" si="126"/>
        <v>Error?</v>
      </c>
      <c r="E7730" s="2" t="s">
        <v>827</v>
      </c>
    </row>
    <row r="7731" spans="1:6" x14ac:dyDescent="0.2">
      <c r="A7731">
        <v>7670</v>
      </c>
      <c r="B7731" s="138">
        <f>'Revenues 9-14'!H103</f>
        <v>372004</v>
      </c>
      <c r="D7731" s="2" t="str">
        <f t="shared" si="126"/>
        <v>Error?</v>
      </c>
      <c r="E7731" s="2" t="s">
        <v>827</v>
      </c>
    </row>
    <row r="7732" spans="1:6" x14ac:dyDescent="0.2">
      <c r="A7732">
        <v>7671</v>
      </c>
      <c r="B7732" s="138">
        <f>'Rest Tax Levies-Tort Im 25'!J24</f>
        <v>577469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577469</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46709</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21709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Stockton CUSD 206</v>
      </c>
      <c r="B7" s="2391"/>
      <c r="C7" s="2391"/>
      <c r="D7" s="2428"/>
      <c r="E7" s="2429">
        <f>COVER!A13</f>
        <v>8043206026</v>
      </c>
      <c r="F7" s="2430"/>
      <c r="G7" s="2397" t="str">
        <f>COVER!T23</f>
        <v>066-004238</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BENNING GROUP, LLC</v>
      </c>
      <c r="H9" s="2404"/>
      <c r="I9" s="2404"/>
      <c r="J9" s="2404"/>
      <c r="K9" s="2404"/>
      <c r="L9" s="2405"/>
    </row>
    <row r="10" spans="1:29" ht="13.5" customHeight="1" x14ac:dyDescent="0.2">
      <c r="A10" s="2387" t="str">
        <f>COVER!A38</f>
        <v>Colleen Fox</v>
      </c>
      <c r="B10" s="2388"/>
      <c r="C10" s="2388"/>
      <c r="D10" s="2388"/>
      <c r="E10" s="2388"/>
      <c r="F10" s="2389"/>
      <c r="G10" s="2403" t="str">
        <f>COVER!T17</f>
        <v>50 W. DOUGLAS STREET, SUITE 801</v>
      </c>
      <c r="H10" s="2416"/>
      <c r="I10" s="2416"/>
      <c r="J10" s="2416"/>
      <c r="K10" s="2416"/>
      <c r="L10" s="2417"/>
    </row>
    <row r="11" spans="1:29" ht="13.5" customHeight="1" x14ac:dyDescent="0.2">
      <c r="A11" s="1184" t="s">
        <v>1519</v>
      </c>
      <c r="B11" s="1185"/>
      <c r="C11" s="1186"/>
      <c r="D11" s="1191"/>
      <c r="E11" s="1186"/>
      <c r="F11" s="1190"/>
      <c r="G11" s="2403" t="str">
        <f>COVER!T19</f>
        <v>FREEPORT</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jblocker@benninggroup.com</v>
      </c>
      <c r="J13" s="2425"/>
      <c r="K13" s="2425"/>
      <c r="L13" s="2426"/>
    </row>
    <row r="14" spans="1:29" ht="13.5" customHeight="1" x14ac:dyDescent="0.2">
      <c r="A14" s="2403" t="str">
        <f>COVER!A19</f>
        <v>540 N Rush Street</v>
      </c>
      <c r="B14" s="2416"/>
      <c r="C14" s="2416"/>
      <c r="D14" s="2416"/>
      <c r="E14" s="2416"/>
      <c r="F14" s="2417"/>
      <c r="G14" s="1195" t="s">
        <v>1185</v>
      </c>
      <c r="H14" s="1193"/>
      <c r="I14" s="1193"/>
      <c r="J14" s="1193"/>
      <c r="K14" s="1193"/>
      <c r="L14" s="1194"/>
    </row>
    <row r="15" spans="1:29" ht="13.5" customHeight="1" x14ac:dyDescent="0.2">
      <c r="A15" s="2403" t="str">
        <f>COVER!A21</f>
        <v>Stockton</v>
      </c>
      <c r="B15" s="2416"/>
      <c r="C15" s="2416"/>
      <c r="D15" s="2416"/>
      <c r="E15" s="2416"/>
      <c r="F15" s="2417"/>
      <c r="G15" s="2413" t="str">
        <f>COVER!T15</f>
        <v>JENNY L. BLOCKER</v>
      </c>
      <c r="H15" s="2414"/>
      <c r="I15" s="2414"/>
      <c r="J15" s="2414"/>
      <c r="K15" s="2414"/>
      <c r="L15" s="2415"/>
    </row>
    <row r="16" spans="1:29" ht="12.2" customHeight="1" x14ac:dyDescent="0.2">
      <c r="A16" s="2393">
        <f>COVER!A25</f>
        <v>61085</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815/235-3157</v>
      </c>
      <c r="H18" s="2391"/>
      <c r="I18" s="2391"/>
      <c r="J18" s="2391"/>
      <c r="K18" s="2390" t="str">
        <f>COVER!X21</f>
        <v>815/235-3158</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Stockton CUSD 206</v>
      </c>
      <c r="B1" s="2427"/>
      <c r="C1" s="2427"/>
      <c r="D1" s="2427"/>
    </row>
    <row r="2" spans="1:11" s="1212" customFormat="1" ht="12.75" x14ac:dyDescent="0.2">
      <c r="A2" s="2432">
        <f>'Single Audit Cover'!E7</f>
        <v>8043206026</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Stockton CUSD 206</v>
      </c>
      <c r="B1" s="2435"/>
      <c r="C1" s="2435"/>
      <c r="D1" s="2435"/>
      <c r="E1" s="2435"/>
    </row>
    <row r="2" spans="1:5" x14ac:dyDescent="0.2">
      <c r="A2" s="2436">
        <f>'Single Audit Cover'!E7</f>
        <v>8043206026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480027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24322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-15101</v>
      </c>
    </row>
    <row r="19" spans="1:4" ht="13.5" thickBot="1" x14ac:dyDescent="0.25">
      <c r="A19" s="1262" t="s">
        <v>1235</v>
      </c>
      <c r="D19" s="1263">
        <f>SUM(D10:D17)</f>
        <v>489248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489248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0</v>
      </c>
    </row>
    <row r="49" spans="2:4" x14ac:dyDescent="0.2">
      <c r="B49" s="1269" t="s">
        <v>1226</v>
      </c>
      <c r="C49" s="1269"/>
      <c r="D49" s="1270">
        <f>D32-D47</f>
        <v>489248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Stockton CUSD 206</v>
      </c>
      <c r="C1" s="2439"/>
      <c r="D1" s="2439"/>
      <c r="E1" s="2439"/>
      <c r="F1" s="2439"/>
      <c r="G1" s="2439"/>
      <c r="H1" s="2439"/>
      <c r="I1" s="2439"/>
      <c r="J1" s="2439"/>
      <c r="K1" s="2439"/>
      <c r="L1" s="2439"/>
      <c r="M1" s="2439"/>
    </row>
    <row r="2" spans="2:14" ht="15" x14ac:dyDescent="0.2">
      <c r="B2" s="2440">
        <f>'Single Audit Cover'!E7</f>
        <v>8043206026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Stockton CUSD 206</v>
      </c>
      <c r="B1" s="2444"/>
      <c r="C1" s="2444"/>
      <c r="D1" s="2444"/>
      <c r="E1" s="2444"/>
      <c r="F1" s="2444"/>
    </row>
    <row r="2" spans="1:7" ht="13.5" customHeight="1" x14ac:dyDescent="0.2">
      <c r="A2" s="2440">
        <f>'Single Audit Cover'!E7</f>
        <v>8043206026</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1" t="s">
        <v>1732</v>
      </c>
      <c r="B32" s="2451"/>
      <c r="C32" s="2451"/>
      <c r="D32" s="2451"/>
      <c r="E32" s="2451"/>
      <c r="F32" s="245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2">
        <f>+C33+C34</f>
        <v>0</v>
      </c>
      <c r="F34" s="245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2088</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Stockton CUSD 206</v>
      </c>
      <c r="C1" s="2460"/>
      <c r="D1" s="2460"/>
      <c r="E1" s="2460"/>
      <c r="F1" s="2460"/>
      <c r="G1" s="2460"/>
      <c r="H1" s="2460"/>
      <c r="I1" s="2460"/>
      <c r="J1" s="1406"/>
    </row>
    <row r="2" spans="2:10" s="317" customFormat="1" ht="12.75" customHeight="1" x14ac:dyDescent="0.2">
      <c r="B2" s="2461">
        <f>'Single Audit Cover'!E7</f>
        <v>8043206026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0</v>
      </c>
      <c r="H43" s="2476"/>
      <c r="I43" s="2476"/>
    </row>
    <row r="44" spans="2:9" ht="12.75" customHeight="1" x14ac:dyDescent="0.2"/>
    <row r="45" spans="2:9" ht="12.75" customHeight="1" x14ac:dyDescent="0.2">
      <c r="B45" s="1419" t="s">
        <v>1841</v>
      </c>
      <c r="D45" s="2477">
        <v>0</v>
      </c>
      <c r="E45" s="247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9"/>
      <c r="F49" s="2479"/>
      <c r="G49" s="247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Stockton CUSD 206</v>
      </c>
      <c r="C1" s="2459"/>
      <c r="D1" s="2459"/>
      <c r="E1" s="2459"/>
      <c r="F1" s="2459"/>
      <c r="G1" s="2459"/>
      <c r="H1" s="2459"/>
      <c r="I1" s="2459"/>
      <c r="J1" s="2459"/>
      <c r="K1" s="2459"/>
      <c r="L1" s="1371"/>
      <c r="M1" s="1371"/>
    </row>
    <row r="2" spans="1:13" ht="12" customHeight="1" x14ac:dyDescent="0.2">
      <c r="B2" s="2461">
        <f>'Single Audit Cover'!E7</f>
        <v>8043206026</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Stockton CUSD 206</v>
      </c>
      <c r="C1" s="2486"/>
      <c r="D1" s="2486"/>
      <c r="E1" s="2486"/>
      <c r="F1" s="2486"/>
      <c r="G1" s="2486"/>
      <c r="H1" s="2486"/>
      <c r="I1" s="2486"/>
      <c r="J1" s="2486"/>
      <c r="K1" s="2486"/>
      <c r="L1" s="1449"/>
    </row>
    <row r="2" spans="1:12" ht="12.75" customHeight="1" x14ac:dyDescent="0.2">
      <c r="B2" s="2487">
        <f>'Single Audit Cover'!E7</f>
        <v>8043206026</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Stockton CUSD 206</v>
      </c>
      <c r="C1" s="2459"/>
      <c r="D1" s="2459"/>
      <c r="E1" s="1469"/>
    </row>
    <row r="2" spans="2:5" s="1279" customFormat="1" ht="12.75" customHeight="1" x14ac:dyDescent="0.2">
      <c r="B2" s="2461">
        <f>'Single Audit Cover'!E7</f>
        <v>8043206026</v>
      </c>
      <c r="C2" s="2461"/>
      <c r="D2" s="2461"/>
      <c r="E2" s="1470"/>
    </row>
    <row r="3" spans="2:5" ht="12.75" customHeight="1" x14ac:dyDescent="0.2">
      <c r="B3" s="2482" t="s">
        <v>1766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Q31" sqref="Q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92767617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3.6921299999999997E-2</v>
      </c>
      <c r="E10" s="356" t="s">
        <v>1005</v>
      </c>
      <c r="F10" s="355">
        <v>5.3391999999999997E-3</v>
      </c>
      <c r="G10" s="356" t="s">
        <v>1005</v>
      </c>
      <c r="H10" s="355">
        <v>1.9266000000000001E-3</v>
      </c>
      <c r="I10" s="356" t="s">
        <v>1006</v>
      </c>
      <c r="J10" s="1732">
        <f>ROUND(D10+F10+H10,5)</f>
        <v>4.419E-2</v>
      </c>
      <c r="K10" s="222"/>
      <c r="L10" s="355">
        <v>3.9149999999999998E-4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6570054</v>
      </c>
      <c r="E16" s="356"/>
      <c r="F16" s="1733">
        <f>SUM('Acct Summary 7-8'!C17,'Acct Summary 7-8'!D17,'Acct Summary 7-8'!F17)</f>
        <v>6322012</v>
      </c>
      <c r="G16" s="356"/>
      <c r="H16" s="1733">
        <f>SUM(D16-F16)</f>
        <v>248042</v>
      </c>
      <c r="I16" s="222"/>
      <c r="J16" s="1733">
        <f>SUM('Acct Summary 7-8'!C81,'Acct Summary 7-8'!D81,'Acct Summary 7-8'!F81,'Acct Summary 7-8'!I81)</f>
        <v>5365122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12801931.146000002</v>
      </c>
      <c r="I31" s="368"/>
      <c r="J31" s="222"/>
      <c r="K31" s="222"/>
      <c r="L31" s="222"/>
      <c r="M31" s="222"/>
    </row>
    <row r="32" spans="1:13" ht="13.35" customHeight="1" x14ac:dyDescent="0.2">
      <c r="B32" s="369" t="s">
        <v>2073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Stockton CUSD 206</v>
      </c>
      <c r="E7" s="391"/>
      <c r="G7" s="252"/>
      <c r="H7" s="387"/>
      <c r="I7" s="387"/>
      <c r="J7" s="387"/>
      <c r="K7" s="387"/>
      <c r="L7" s="329"/>
      <c r="M7" s="329"/>
      <c r="N7" s="329"/>
      <c r="O7" s="329"/>
      <c r="P7" s="329"/>
    </row>
    <row r="8" spans="1:18" ht="12.75" x14ac:dyDescent="0.2">
      <c r="A8" s="329"/>
      <c r="B8" s="329"/>
      <c r="C8" s="389" t="s">
        <v>1125</v>
      </c>
      <c r="D8" s="392">
        <f>COVER!A13</f>
        <v>8043206026</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5365122</v>
      </c>
      <c r="I12" s="404"/>
      <c r="J12" s="404"/>
      <c r="K12" s="405">
        <f>TRUNC((H12/H13*100000),5)/100000</f>
        <v>0.81660242059999999</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6570054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6322012</v>
      </c>
      <c r="I17" s="404"/>
      <c r="J17" s="416"/>
      <c r="K17" s="405">
        <f>TRUNC((H17/H18*100000),5)/100000</f>
        <v>0.96224658119999995</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6570054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5314491</v>
      </c>
      <c r="I24" s="422"/>
      <c r="J24" s="422"/>
      <c r="K24" s="423">
        <f>TRUNC(((H24/H25*100000)/100000),2)</f>
        <v>302.62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17561.14444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3484490.84595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12801931.146000002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Normal="100" workbookViewId="0">
      <pane ySplit="2" topLeftCell="A27" activePane="bottomLeft" state="frozen"/>
      <selection pane="bottomLeft" activeCell="H10" sqref="H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f>4558637-435</f>
        <v>4558202</v>
      </c>
      <c r="D4" s="466">
        <v>415424</v>
      </c>
      <c r="E4" s="466"/>
      <c r="F4" s="466">
        <v>184058</v>
      </c>
      <c r="G4" s="466">
        <v>110421</v>
      </c>
      <c r="H4" s="466">
        <v>577469</v>
      </c>
      <c r="I4" s="466">
        <v>156807</v>
      </c>
      <c r="J4" s="467">
        <v>38470</v>
      </c>
      <c r="K4" s="466">
        <v>21487</v>
      </c>
      <c r="L4" s="466">
        <v>97221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50000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435</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4558637</v>
      </c>
      <c r="D13" s="1737">
        <f t="shared" ref="D13:L13" si="0">SUM(D4:D12)</f>
        <v>415424</v>
      </c>
      <c r="E13" s="1737">
        <f t="shared" si="0"/>
        <v>0</v>
      </c>
      <c r="F13" s="1737">
        <f t="shared" si="0"/>
        <v>184058</v>
      </c>
      <c r="G13" s="1737">
        <f t="shared" si="0"/>
        <v>110421</v>
      </c>
      <c r="H13" s="1737">
        <f t="shared" si="0"/>
        <v>577469</v>
      </c>
      <c r="I13" s="1737">
        <f t="shared" si="0"/>
        <v>206807</v>
      </c>
      <c r="J13" s="1737">
        <f t="shared" si="0"/>
        <v>38470</v>
      </c>
      <c r="K13" s="1737">
        <f t="shared" si="0"/>
        <v>21487</v>
      </c>
      <c r="L13" s="1737">
        <f t="shared" si="0"/>
        <v>97221</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98361</v>
      </c>
      <c r="N16" s="484"/>
    </row>
    <row r="17" spans="1:14" s="485" customFormat="1" ht="12.75" customHeight="1" x14ac:dyDescent="0.2">
      <c r="A17" s="482" t="s">
        <v>1403</v>
      </c>
      <c r="B17" s="483">
        <v>230</v>
      </c>
      <c r="C17" s="477"/>
      <c r="D17" s="477"/>
      <c r="E17" s="477"/>
      <c r="F17" s="477"/>
      <c r="G17" s="477"/>
      <c r="H17" s="477"/>
      <c r="I17" s="477"/>
      <c r="J17" s="477"/>
      <c r="K17" s="477"/>
      <c r="L17" s="477"/>
      <c r="M17" s="467">
        <v>6730471</v>
      </c>
      <c r="N17" s="484"/>
    </row>
    <row r="18" spans="1:14" s="485" customFormat="1" ht="12.75" customHeight="1" x14ac:dyDescent="0.2">
      <c r="A18" s="482" t="s">
        <v>1404</v>
      </c>
      <c r="B18" s="483">
        <v>240</v>
      </c>
      <c r="C18" s="477"/>
      <c r="D18" s="477"/>
      <c r="E18" s="477"/>
      <c r="F18" s="477"/>
      <c r="G18" s="477"/>
      <c r="H18" s="477"/>
      <c r="I18" s="477"/>
      <c r="J18" s="477"/>
      <c r="K18" s="477"/>
      <c r="L18" s="477"/>
      <c r="M18" s="467">
        <v>138578</v>
      </c>
      <c r="N18" s="484"/>
    </row>
    <row r="19" spans="1:14" s="485" customFormat="1" ht="12.75" customHeight="1" x14ac:dyDescent="0.2">
      <c r="A19" s="482" t="s">
        <v>1405</v>
      </c>
      <c r="B19" s="483">
        <v>250</v>
      </c>
      <c r="C19" s="477"/>
      <c r="D19" s="477"/>
      <c r="E19" s="477"/>
      <c r="F19" s="477"/>
      <c r="G19" s="477"/>
      <c r="H19" s="477"/>
      <c r="I19" s="477"/>
      <c r="J19" s="477"/>
      <c r="K19" s="477"/>
      <c r="L19" s="477"/>
      <c r="M19" s="467">
        <v>1953044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8920454</v>
      </c>
      <c r="N23" s="1688">
        <f>SUM(N21:N22)</f>
        <v>0</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v>50000</v>
      </c>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-182</v>
      </c>
      <c r="D31" s="467">
        <v>-6</v>
      </c>
      <c r="E31" s="467"/>
      <c r="F31" s="466">
        <v>-8</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97221</v>
      </c>
      <c r="M33" s="468"/>
      <c r="N33" s="469"/>
    </row>
    <row r="34" spans="1:14" ht="13.5" customHeight="1" thickBot="1" x14ac:dyDescent="0.25">
      <c r="A34" s="1738" t="s">
        <v>654</v>
      </c>
      <c r="B34" s="1739"/>
      <c r="C34" s="1740">
        <f>SUM(C25:C33)</f>
        <v>-182</v>
      </c>
      <c r="D34" s="1740">
        <f t="shared" ref="D34:K34" si="1">SUM(D25:D33)</f>
        <v>-6</v>
      </c>
      <c r="E34" s="1740">
        <f t="shared" si="1"/>
        <v>0</v>
      </c>
      <c r="F34" s="1740">
        <f t="shared" si="1"/>
        <v>-8</v>
      </c>
      <c r="G34" s="1740">
        <f t="shared" si="1"/>
        <v>50000</v>
      </c>
      <c r="H34" s="1740">
        <f t="shared" si="1"/>
        <v>0</v>
      </c>
      <c r="I34" s="1740">
        <f t="shared" si="1"/>
        <v>0</v>
      </c>
      <c r="J34" s="1740">
        <f t="shared" si="1"/>
        <v>0</v>
      </c>
      <c r="K34" s="1740">
        <f t="shared" si="1"/>
        <v>0</v>
      </c>
      <c r="L34" s="1721">
        <f>SUM(L33)</f>
        <v>97221</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28581</v>
      </c>
      <c r="H38" s="466">
        <v>577469</v>
      </c>
      <c r="I38" s="466"/>
      <c r="J38" s="467"/>
      <c r="K38" s="466"/>
      <c r="L38" s="481"/>
      <c r="M38" s="497"/>
      <c r="N38" s="497"/>
    </row>
    <row r="39" spans="1:14" s="329" customFormat="1" ht="13.5" customHeight="1" x14ac:dyDescent="0.2">
      <c r="A39" s="496" t="s">
        <v>342</v>
      </c>
      <c r="B39" s="483">
        <v>730</v>
      </c>
      <c r="C39" s="466">
        <v>4558819</v>
      </c>
      <c r="D39" s="466">
        <v>415430</v>
      </c>
      <c r="E39" s="466"/>
      <c r="F39" s="466">
        <v>184066</v>
      </c>
      <c r="G39" s="466">
        <v>31840</v>
      </c>
      <c r="H39" s="466"/>
      <c r="I39" s="466">
        <v>206807</v>
      </c>
      <c r="J39" s="467">
        <v>38470</v>
      </c>
      <c r="K39" s="466">
        <v>21487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8920454</v>
      </c>
      <c r="N40" s="497"/>
    </row>
    <row r="41" spans="1:14" ht="13.5" customHeight="1" thickBot="1" x14ac:dyDescent="0.25">
      <c r="A41" s="1736" t="s">
        <v>655</v>
      </c>
      <c r="B41" s="1706"/>
      <c r="C41" s="1688">
        <f>(SUM(C34,C37,C38,C39))</f>
        <v>4558637</v>
      </c>
      <c r="D41" s="1688">
        <f t="shared" ref="D41:L41" si="2">SUM(D34,D37,D38:D39)</f>
        <v>415424</v>
      </c>
      <c r="E41" s="1688">
        <f t="shared" si="2"/>
        <v>0</v>
      </c>
      <c r="F41" s="1688">
        <f t="shared" si="2"/>
        <v>184058</v>
      </c>
      <c r="G41" s="1688">
        <f t="shared" si="2"/>
        <v>110421</v>
      </c>
      <c r="H41" s="1688">
        <f t="shared" si="2"/>
        <v>577469</v>
      </c>
      <c r="I41" s="1688">
        <f t="shared" si="2"/>
        <v>206807</v>
      </c>
      <c r="J41" s="1688">
        <f t="shared" si="2"/>
        <v>38470</v>
      </c>
      <c r="K41" s="1688">
        <f t="shared" si="2"/>
        <v>21487</v>
      </c>
      <c r="L41" s="1688">
        <f t="shared" si="2"/>
        <v>97221</v>
      </c>
      <c r="M41" s="1688">
        <f>SUM(M40)</f>
        <v>8920454</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69" activePane="bottomLeft" state="frozen"/>
      <selection pane="bottomLeft" activeCell="D71" sqref="D7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3918798</v>
      </c>
      <c r="D4" s="1742">
        <f>'Revenues 9-14'!D109</f>
        <v>458496</v>
      </c>
      <c r="E4" s="1742">
        <f>'Revenues 9-14'!E109</f>
        <v>0</v>
      </c>
      <c r="F4" s="1742">
        <f>'Revenues 9-14'!F109</f>
        <v>182775</v>
      </c>
      <c r="G4" s="1742">
        <f>'Revenues 9-14'!G109</f>
        <v>233427</v>
      </c>
      <c r="H4" s="1742">
        <f>'Revenues 9-14'!H109</f>
        <v>380657</v>
      </c>
      <c r="I4" s="1742">
        <f>'Revenues 9-14'!I109</f>
        <v>36964</v>
      </c>
      <c r="J4" s="1742">
        <f>'Revenues 9-14'!J109</f>
        <v>149929</v>
      </c>
      <c r="K4" s="1742">
        <f>'Revenues 9-14'!K109</f>
        <v>61222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1308043</v>
      </c>
      <c r="D6" s="1743">
        <f>'Revenues 9-14'!D170</f>
        <v>1142</v>
      </c>
      <c r="E6" s="1743">
        <f>'Revenues 9-14'!E170</f>
        <v>0</v>
      </c>
      <c r="F6" s="1743">
        <f>'Revenues 9-14'!F170</f>
        <v>183809</v>
      </c>
      <c r="G6" s="1743">
        <f>'Revenues 9-14'!G170</f>
        <v>1617</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480027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5706868</v>
      </c>
      <c r="D8" s="1688">
        <f t="shared" ref="D8:K8" si="0">SUM(D4:D7)</f>
        <v>459638</v>
      </c>
      <c r="E8" s="1688">
        <f t="shared" si="0"/>
        <v>0</v>
      </c>
      <c r="F8" s="1688">
        <f t="shared" si="0"/>
        <v>366584</v>
      </c>
      <c r="G8" s="1688">
        <f t="shared" si="0"/>
        <v>235044</v>
      </c>
      <c r="H8" s="1688">
        <f t="shared" si="0"/>
        <v>380657</v>
      </c>
      <c r="I8" s="1688">
        <f t="shared" si="0"/>
        <v>36964</v>
      </c>
      <c r="J8" s="1688">
        <f t="shared" si="0"/>
        <v>149929</v>
      </c>
      <c r="K8" s="1688">
        <f t="shared" si="0"/>
        <v>61222</v>
      </c>
      <c r="L8" s="347"/>
    </row>
    <row r="9" spans="1:13" ht="15.75" thickTop="1" x14ac:dyDescent="0.2">
      <c r="A9" s="514" t="s">
        <v>1653</v>
      </c>
      <c r="B9" s="515">
        <v>3998</v>
      </c>
      <c r="C9" s="481">
        <v>2333420</v>
      </c>
      <c r="D9" s="516"/>
      <c r="E9" s="481"/>
      <c r="F9" s="481"/>
      <c r="G9" s="517"/>
      <c r="H9" s="481"/>
      <c r="I9" s="509" t="s">
        <v>1169</v>
      </c>
      <c r="J9" s="478"/>
      <c r="K9" s="481"/>
      <c r="L9" s="347"/>
    </row>
    <row r="10" spans="1:13" s="519" customFormat="1" ht="13.5" thickBot="1" x14ac:dyDescent="0.25">
      <c r="A10" s="1736" t="s">
        <v>1173</v>
      </c>
      <c r="B10" s="1709"/>
      <c r="C10" s="1688">
        <f>SUM(C8:C9)</f>
        <v>8040288</v>
      </c>
      <c r="D10" s="1688">
        <f t="shared" ref="D10:K10" si="1">SUM(D8:D9)</f>
        <v>459638</v>
      </c>
      <c r="E10" s="1688">
        <f t="shared" si="1"/>
        <v>0</v>
      </c>
      <c r="F10" s="1688">
        <f t="shared" si="1"/>
        <v>366584</v>
      </c>
      <c r="G10" s="1688">
        <f t="shared" si="1"/>
        <v>235044</v>
      </c>
      <c r="H10" s="1688">
        <f t="shared" si="1"/>
        <v>380657</v>
      </c>
      <c r="I10" s="1688">
        <f t="shared" si="1"/>
        <v>36964</v>
      </c>
      <c r="J10" s="1688">
        <f t="shared" si="1"/>
        <v>149929</v>
      </c>
      <c r="K10" s="1688">
        <f t="shared" si="1"/>
        <v>61222</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3780470</v>
      </c>
      <c r="D12" s="520" t="s">
        <v>1169</v>
      </c>
      <c r="E12" s="468" t="s">
        <v>1169</v>
      </c>
      <c r="F12" s="468" t="s">
        <v>1169</v>
      </c>
      <c r="G12" s="1742">
        <f>'Expenditures 15-22'!K229</f>
        <v>77609</v>
      </c>
      <c r="H12" s="521"/>
      <c r="I12" s="468" t="s">
        <v>1169</v>
      </c>
      <c r="J12" s="468" t="s">
        <v>1169</v>
      </c>
      <c r="K12" s="521" t="s">
        <v>1169</v>
      </c>
      <c r="L12" s="347"/>
    </row>
    <row r="13" spans="1:13" ht="15.75" customHeight="1" x14ac:dyDescent="0.2">
      <c r="A13" s="1576" t="s">
        <v>457</v>
      </c>
      <c r="B13" s="1578">
        <v>2000</v>
      </c>
      <c r="C13" s="1743">
        <f>'Expenditures 15-22'!K74</f>
        <v>1387580</v>
      </c>
      <c r="D13" s="1743">
        <f>'Expenditures 15-22'!K129</f>
        <v>495797</v>
      </c>
      <c r="E13" s="469" t="s">
        <v>1169</v>
      </c>
      <c r="F13" s="1743">
        <f>'Expenditures 15-22'!K184</f>
        <v>301205</v>
      </c>
      <c r="G13" s="1743">
        <f>'Expenditures 15-22'!K279</f>
        <v>107050</v>
      </c>
      <c r="H13" s="1743">
        <f>'Expenditures 15-22'!K303</f>
        <v>171216</v>
      </c>
      <c r="I13" s="468" t="s">
        <v>1169</v>
      </c>
      <c r="J13" s="1743">
        <f>'Expenditures 15-22'!K330</f>
        <v>143983</v>
      </c>
      <c r="K13" s="1747">
        <f>'Expenditures 15-22'!K352</f>
        <v>92781</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268851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88109</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5436901</v>
      </c>
      <c r="D17" s="1688">
        <f t="shared" si="2"/>
        <v>495797</v>
      </c>
      <c r="E17" s="1688">
        <f t="shared" si="2"/>
        <v>0</v>
      </c>
      <c r="F17" s="1688">
        <f t="shared" si="2"/>
        <v>389314</v>
      </c>
      <c r="G17" s="1688">
        <f t="shared" si="2"/>
        <v>184659</v>
      </c>
      <c r="H17" s="1688">
        <f t="shared" si="2"/>
        <v>171216</v>
      </c>
      <c r="I17" s="468"/>
      <c r="J17" s="1688">
        <f>SUM(J12:J16)</f>
        <v>143983</v>
      </c>
      <c r="K17" s="1688">
        <f>SUM(K12:K16)</f>
        <v>92781</v>
      </c>
      <c r="L17" s="347"/>
    </row>
    <row r="18" spans="1:12" ht="15" customHeight="1" thickTop="1" x14ac:dyDescent="0.2">
      <c r="A18" s="1744" t="s">
        <v>1654</v>
      </c>
      <c r="B18" s="1745">
        <v>4180</v>
      </c>
      <c r="C18" s="1742">
        <f t="shared" ref="C18:H18" si="3">C9</f>
        <v>2333420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7770321</v>
      </c>
      <c r="D19" s="1688">
        <f t="shared" si="4"/>
        <v>495797</v>
      </c>
      <c r="E19" s="1688">
        <f t="shared" si="4"/>
        <v>0</v>
      </c>
      <c r="F19" s="1688">
        <f t="shared" si="4"/>
        <v>389314</v>
      </c>
      <c r="G19" s="1688">
        <f t="shared" si="4"/>
        <v>184659</v>
      </c>
      <c r="H19" s="1688">
        <f t="shared" si="4"/>
        <v>171216</v>
      </c>
      <c r="I19" s="468"/>
      <c r="J19" s="1688">
        <f>SUM(J17:J18)</f>
        <v>143983</v>
      </c>
      <c r="K19" s="1688">
        <f>SUM(K17:K18)</f>
        <v>92781</v>
      </c>
      <c r="L19" s="347"/>
    </row>
    <row r="20" spans="1:12" ht="16.5" thickTop="1" thickBot="1" x14ac:dyDescent="0.25">
      <c r="A20" s="2132" t="s">
        <v>1655</v>
      </c>
      <c r="B20" s="2133"/>
      <c r="C20" s="1746">
        <f>C8-C17</f>
        <v>269967</v>
      </c>
      <c r="D20" s="1746">
        <f t="shared" ref="D20:K20" si="5">D8-D17</f>
        <v>-36159</v>
      </c>
      <c r="E20" s="1746">
        <f t="shared" si="5"/>
        <v>0</v>
      </c>
      <c r="F20" s="1746">
        <f t="shared" si="5"/>
        <v>-22730</v>
      </c>
      <c r="G20" s="1746">
        <f t="shared" si="5"/>
        <v>50385</v>
      </c>
      <c r="H20" s="1746">
        <f t="shared" si="5"/>
        <v>209441</v>
      </c>
      <c r="I20" s="1746">
        <f t="shared" si="5"/>
        <v>36964</v>
      </c>
      <c r="J20" s="1746">
        <f t="shared" si="5"/>
        <v>5946</v>
      </c>
      <c r="K20" s="1746">
        <f t="shared" si="5"/>
        <v>-31559</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1177</v>
      </c>
      <c r="B77" s="2125"/>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8" t="s">
        <v>597</v>
      </c>
      <c r="B78" s="2129"/>
      <c r="C78" s="1702">
        <f t="shared" ref="C78:K78" si="9">C20+C77</f>
        <v>269967</v>
      </c>
      <c r="D78" s="1702">
        <f t="shared" si="9"/>
        <v>-36159</v>
      </c>
      <c r="E78" s="1702">
        <f t="shared" si="9"/>
        <v>0</v>
      </c>
      <c r="F78" s="1702">
        <f t="shared" si="9"/>
        <v>-22730</v>
      </c>
      <c r="G78" s="1702">
        <f t="shared" si="9"/>
        <v>50385</v>
      </c>
      <c r="H78" s="1702">
        <f t="shared" si="9"/>
        <v>209441</v>
      </c>
      <c r="I78" s="1702">
        <f t="shared" si="9"/>
        <v>36964</v>
      </c>
      <c r="J78" s="1702">
        <f t="shared" si="9"/>
        <v>5946</v>
      </c>
      <c r="K78" s="1702">
        <f t="shared" si="9"/>
        <v>-31559</v>
      </c>
      <c r="L78" s="533"/>
    </row>
    <row r="79" spans="1:12" ht="13.5" thickTop="1" x14ac:dyDescent="0.2">
      <c r="A79" s="1494" t="s">
        <v>1949</v>
      </c>
      <c r="B79" s="534"/>
      <c r="C79" s="478">
        <v>4288852</v>
      </c>
      <c r="D79" s="535">
        <v>451589</v>
      </c>
      <c r="E79" s="535"/>
      <c r="F79" s="535">
        <v>206796</v>
      </c>
      <c r="G79" s="535">
        <v>10036</v>
      </c>
      <c r="H79" s="535">
        <v>368028</v>
      </c>
      <c r="I79" s="535">
        <v>169843</v>
      </c>
      <c r="J79" s="535">
        <v>32524</v>
      </c>
      <c r="K79" s="535">
        <v>53046</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8">
        <f>(SUM(C78:C80))</f>
        <v>4558819</v>
      </c>
      <c r="D81" s="1688">
        <f>SUM(D78:D80)</f>
        <v>415430</v>
      </c>
      <c r="E81" s="1688">
        <f t="shared" ref="E81:K81" si="10">SUM(E78:E80)</f>
        <v>0</v>
      </c>
      <c r="F81" s="1688">
        <f t="shared" si="10"/>
        <v>184066</v>
      </c>
      <c r="G81" s="1688">
        <f t="shared" si="10"/>
        <v>60421</v>
      </c>
      <c r="H81" s="1688">
        <f t="shared" si="10"/>
        <v>577469</v>
      </c>
      <c r="I81" s="1688">
        <f t="shared" si="10"/>
        <v>206807</v>
      </c>
      <c r="J81" s="1688">
        <f t="shared" si="10"/>
        <v>38470</v>
      </c>
      <c r="K81" s="1688">
        <f t="shared" si="10"/>
        <v>21487</v>
      </c>
      <c r="L81" s="347"/>
    </row>
    <row r="82" spans="1:12" ht="0.75" customHeight="1" thickTop="1" thickBot="1" x14ac:dyDescent="0.25">
      <c r="A82" s="536" t="s">
        <v>343</v>
      </c>
      <c r="B82" s="537"/>
      <c r="C82" s="538">
        <f>(C81-C79)</f>
        <v>269967</v>
      </c>
      <c r="D82" s="538">
        <f t="shared" ref="D82:K82" si="11">(D81-D79)</f>
        <v>-36159</v>
      </c>
      <c r="E82" s="538">
        <f t="shared" si="11"/>
        <v>0</v>
      </c>
      <c r="F82" s="538">
        <f t="shared" si="11"/>
        <v>-22730</v>
      </c>
      <c r="G82" s="538">
        <f t="shared" si="11"/>
        <v>50385</v>
      </c>
      <c r="H82" s="538">
        <f t="shared" si="11"/>
        <v>209441</v>
      </c>
      <c r="I82" s="538">
        <f t="shared" si="11"/>
        <v>36964</v>
      </c>
      <c r="J82" s="538">
        <f t="shared" si="11"/>
        <v>5946</v>
      </c>
      <c r="K82" s="538">
        <f t="shared" si="11"/>
        <v>-31559</v>
      </c>
    </row>
    <row r="83" spans="1:12" ht="14.25" hidden="1" thickTop="1" thickBot="1" x14ac:dyDescent="0.25">
      <c r="A83" s="539" t="s">
        <v>344</v>
      </c>
      <c r="B83" s="464"/>
      <c r="C83" s="540">
        <f>C82/C81</f>
        <v>5.9218626578506406E-2</v>
      </c>
      <c r="D83" s="540">
        <f t="shared" ref="D83:K83" si="12">D82/D81</f>
        <v>-8.70399345256722E-2</v>
      </c>
      <c r="E83" s="540" t="e">
        <f t="shared" si="12"/>
        <v>#DIV/0!</v>
      </c>
      <c r="F83" s="540">
        <f t="shared" si="12"/>
        <v>-0.1234883139743353</v>
      </c>
      <c r="G83" s="540">
        <f t="shared" si="12"/>
        <v>0.83389881001638499</v>
      </c>
      <c r="H83" s="540">
        <f t="shared" si="12"/>
        <v>0.36268786722750485</v>
      </c>
      <c r="I83" s="540">
        <f t="shared" si="12"/>
        <v>0.1787366965334829</v>
      </c>
      <c r="J83" s="540">
        <f t="shared" si="12"/>
        <v>0.15456199636080062</v>
      </c>
      <c r="K83" s="540">
        <f t="shared" si="12"/>
        <v>-1.4687485456322427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47" colorId="8" zoomScaleNormal="100" zoomScaleSheetLayoutView="75" workbookViewId="0">
      <selection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3306384</v>
      </c>
      <c r="D5" s="481">
        <v>450054</v>
      </c>
      <c r="E5" s="466"/>
      <c r="F5" s="548">
        <v>172527</v>
      </c>
      <c r="G5" s="466">
        <v>90176</v>
      </c>
      <c r="H5" s="466"/>
      <c r="I5" s="466">
        <v>35057</v>
      </c>
      <c r="J5" s="467">
        <v>148839</v>
      </c>
      <c r="K5" s="466">
        <v>60981</v>
      </c>
    </row>
    <row r="6" spans="1:12" ht="15" x14ac:dyDescent="0.2">
      <c r="A6" s="463" t="s">
        <v>1662</v>
      </c>
      <c r="B6" s="470">
        <v>1130</v>
      </c>
      <c r="C6" s="466">
        <v>11777</v>
      </c>
      <c r="D6" s="466"/>
      <c r="E6" s="475"/>
      <c r="F6" s="475"/>
      <c r="G6" s="468"/>
      <c r="H6" s="468"/>
      <c r="I6" s="468"/>
      <c r="J6" s="468"/>
      <c r="K6" s="468"/>
    </row>
    <row r="7" spans="1:12" x14ac:dyDescent="0.2">
      <c r="A7" s="463" t="s">
        <v>110</v>
      </c>
      <c r="B7" s="549">
        <v>1140</v>
      </c>
      <c r="C7" s="466">
        <v>128817</v>
      </c>
      <c r="D7" s="466"/>
      <c r="E7" s="468"/>
      <c r="F7" s="467"/>
      <c r="G7" s="467"/>
      <c r="H7" s="467"/>
      <c r="I7" s="468"/>
      <c r="J7" s="468"/>
      <c r="K7" s="468"/>
    </row>
    <row r="8" spans="1:12" x14ac:dyDescent="0.2">
      <c r="A8" s="463" t="s">
        <v>413</v>
      </c>
      <c r="B8" s="470">
        <v>1150</v>
      </c>
      <c r="C8" s="475"/>
      <c r="D8" s="475"/>
      <c r="E8" s="477"/>
      <c r="F8" s="477"/>
      <c r="G8" s="481">
        <v>140277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3446978</v>
      </c>
      <c r="D12" s="1707">
        <f t="shared" si="0"/>
        <v>450054</v>
      </c>
      <c r="E12" s="1707">
        <f t="shared" si="0"/>
        <v>0</v>
      </c>
      <c r="F12" s="1707">
        <f t="shared" si="0"/>
        <v>172527</v>
      </c>
      <c r="G12" s="1707">
        <f t="shared" si="0"/>
        <v>230453</v>
      </c>
      <c r="H12" s="1707">
        <f t="shared" si="0"/>
        <v>0</v>
      </c>
      <c r="I12" s="1707">
        <f t="shared" si="0"/>
        <v>35057</v>
      </c>
      <c r="J12" s="1707">
        <f t="shared" si="0"/>
        <v>148839</v>
      </c>
      <c r="K12" s="1688">
        <f t="shared" si="0"/>
        <v>60981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121563</v>
      </c>
      <c r="D16" s="466"/>
      <c r="E16" s="466"/>
      <c r="F16" s="466"/>
      <c r="G16" s="466">
        <v>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121563</v>
      </c>
      <c r="D18" s="1710">
        <f t="shared" ref="D18:K18" si="1">SUM(D14:D17)</f>
        <v>0</v>
      </c>
      <c r="E18" s="1710">
        <f t="shared" si="1"/>
        <v>0</v>
      </c>
      <c r="F18" s="1710">
        <f t="shared" si="1"/>
        <v>0</v>
      </c>
      <c r="G18" s="1710">
        <f t="shared" si="1"/>
        <v>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13042</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13042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945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945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71068</v>
      </c>
      <c r="D65" s="466">
        <v>6822</v>
      </c>
      <c r="E65" s="466"/>
      <c r="F65" s="467">
        <v>2507</v>
      </c>
      <c r="G65" s="466">
        <v>1974</v>
      </c>
      <c r="H65" s="466">
        <v>6228</v>
      </c>
      <c r="I65" s="466">
        <v>1907</v>
      </c>
      <c r="J65" s="467">
        <v>1090</v>
      </c>
      <c r="K65" s="466">
        <v>241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71068</v>
      </c>
      <c r="D67" s="1688">
        <f t="shared" ref="D67:K67" si="2">SUM(D65:D66)</f>
        <v>6822</v>
      </c>
      <c r="E67" s="1688">
        <f t="shared" si="2"/>
        <v>0</v>
      </c>
      <c r="F67" s="1688">
        <f t="shared" si="2"/>
        <v>2507</v>
      </c>
      <c r="G67" s="1688">
        <f t="shared" si="2"/>
        <v>1974</v>
      </c>
      <c r="H67" s="1688">
        <f t="shared" si="2"/>
        <v>6228</v>
      </c>
      <c r="I67" s="1688">
        <f t="shared" si="2"/>
        <v>1907</v>
      </c>
      <c r="J67" s="1688">
        <f t="shared" si="2"/>
        <v>1090</v>
      </c>
      <c r="K67" s="1688">
        <f t="shared" si="2"/>
        <v>241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87234</v>
      </c>
      <c r="D69" s="468"/>
      <c r="E69" s="468"/>
      <c r="F69" s="468"/>
      <c r="G69" s="468"/>
      <c r="H69" s="468"/>
      <c r="I69" s="468"/>
      <c r="J69" s="468"/>
      <c r="K69" s="468"/>
    </row>
    <row r="70" spans="1:11" ht="12.75" customHeight="1" x14ac:dyDescent="0.2">
      <c r="A70" s="463" t="s">
        <v>997</v>
      </c>
      <c r="B70" s="470">
        <v>1612</v>
      </c>
      <c r="C70" s="551">
        <v>3556</v>
      </c>
      <c r="D70" s="468"/>
      <c r="E70" s="468"/>
      <c r="F70" s="468"/>
      <c r="G70" s="468"/>
      <c r="H70" s="468"/>
      <c r="I70" s="468"/>
      <c r="J70" s="468"/>
      <c r="K70" s="468"/>
    </row>
    <row r="71" spans="1:11" ht="12.75" customHeight="1" x14ac:dyDescent="0.2">
      <c r="A71" s="463" t="s">
        <v>273</v>
      </c>
      <c r="B71" s="470">
        <v>1613</v>
      </c>
      <c r="C71" s="551">
        <v>44206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88</v>
      </c>
      <c r="D74" s="468"/>
      <c r="E74" s="468"/>
      <c r="F74" s="468"/>
      <c r="G74" s="468"/>
      <c r="H74" s="468"/>
      <c r="I74" s="468"/>
      <c r="J74" s="468"/>
      <c r="K74" s="468"/>
    </row>
    <row r="75" spans="1:11" ht="12.75" customHeight="1" thickBot="1" x14ac:dyDescent="0.25">
      <c r="A75" s="1708" t="s">
        <v>548</v>
      </c>
      <c r="B75" s="1709"/>
      <c r="C75" s="1688">
        <f>SUM(C69:C74)</f>
        <v>135084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27018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25568</v>
      </c>
      <c r="D79" s="466"/>
      <c r="E79" s="468"/>
      <c r="F79" s="468"/>
      <c r="G79" s="468"/>
      <c r="H79" s="468"/>
      <c r="I79" s="468"/>
      <c r="J79" s="468"/>
      <c r="K79" s="468"/>
    </row>
    <row r="80" spans="1:11" ht="12.75" customHeight="1" x14ac:dyDescent="0.2">
      <c r="A80" s="463" t="s">
        <v>551</v>
      </c>
      <c r="B80" s="470">
        <v>1730</v>
      </c>
      <c r="C80" s="551">
        <v>63</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52649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22812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22812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278</v>
      </c>
      <c r="E95" s="521"/>
      <c r="F95" s="521"/>
      <c r="G95" s="521"/>
      <c r="H95" s="521"/>
      <c r="I95" s="521"/>
      <c r="J95" s="521"/>
      <c r="K95" s="521"/>
    </row>
    <row r="96" spans="1:11" ht="12.75" customHeight="1" x14ac:dyDescent="0.2">
      <c r="A96" s="463" t="s">
        <v>391</v>
      </c>
      <c r="B96" s="470">
        <v>1920</v>
      </c>
      <c r="C96" s="551">
        <v>38184</v>
      </c>
      <c r="D96" s="551"/>
      <c r="E96" s="479"/>
      <c r="F96" s="478"/>
      <c r="G96" s="478"/>
      <c r="H96" s="478">
        <v>2425</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1301</v>
      </c>
      <c r="D99" s="466"/>
      <c r="E99" s="466"/>
      <c r="F99" s="466">
        <v>6235</v>
      </c>
      <c r="G99" s="466"/>
      <c r="H99" s="466"/>
      <c r="I99" s="468"/>
      <c r="J99" s="467"/>
      <c r="K99" s="466"/>
    </row>
    <row r="100" spans="1:12" ht="12.75" customHeight="1" x14ac:dyDescent="0.2">
      <c r="A100" s="463" t="s">
        <v>245</v>
      </c>
      <c r="B100" s="470">
        <v>1960</v>
      </c>
      <c r="C100" s="489">
        <v>13675</v>
      </c>
      <c r="D100" s="489"/>
      <c r="E100" s="489"/>
      <c r="F100" s="489"/>
      <c r="G100" s="489"/>
      <c r="H100" s="489"/>
      <c r="I100" s="467"/>
      <c r="J100" s="489"/>
      <c r="K100" s="467"/>
    </row>
    <row r="101" spans="1:12" ht="12.75" customHeight="1" x14ac:dyDescent="0.2">
      <c r="A101" s="463" t="s">
        <v>246</v>
      </c>
      <c r="B101" s="470">
        <v>1970</v>
      </c>
      <c r="C101" s="489">
        <v>2100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372004</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342</v>
      </c>
      <c r="D107" s="466">
        <v>1342</v>
      </c>
      <c r="E107" s="466"/>
      <c r="F107" s="466">
        <v>561</v>
      </c>
      <c r="G107" s="466"/>
      <c r="H107" s="466"/>
      <c r="I107" s="466"/>
      <c r="J107" s="467"/>
      <c r="K107" s="466"/>
    </row>
    <row r="108" spans="1:12" ht="12.75" customHeight="1" thickBot="1" x14ac:dyDescent="0.25">
      <c r="A108" s="1708" t="s">
        <v>487</v>
      </c>
      <c r="B108" s="1712"/>
      <c r="C108" s="1707">
        <f>SUM(C95:C107)</f>
        <v>55602</v>
      </c>
      <c r="D108" s="1707">
        <f t="shared" ref="D108:K108" si="3">SUM(D95:D107)</f>
        <v>1620</v>
      </c>
      <c r="E108" s="1707">
        <f t="shared" si="3"/>
        <v>0</v>
      </c>
      <c r="F108" s="1707">
        <f t="shared" si="3"/>
        <v>6796</v>
      </c>
      <c r="G108" s="1707">
        <f t="shared" si="3"/>
        <v>0</v>
      </c>
      <c r="H108" s="1707">
        <f t="shared" si="3"/>
        <v>374429</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3918798</v>
      </c>
      <c r="D109" s="1715">
        <f t="shared" si="4"/>
        <v>458496</v>
      </c>
      <c r="E109" s="1715">
        <f t="shared" si="4"/>
        <v>0</v>
      </c>
      <c r="F109" s="1715">
        <f t="shared" si="4"/>
        <v>182775</v>
      </c>
      <c r="G109" s="1715">
        <f t="shared" si="4"/>
        <v>233427</v>
      </c>
      <c r="H109" s="1715">
        <f t="shared" si="4"/>
        <v>380657</v>
      </c>
      <c r="I109" s="1715">
        <f t="shared" si="4"/>
        <v>36964</v>
      </c>
      <c r="J109" s="1715">
        <f t="shared" si="4"/>
        <v>149929</v>
      </c>
      <c r="K109" s="1702">
        <f t="shared" si="4"/>
        <v>61222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1260924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1260924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8692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8692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2020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9850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164285</v>
      </c>
      <c r="G152" s="467"/>
      <c r="H152" s="468"/>
      <c r="I152" s="468"/>
      <c r="J152" s="468"/>
      <c r="K152" s="468"/>
    </row>
    <row r="153" spans="1:11" ht="12.75" customHeight="1" x14ac:dyDescent="0.2">
      <c r="A153" s="463" t="s">
        <v>1057</v>
      </c>
      <c r="B153" s="562">
        <v>3510</v>
      </c>
      <c r="C153" s="551"/>
      <c r="D153" s="466"/>
      <c r="E153" s="561"/>
      <c r="F153" s="466">
        <v>6636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170921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25547</v>
      </c>
      <c r="D159" s="578">
        <v>1142</v>
      </c>
      <c r="E159" s="561"/>
      <c r="F159" s="576">
        <v>12888</v>
      </c>
      <c r="G159" s="576">
        <v>1617</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1010</v>
      </c>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47119</v>
      </c>
      <c r="D169" s="1722">
        <f t="shared" si="6"/>
        <v>1142</v>
      </c>
      <c r="E169" s="1722">
        <f t="shared" si="6"/>
        <v>0</v>
      </c>
      <c r="F169" s="1722">
        <f t="shared" si="6"/>
        <v>183809</v>
      </c>
      <c r="G169" s="1722">
        <f t="shared" si="6"/>
        <v>1617</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1308043</v>
      </c>
      <c r="D170" s="1715">
        <f t="shared" si="7"/>
        <v>1142</v>
      </c>
      <c r="E170" s="1715">
        <f t="shared" si="7"/>
        <v>0</v>
      </c>
      <c r="F170" s="1715">
        <f t="shared" si="7"/>
        <v>183809</v>
      </c>
      <c r="G170" s="1715">
        <f t="shared" si="7"/>
        <v>1617</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36811</v>
      </c>
      <c r="D180" s="466"/>
      <c r="E180" s="468"/>
      <c r="F180" s="466"/>
      <c r="G180" s="466"/>
      <c r="H180" s="466"/>
      <c r="I180" s="468"/>
      <c r="J180" s="468"/>
      <c r="K180" s="466"/>
    </row>
    <row r="181" spans="1:11" ht="13.5" thickBot="1" x14ac:dyDescent="0.25">
      <c r="A181" s="2158" t="s">
        <v>785</v>
      </c>
      <c r="B181" s="2159"/>
      <c r="C181" s="1707">
        <f>SUM(C177:C180)</f>
        <v>36811</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110454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20726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131180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113529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113529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1553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1553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10949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144205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155154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17402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9297</v>
      </c>
      <c r="D263" s="576"/>
      <c r="E263" s="468"/>
      <c r="F263" s="576"/>
      <c r="G263" s="576"/>
      <c r="H263" s="468"/>
      <c r="I263" s="468"/>
      <c r="J263" s="468"/>
      <c r="K263" s="468"/>
    </row>
    <row r="264" spans="1:11" ht="12.75" customHeight="1" thickTop="1" thickBot="1" x14ac:dyDescent="0.25">
      <c r="A264" s="463" t="s">
        <v>377</v>
      </c>
      <c r="B264" s="470">
        <v>4992</v>
      </c>
      <c r="C264" s="575">
        <v>15101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443216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480027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5706868</v>
      </c>
      <c r="D268" s="1715">
        <f t="shared" si="12"/>
        <v>459638</v>
      </c>
      <c r="E268" s="1715">
        <f t="shared" si="12"/>
        <v>0</v>
      </c>
      <c r="F268" s="1715">
        <f t="shared" si="12"/>
        <v>366584</v>
      </c>
      <c r="G268" s="1715">
        <f t="shared" si="12"/>
        <v>235044</v>
      </c>
      <c r="H268" s="1715">
        <f t="shared" si="12"/>
        <v>380657</v>
      </c>
      <c r="I268" s="1715">
        <f t="shared" si="12"/>
        <v>36964</v>
      </c>
      <c r="J268" s="1715">
        <f t="shared" si="12"/>
        <v>149929</v>
      </c>
      <c r="K268" s="1702">
        <f t="shared" si="12"/>
        <v>61222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08" activePane="bottomLeft" state="frozen"/>
      <selection pane="bottomLeft" activeCell="L74" sqref="L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2084651</v>
      </c>
      <c r="D5" s="466">
        <v>569753</v>
      </c>
      <c r="E5" s="466">
        <v>20792</v>
      </c>
      <c r="F5" s="466">
        <v>53130</v>
      </c>
      <c r="G5" s="466">
        <v>10033</v>
      </c>
      <c r="H5" s="466">
        <v>6519</v>
      </c>
      <c r="I5" s="467"/>
      <c r="J5" s="467">
        <v>9000</v>
      </c>
      <c r="K5" s="1671">
        <f>SUM(C5:J5)</f>
        <v>2753878</v>
      </c>
      <c r="L5" s="466">
        <v>2812064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134298</v>
      </c>
      <c r="D7" s="467">
        <v>33946</v>
      </c>
      <c r="E7" s="467">
        <v>136</v>
      </c>
      <c r="F7" s="467">
        <v>1138</v>
      </c>
      <c r="G7" s="467"/>
      <c r="H7" s="467"/>
      <c r="I7" s="467"/>
      <c r="J7" s="467"/>
      <c r="K7" s="1671">
        <f t="shared" ref="K7:K32" si="0">SUM(C7:J7)</f>
        <v>169518</v>
      </c>
      <c r="L7" s="466">
        <v>171440</v>
      </c>
    </row>
    <row r="8" spans="1:14" x14ac:dyDescent="0.2">
      <c r="A8" s="1504" t="s">
        <v>164</v>
      </c>
      <c r="B8" s="614">
        <v>1200</v>
      </c>
      <c r="C8" s="466">
        <v>399904</v>
      </c>
      <c r="D8" s="466">
        <v>62010</v>
      </c>
      <c r="E8" s="466">
        <v>474</v>
      </c>
      <c r="F8" s="466">
        <v>4468</v>
      </c>
      <c r="G8" s="466"/>
      <c r="H8" s="466"/>
      <c r="I8" s="467"/>
      <c r="J8" s="467"/>
      <c r="K8" s="1671">
        <f t="shared" si="0"/>
        <v>466856</v>
      </c>
      <c r="L8" s="466">
        <v>481278</v>
      </c>
    </row>
    <row r="9" spans="1:14" x14ac:dyDescent="0.2">
      <c r="A9" s="1504" t="s">
        <v>721</v>
      </c>
      <c r="B9" s="614" t="s">
        <v>968</v>
      </c>
      <c r="C9" s="467">
        <v>12359</v>
      </c>
      <c r="D9" s="467"/>
      <c r="E9" s="467"/>
      <c r="F9" s="467"/>
      <c r="G9" s="467"/>
      <c r="H9" s="467"/>
      <c r="I9" s="467"/>
      <c r="J9" s="467"/>
      <c r="K9" s="1671">
        <f t="shared" si="0"/>
        <v>12359</v>
      </c>
      <c r="L9" s="466">
        <v>1800</v>
      </c>
    </row>
    <row r="10" spans="1:14" x14ac:dyDescent="0.2">
      <c r="A10" s="1504" t="s">
        <v>722</v>
      </c>
      <c r="B10" s="614">
        <v>1250</v>
      </c>
      <c r="C10" s="466">
        <v>93902</v>
      </c>
      <c r="D10" s="466">
        <v>30927</v>
      </c>
      <c r="E10" s="466"/>
      <c r="F10" s="466"/>
      <c r="G10" s="466"/>
      <c r="H10" s="466"/>
      <c r="I10" s="467"/>
      <c r="J10" s="467"/>
      <c r="K10" s="1671">
        <f t="shared" si="0"/>
        <v>124829</v>
      </c>
      <c r="L10" s="466">
        <v>106616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80916</v>
      </c>
      <c r="D13" s="466">
        <v>20701</v>
      </c>
      <c r="E13" s="466">
        <v>1795</v>
      </c>
      <c r="F13" s="466">
        <v>5609</v>
      </c>
      <c r="G13" s="466"/>
      <c r="H13" s="466"/>
      <c r="I13" s="467"/>
      <c r="J13" s="467"/>
      <c r="K13" s="1671">
        <f t="shared" si="0"/>
        <v>109021</v>
      </c>
      <c r="L13" s="466">
        <v>109408</v>
      </c>
    </row>
    <row r="14" spans="1:14" x14ac:dyDescent="0.2">
      <c r="A14" s="1504" t="s">
        <v>963</v>
      </c>
      <c r="B14" s="614">
        <v>1500</v>
      </c>
      <c r="C14" s="466">
        <v>61630</v>
      </c>
      <c r="D14" s="466">
        <v>2764</v>
      </c>
      <c r="E14" s="466">
        <v>13586</v>
      </c>
      <c r="F14" s="466">
        <v>6591</v>
      </c>
      <c r="G14" s="466">
        <v>4950</v>
      </c>
      <c r="H14" s="466">
        <v>16769</v>
      </c>
      <c r="I14" s="467"/>
      <c r="J14" s="467"/>
      <c r="K14" s="1671">
        <f t="shared" si="0"/>
        <v>106290</v>
      </c>
      <c r="L14" s="466">
        <v>105853</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35009</v>
      </c>
      <c r="D17" s="467"/>
      <c r="E17" s="467">
        <v>2000</v>
      </c>
      <c r="F17" s="467">
        <v>710</v>
      </c>
      <c r="G17" s="467"/>
      <c r="H17" s="467"/>
      <c r="I17" s="467"/>
      <c r="J17" s="467"/>
      <c r="K17" s="1671">
        <f t="shared" si="0"/>
        <v>37719</v>
      </c>
      <c r="L17" s="466">
        <v>39511</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2902669</v>
      </c>
      <c r="D33" s="1670">
        <f t="shared" ref="D33:L33" si="1">SUM(D5:D32)</f>
        <v>720101</v>
      </c>
      <c r="E33" s="1670">
        <f t="shared" si="1"/>
        <v>38783</v>
      </c>
      <c r="F33" s="1670">
        <f t="shared" si="1"/>
        <v>71646</v>
      </c>
      <c r="G33" s="1670">
        <f t="shared" si="1"/>
        <v>14983</v>
      </c>
      <c r="H33" s="1670">
        <f t="shared" si="1"/>
        <v>23288</v>
      </c>
      <c r="I33" s="1670">
        <f t="shared" si="1"/>
        <v>0</v>
      </c>
      <c r="J33" s="1670">
        <f t="shared" si="1"/>
        <v>9000</v>
      </c>
      <c r="K33" s="1670">
        <f t="shared" si="1"/>
        <v>3780470</v>
      </c>
      <c r="L33" s="1670">
        <f t="shared" si="1"/>
        <v>3827970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64519</v>
      </c>
      <c r="D36" s="481">
        <v>19180</v>
      </c>
      <c r="E36" s="481"/>
      <c r="F36" s="481"/>
      <c r="G36" s="481"/>
      <c r="H36" s="481"/>
      <c r="I36" s="467"/>
      <c r="J36" s="467"/>
      <c r="K36" s="1671">
        <f t="shared" ref="K36:K41" si="2">SUM(C36:J36)</f>
        <v>83699</v>
      </c>
      <c r="L36" s="466">
        <v>84733</v>
      </c>
    </row>
    <row r="37" spans="1:14" x14ac:dyDescent="0.2">
      <c r="A37" s="1504" t="s">
        <v>1090</v>
      </c>
      <c r="B37" s="614">
        <v>2120</v>
      </c>
      <c r="C37" s="466">
        <v>74738</v>
      </c>
      <c r="D37" s="466">
        <v>26871</v>
      </c>
      <c r="E37" s="466"/>
      <c r="F37" s="466">
        <v>537</v>
      </c>
      <c r="G37" s="466"/>
      <c r="H37" s="466"/>
      <c r="I37" s="467"/>
      <c r="J37" s="467"/>
      <c r="K37" s="1671">
        <f t="shared" si="2"/>
        <v>102146</v>
      </c>
      <c r="L37" s="466">
        <v>103393</v>
      </c>
    </row>
    <row r="38" spans="1:14" x14ac:dyDescent="0.2">
      <c r="A38" s="1504" t="s">
        <v>198</v>
      </c>
      <c r="B38" s="614">
        <v>2130</v>
      </c>
      <c r="C38" s="466">
        <v>23545</v>
      </c>
      <c r="D38" s="466">
        <v>1821</v>
      </c>
      <c r="E38" s="466">
        <v>380</v>
      </c>
      <c r="F38" s="466">
        <v>194</v>
      </c>
      <c r="G38" s="466"/>
      <c r="H38" s="466"/>
      <c r="I38" s="467"/>
      <c r="J38" s="467"/>
      <c r="K38" s="1671">
        <f t="shared" si="2"/>
        <v>25940</v>
      </c>
      <c r="L38" s="466">
        <v>31206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51629</v>
      </c>
      <c r="D40" s="466">
        <v>12833</v>
      </c>
      <c r="E40" s="466">
        <v>966</v>
      </c>
      <c r="F40" s="466">
        <v>229</v>
      </c>
      <c r="G40" s="466"/>
      <c r="H40" s="466"/>
      <c r="I40" s="467"/>
      <c r="J40" s="467"/>
      <c r="K40" s="1671">
        <f t="shared" si="2"/>
        <v>65657</v>
      </c>
      <c r="L40" s="466">
        <v>66514</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214431</v>
      </c>
      <c r="D42" s="1670">
        <f t="shared" ref="D42:L42" si="3">SUM(D36:D41)</f>
        <v>60705</v>
      </c>
      <c r="E42" s="1670">
        <f t="shared" si="3"/>
        <v>1346</v>
      </c>
      <c r="F42" s="1670">
        <f t="shared" si="3"/>
        <v>960</v>
      </c>
      <c r="G42" s="1670">
        <f t="shared" si="3"/>
        <v>0</v>
      </c>
      <c r="H42" s="1670">
        <f t="shared" si="3"/>
        <v>0</v>
      </c>
      <c r="I42" s="1670">
        <f t="shared" si="3"/>
        <v>0</v>
      </c>
      <c r="J42" s="1670">
        <f t="shared" si="3"/>
        <v>0</v>
      </c>
      <c r="K42" s="1670">
        <f t="shared" si="3"/>
        <v>277442</v>
      </c>
      <c r="L42" s="1670">
        <f t="shared" si="3"/>
        <v>285846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22635</v>
      </c>
      <c r="E44" s="481">
        <v>4134</v>
      </c>
      <c r="F44" s="481"/>
      <c r="G44" s="481"/>
      <c r="H44" s="481"/>
      <c r="I44" s="467"/>
      <c r="J44" s="467"/>
      <c r="K44" s="1672">
        <f>SUM(C44:J44)</f>
        <v>26769</v>
      </c>
      <c r="L44" s="481">
        <v>23600</v>
      </c>
    </row>
    <row r="45" spans="1:14" x14ac:dyDescent="0.2">
      <c r="A45" s="1504" t="s">
        <v>815</v>
      </c>
      <c r="B45" s="614">
        <v>2220</v>
      </c>
      <c r="C45" s="466">
        <v>107618</v>
      </c>
      <c r="D45" s="466">
        <v>6156</v>
      </c>
      <c r="E45" s="466">
        <v>55985</v>
      </c>
      <c r="F45" s="466">
        <v>71807</v>
      </c>
      <c r="G45" s="466">
        <v>13641</v>
      </c>
      <c r="H45" s="466"/>
      <c r="I45" s="467"/>
      <c r="J45" s="467"/>
      <c r="K45" s="1672">
        <f>SUM(C45:J45)</f>
        <v>255207</v>
      </c>
      <c r="L45" s="466">
        <v>263980</v>
      </c>
    </row>
    <row r="46" spans="1:14" x14ac:dyDescent="0.2">
      <c r="A46" s="1504" t="s">
        <v>816</v>
      </c>
      <c r="B46" s="614">
        <v>2230</v>
      </c>
      <c r="C46" s="466"/>
      <c r="D46" s="466"/>
      <c r="E46" s="466"/>
      <c r="F46" s="466">
        <v>1085</v>
      </c>
      <c r="G46" s="466"/>
      <c r="H46" s="466"/>
      <c r="I46" s="467"/>
      <c r="J46" s="467"/>
      <c r="K46" s="1672">
        <f>SUM(C46:J46)</f>
        <v>1085</v>
      </c>
      <c r="L46" s="466">
        <v>2750</v>
      </c>
    </row>
    <row r="47" spans="1:14" ht="12.75" customHeight="1" thickBot="1" x14ac:dyDescent="0.25">
      <c r="A47" s="1668" t="s">
        <v>561</v>
      </c>
      <c r="B47" s="1669" t="s">
        <v>32</v>
      </c>
      <c r="C47" s="1670">
        <f>SUM(C44:C46)</f>
        <v>107618</v>
      </c>
      <c r="D47" s="1670">
        <f t="shared" ref="D47:K47" si="4">SUM(D44:D46)</f>
        <v>28791</v>
      </c>
      <c r="E47" s="1670">
        <f t="shared" si="4"/>
        <v>60119</v>
      </c>
      <c r="F47" s="1670">
        <f t="shared" si="4"/>
        <v>72892</v>
      </c>
      <c r="G47" s="1670">
        <f t="shared" si="4"/>
        <v>13641</v>
      </c>
      <c r="H47" s="1670">
        <f t="shared" si="4"/>
        <v>0</v>
      </c>
      <c r="I47" s="1670">
        <f t="shared" si="4"/>
        <v>0</v>
      </c>
      <c r="J47" s="1670">
        <f t="shared" si="4"/>
        <v>0</v>
      </c>
      <c r="K47" s="1670">
        <f t="shared" si="4"/>
        <v>283061</v>
      </c>
      <c r="L47" s="1670">
        <f>SUM(L44:L46)</f>
        <v>290330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2315</v>
      </c>
      <c r="D49" s="481"/>
      <c r="E49" s="481">
        <v>20731</v>
      </c>
      <c r="F49" s="481">
        <v>4096</v>
      </c>
      <c r="G49" s="481"/>
      <c r="H49" s="481">
        <v>6224</v>
      </c>
      <c r="I49" s="467"/>
      <c r="J49" s="467"/>
      <c r="K49" s="1672">
        <f>SUM(C49:J49)</f>
        <v>33366</v>
      </c>
      <c r="L49" s="481">
        <v>29990</v>
      </c>
    </row>
    <row r="50" spans="1:14" x14ac:dyDescent="0.2">
      <c r="A50" s="1504" t="s">
        <v>818</v>
      </c>
      <c r="B50" s="614">
        <v>2320</v>
      </c>
      <c r="C50" s="466">
        <v>36990</v>
      </c>
      <c r="D50" s="466">
        <v>5305</v>
      </c>
      <c r="E50" s="466"/>
      <c r="F50" s="466"/>
      <c r="G50" s="466"/>
      <c r="H50" s="466">
        <v>862</v>
      </c>
      <c r="I50" s="467"/>
      <c r="J50" s="467"/>
      <c r="K50" s="1672">
        <f>SUM(C50:J50)</f>
        <v>43157</v>
      </c>
      <c r="L50" s="466">
        <v>43159</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39305</v>
      </c>
      <c r="D53" s="1670">
        <f t="shared" ref="D53:L53" si="5">SUM(D49:D52)</f>
        <v>5305</v>
      </c>
      <c r="E53" s="1670">
        <f t="shared" si="5"/>
        <v>20731</v>
      </c>
      <c r="F53" s="1670">
        <f t="shared" si="5"/>
        <v>4096</v>
      </c>
      <c r="G53" s="1670">
        <f t="shared" si="5"/>
        <v>0</v>
      </c>
      <c r="H53" s="1670">
        <f t="shared" si="5"/>
        <v>7086</v>
      </c>
      <c r="I53" s="1670">
        <f t="shared" si="5"/>
        <v>0</v>
      </c>
      <c r="J53" s="1670">
        <f t="shared" si="5"/>
        <v>0</v>
      </c>
      <c r="K53" s="1670">
        <f t="shared" si="5"/>
        <v>76523</v>
      </c>
      <c r="L53" s="1670">
        <f t="shared" si="5"/>
        <v>73149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304050</v>
      </c>
      <c r="D55" s="481">
        <v>103289</v>
      </c>
      <c r="E55" s="481">
        <v>345</v>
      </c>
      <c r="F55" s="481">
        <v>1442</v>
      </c>
      <c r="G55" s="481"/>
      <c r="H55" s="481">
        <v>1568</v>
      </c>
      <c r="I55" s="467"/>
      <c r="J55" s="467"/>
      <c r="K55" s="1672">
        <f>SUM(C55:J55)</f>
        <v>410694</v>
      </c>
      <c r="L55" s="481">
        <v>445350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304050</v>
      </c>
      <c r="D57" s="1674">
        <f t="shared" ref="D57:K57" si="6">SUM(D55:D56)</f>
        <v>103289</v>
      </c>
      <c r="E57" s="1674">
        <f t="shared" si="6"/>
        <v>345</v>
      </c>
      <c r="F57" s="1674">
        <f t="shared" si="6"/>
        <v>1442</v>
      </c>
      <c r="G57" s="1674">
        <f t="shared" si="6"/>
        <v>0</v>
      </c>
      <c r="H57" s="1674">
        <f t="shared" si="6"/>
        <v>1568</v>
      </c>
      <c r="I57" s="1674">
        <f t="shared" si="6"/>
        <v>0</v>
      </c>
      <c r="J57" s="1674">
        <f t="shared" si="6"/>
        <v>0</v>
      </c>
      <c r="K57" s="1674">
        <f t="shared" si="6"/>
        <v>410694</v>
      </c>
      <c r="L57" s="1670">
        <f>SUM(L55:L56)</f>
        <v>445350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46198</v>
      </c>
      <c r="D60" s="466">
        <v>16149</v>
      </c>
      <c r="E60" s="466">
        <v>23885</v>
      </c>
      <c r="F60" s="466">
        <v>289</v>
      </c>
      <c r="G60" s="466"/>
      <c r="H60" s="466">
        <v>45</v>
      </c>
      <c r="I60" s="467"/>
      <c r="J60" s="467"/>
      <c r="K60" s="1672">
        <f t="shared" si="7"/>
        <v>86566</v>
      </c>
      <c r="L60" s="466">
        <v>74140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120986</v>
      </c>
      <c r="D63" s="466">
        <v>15652</v>
      </c>
      <c r="E63" s="466"/>
      <c r="F63" s="466">
        <v>113030</v>
      </c>
      <c r="G63" s="466">
        <v>600</v>
      </c>
      <c r="H63" s="466"/>
      <c r="I63" s="467"/>
      <c r="J63" s="467"/>
      <c r="K63" s="1672">
        <f t="shared" si="7"/>
        <v>250268</v>
      </c>
      <c r="L63" s="466">
        <v>258710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167184</v>
      </c>
      <c r="D65" s="1670">
        <f t="shared" ref="D65:L65" si="8">SUM(D59:D64)</f>
        <v>31801</v>
      </c>
      <c r="E65" s="1670">
        <f t="shared" si="8"/>
        <v>23885</v>
      </c>
      <c r="F65" s="1670">
        <f t="shared" si="8"/>
        <v>113319</v>
      </c>
      <c r="G65" s="1670">
        <f t="shared" si="8"/>
        <v>600</v>
      </c>
      <c r="H65" s="1670">
        <f t="shared" si="8"/>
        <v>45</v>
      </c>
      <c r="I65" s="1670">
        <f t="shared" si="8"/>
        <v>0</v>
      </c>
      <c r="J65" s="1670">
        <f t="shared" si="8"/>
        <v>0</v>
      </c>
      <c r="K65" s="1670">
        <f t="shared" si="8"/>
        <v>336834</v>
      </c>
      <c r="L65" s="1670">
        <f t="shared" si="8"/>
        <v>332850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v>3026</v>
      </c>
      <c r="F73" s="573"/>
      <c r="G73" s="573"/>
      <c r="H73" s="573"/>
      <c r="I73" s="531"/>
      <c r="J73" s="531"/>
      <c r="K73" s="1670">
        <f>SUM(C73:J73)</f>
        <v>3026</v>
      </c>
      <c r="L73" s="576">
        <v>3150</v>
      </c>
      <c r="M73" s="609"/>
      <c r="N73" s="609"/>
    </row>
    <row r="74" spans="1:14" ht="12.75" customHeight="1" thickTop="1" thickBot="1" x14ac:dyDescent="0.25">
      <c r="A74" s="1668" t="s">
        <v>811</v>
      </c>
      <c r="B74" s="1676">
        <v>2000</v>
      </c>
      <c r="C74" s="1677">
        <f>SUM(C42,C47,C53,C57,C65,C72,C73)</f>
        <v>832588</v>
      </c>
      <c r="D74" s="1677">
        <f t="shared" ref="D74:K74" si="10">SUM(D42,D47,D53,D57,D65,D72,D73)</f>
        <v>229891</v>
      </c>
      <c r="E74" s="1677">
        <f t="shared" si="10"/>
        <v>109452</v>
      </c>
      <c r="F74" s="1677">
        <f t="shared" si="10"/>
        <v>192709</v>
      </c>
      <c r="G74" s="1677">
        <f t="shared" si="10"/>
        <v>14241</v>
      </c>
      <c r="H74" s="1677">
        <f t="shared" si="10"/>
        <v>8699</v>
      </c>
      <c r="I74" s="1677">
        <f t="shared" si="10"/>
        <v>0</v>
      </c>
      <c r="J74" s="1677">
        <f t="shared" si="10"/>
        <v>0</v>
      </c>
      <c r="K74" s="1677">
        <f t="shared" si="10"/>
        <v>1387580</v>
      </c>
      <c r="L74" s="1677">
        <f>SUM(L42,L47,L53,L57,L65,L72,L73)</f>
        <v>1430675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145612</v>
      </c>
      <c r="F79" s="616"/>
      <c r="G79" s="616"/>
      <c r="H79" s="466">
        <v>41754</v>
      </c>
      <c r="I79" s="477"/>
      <c r="J79" s="477"/>
      <c r="K79" s="1671">
        <f t="shared" si="11"/>
        <v>187366</v>
      </c>
      <c r="L79" s="466">
        <v>203888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145612</v>
      </c>
      <c r="F84" s="616"/>
      <c r="G84" s="616"/>
      <c r="H84" s="1670">
        <f>SUM(H78:H83)</f>
        <v>41754</v>
      </c>
      <c r="I84" s="477"/>
      <c r="J84" s="477"/>
      <c r="K84" s="1670">
        <f>SUM(K78:K83)</f>
        <v>187366</v>
      </c>
      <c r="L84" s="1670">
        <f>SUM(L78:L83)</f>
        <v>203888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10065</v>
      </c>
      <c r="I86" s="477"/>
      <c r="J86" s="477"/>
      <c r="K86" s="1677">
        <f t="shared" ref="K86:K98" si="12">H86</f>
        <v>10065</v>
      </c>
      <c r="L86" s="530">
        <v>37000</v>
      </c>
    </row>
    <row r="87" spans="1:12" ht="14.25" thickTop="1" thickBot="1" x14ac:dyDescent="0.25">
      <c r="A87" s="1513" t="s">
        <v>700</v>
      </c>
      <c r="B87" s="639">
        <v>4230</v>
      </c>
      <c r="C87" s="616"/>
      <c r="D87" s="616"/>
      <c r="E87" s="638"/>
      <c r="F87" s="616"/>
      <c r="G87" s="616"/>
      <c r="H87" s="467">
        <v>3162</v>
      </c>
      <c r="I87" s="477"/>
      <c r="J87" s="477"/>
      <c r="K87" s="1677">
        <f t="shared" si="12"/>
        <v>3162</v>
      </c>
      <c r="L87" s="530">
        <v>3079</v>
      </c>
    </row>
    <row r="88" spans="1:12" ht="12.75" customHeight="1" thickTop="1" thickBot="1" x14ac:dyDescent="0.25">
      <c r="A88" s="1513" t="s">
        <v>765</v>
      </c>
      <c r="B88" s="639">
        <v>4240</v>
      </c>
      <c r="C88" s="616"/>
      <c r="D88" s="616"/>
      <c r="E88" s="638"/>
      <c r="F88" s="616"/>
      <c r="G88" s="616"/>
      <c r="H88" s="467">
        <v>44318</v>
      </c>
      <c r="I88" s="477"/>
      <c r="J88" s="477"/>
      <c r="K88" s="1677">
        <f t="shared" si="12"/>
        <v>44318</v>
      </c>
      <c r="L88" s="530">
        <v>40800</v>
      </c>
    </row>
    <row r="89" spans="1:12" ht="12.75" customHeight="1" thickTop="1" thickBot="1" x14ac:dyDescent="0.25">
      <c r="A89" s="1513" t="s">
        <v>701</v>
      </c>
      <c r="B89" s="639">
        <v>4270</v>
      </c>
      <c r="C89" s="616"/>
      <c r="D89" s="616"/>
      <c r="E89" s="638"/>
      <c r="F89" s="616"/>
      <c r="G89" s="616"/>
      <c r="H89" s="467">
        <v>11940</v>
      </c>
      <c r="I89" s="477"/>
      <c r="J89" s="477"/>
      <c r="K89" s="1677">
        <f t="shared" si="12"/>
        <v>11940</v>
      </c>
      <c r="L89" s="530">
        <v>20000</v>
      </c>
    </row>
    <row r="90" spans="1:12" ht="12.75" customHeight="1" thickTop="1" thickBot="1" x14ac:dyDescent="0.25">
      <c r="A90" s="1513" t="s">
        <v>686</v>
      </c>
      <c r="B90" s="639">
        <v>4280</v>
      </c>
      <c r="C90" s="616"/>
      <c r="D90" s="616"/>
      <c r="E90" s="638"/>
      <c r="F90" s="616"/>
      <c r="G90" s="616"/>
      <c r="H90" s="467">
        <v>12000</v>
      </c>
      <c r="I90" s="477"/>
      <c r="J90" s="477"/>
      <c r="K90" s="1677">
        <f t="shared" si="12"/>
        <v>12000</v>
      </c>
      <c r="L90" s="530">
        <v>12000</v>
      </c>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81485</v>
      </c>
      <c r="I92" s="477"/>
      <c r="J92" s="477"/>
      <c r="K92" s="1677">
        <f t="shared" si="12"/>
        <v>81485</v>
      </c>
      <c r="L92" s="1670">
        <f>SUM(L85:L91)</f>
        <v>112879</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145612</v>
      </c>
      <c r="F102" s="616"/>
      <c r="G102" s="616"/>
      <c r="H102" s="1677">
        <f>SUM(H84,H92,H100,H101)</f>
        <v>123239</v>
      </c>
      <c r="I102" s="477"/>
      <c r="J102" s="477"/>
      <c r="K102" s="1677">
        <f>SUM(K84,K92,K100,K101)</f>
        <v>268851</v>
      </c>
      <c r="L102" s="1677">
        <f>SUM(L84,L92,L100,L101)</f>
        <v>316767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3735257</v>
      </c>
      <c r="D114" s="1670">
        <f t="shared" ref="D114:K114" si="13">SUM(D33,D74,D75,D102,D112,D113)</f>
        <v>949992</v>
      </c>
      <c r="E114" s="1670">
        <f t="shared" si="13"/>
        <v>293847</v>
      </c>
      <c r="F114" s="1670">
        <f t="shared" si="13"/>
        <v>264355</v>
      </c>
      <c r="G114" s="1670">
        <f t="shared" si="13"/>
        <v>29224</v>
      </c>
      <c r="H114" s="1670">
        <f>SUM(H33,H74,H75,H102,H112,H113)</f>
        <v>155226</v>
      </c>
      <c r="I114" s="1670">
        <f t="shared" si="13"/>
        <v>0</v>
      </c>
      <c r="J114" s="1670">
        <f t="shared" si="13"/>
        <v>9000</v>
      </c>
      <c r="K114" s="1670">
        <f t="shared" si="13"/>
        <v>5436901</v>
      </c>
      <c r="L114" s="1670">
        <f>SUM(L33,L74,L75,L102,L112,L113)</f>
        <v>5575412</v>
      </c>
    </row>
    <row r="115" spans="1:14" ht="13.5" thickTop="1" x14ac:dyDescent="0.2">
      <c r="A115" s="2162" t="s">
        <v>996</v>
      </c>
      <c r="B115" s="2163"/>
      <c r="C115" s="618"/>
      <c r="D115" s="618"/>
      <c r="E115" s="618"/>
      <c r="F115" s="618"/>
      <c r="G115" s="618"/>
      <c r="H115" s="618"/>
      <c r="I115" s="618"/>
      <c r="J115" s="618"/>
      <c r="K115" s="1684">
        <f>'Revenues 9-14'!C268-'Expenditures 15-22'!K114</f>
        <v>269967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164167</v>
      </c>
      <c r="D124" s="466">
        <v>26043</v>
      </c>
      <c r="E124" s="466">
        <v>144361</v>
      </c>
      <c r="F124" s="466">
        <v>141673</v>
      </c>
      <c r="G124" s="466">
        <v>19528</v>
      </c>
      <c r="H124" s="466">
        <v>25</v>
      </c>
      <c r="I124" s="467"/>
      <c r="J124" s="467"/>
      <c r="K124" s="1670">
        <f>SUM(C124:J124)</f>
        <v>495797</v>
      </c>
      <c r="L124" s="466">
        <v>508178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164167</v>
      </c>
      <c r="D127" s="1670">
        <f t="shared" ref="D127:L127" si="14">SUM(D122:D126)</f>
        <v>26043</v>
      </c>
      <c r="E127" s="1670">
        <f t="shared" si="14"/>
        <v>144361</v>
      </c>
      <c r="F127" s="1670">
        <f t="shared" si="14"/>
        <v>141673</v>
      </c>
      <c r="G127" s="1670">
        <f t="shared" si="14"/>
        <v>19528</v>
      </c>
      <c r="H127" s="1670">
        <f t="shared" si="14"/>
        <v>25</v>
      </c>
      <c r="I127" s="1670">
        <f t="shared" si="14"/>
        <v>0</v>
      </c>
      <c r="J127" s="1670">
        <f t="shared" si="14"/>
        <v>0</v>
      </c>
      <c r="K127" s="1670">
        <f t="shared" si="14"/>
        <v>495797</v>
      </c>
      <c r="L127" s="1670">
        <f t="shared" si="14"/>
        <v>508178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164167</v>
      </c>
      <c r="D129" s="1677">
        <f t="shared" ref="D129:L129" si="15">SUM(D120,D127,D128)</f>
        <v>26043</v>
      </c>
      <c r="E129" s="1677">
        <f t="shared" si="15"/>
        <v>144361</v>
      </c>
      <c r="F129" s="1677">
        <f t="shared" si="15"/>
        <v>141673</v>
      </c>
      <c r="G129" s="1677">
        <f t="shared" si="15"/>
        <v>19528</v>
      </c>
      <c r="H129" s="1677">
        <f t="shared" si="15"/>
        <v>25</v>
      </c>
      <c r="I129" s="1677">
        <f t="shared" si="15"/>
        <v>0</v>
      </c>
      <c r="J129" s="1677">
        <f t="shared" si="15"/>
        <v>0</v>
      </c>
      <c r="K129" s="1677">
        <f t="shared" si="15"/>
        <v>495797</v>
      </c>
      <c r="L129" s="1677">
        <f t="shared" si="15"/>
        <v>508178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59"/>
      <c r="C151" s="1670">
        <f>SUM(C129,C130,C139,C149,C150)</f>
        <v>164167</v>
      </c>
      <c r="D151" s="1670">
        <f t="shared" ref="D151:K151" si="16">SUM(D129,D130,D139,D149,D150)</f>
        <v>26043</v>
      </c>
      <c r="E151" s="1670">
        <f t="shared" si="16"/>
        <v>144361</v>
      </c>
      <c r="F151" s="1670">
        <f t="shared" si="16"/>
        <v>141673</v>
      </c>
      <c r="G151" s="1670">
        <f t="shared" si="16"/>
        <v>19528</v>
      </c>
      <c r="H151" s="1670">
        <f t="shared" si="16"/>
        <v>25</v>
      </c>
      <c r="I151" s="1670">
        <f t="shared" si="16"/>
        <v>0</v>
      </c>
      <c r="J151" s="1670">
        <f t="shared" si="16"/>
        <v>0</v>
      </c>
      <c r="K151" s="1670">
        <f t="shared" si="16"/>
        <v>495797</v>
      </c>
      <c r="L151" s="1670">
        <f>SUM(L129,L130,L139,L149,L150)</f>
        <v>508178</v>
      </c>
    </row>
    <row r="152" spans="1:14" ht="12.75" customHeight="1" thickTop="1" x14ac:dyDescent="0.2">
      <c r="A152" s="2182" t="s">
        <v>1178</v>
      </c>
      <c r="B152" s="2183"/>
      <c r="C152" s="618"/>
      <c r="D152" s="618"/>
      <c r="E152" s="618"/>
      <c r="F152" s="618"/>
      <c r="G152" s="618"/>
      <c r="H152" s="618"/>
      <c r="I152" s="618"/>
      <c r="J152" s="616"/>
      <c r="K152" s="1684">
        <f>'Revenues 9-14'!D268-'Expenditures 15-22'!K151</f>
        <v>-36159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2" t="s">
        <v>996</v>
      </c>
      <c r="B175" s="2163"/>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183436</v>
      </c>
      <c r="D182" s="466">
        <v>16149</v>
      </c>
      <c r="E182" s="466">
        <v>24633</v>
      </c>
      <c r="F182" s="466">
        <v>49080</v>
      </c>
      <c r="G182" s="466">
        <v>27478</v>
      </c>
      <c r="H182" s="466">
        <v>429</v>
      </c>
      <c r="I182" s="467"/>
      <c r="J182" s="467"/>
      <c r="K182" s="1671">
        <f>SUM(C182:J182)</f>
        <v>301205</v>
      </c>
      <c r="L182" s="466">
        <v>296913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183436</v>
      </c>
      <c r="D184" s="1677">
        <f t="shared" ref="D184:J184" si="17">SUM(D180,D182,D183)</f>
        <v>16149</v>
      </c>
      <c r="E184" s="1677">
        <f t="shared" si="17"/>
        <v>24633</v>
      </c>
      <c r="F184" s="1677">
        <f t="shared" si="17"/>
        <v>49080</v>
      </c>
      <c r="G184" s="1677">
        <f t="shared" si="17"/>
        <v>27478</v>
      </c>
      <c r="H184" s="1677">
        <f t="shared" si="17"/>
        <v>429</v>
      </c>
      <c r="I184" s="1677">
        <f t="shared" si="17"/>
        <v>0</v>
      </c>
      <c r="J184" s="1677">
        <f t="shared" si="17"/>
        <v>0</v>
      </c>
      <c r="K184" s="1677">
        <f>SUM(K180,K182,K183)</f>
        <v>301205</v>
      </c>
      <c r="L184" s="1677">
        <f>SUM(L180, L182:L183)</f>
        <v>296913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13000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13000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13000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2924</v>
      </c>
      <c r="I205" s="616"/>
      <c r="J205" s="616"/>
      <c r="K205" s="1685">
        <f>SUM(H205)</f>
        <v>2924</v>
      </c>
      <c r="L205" s="535">
        <v>2925</v>
      </c>
    </row>
    <row r="206" spans="1:14" ht="30" customHeight="1" x14ac:dyDescent="0.2">
      <c r="A206" s="681" t="s">
        <v>1671</v>
      </c>
      <c r="B206" s="672" t="s">
        <v>31</v>
      </c>
      <c r="C206" s="616"/>
      <c r="D206" s="616"/>
      <c r="E206" s="616"/>
      <c r="F206" s="616"/>
      <c r="G206" s="616"/>
      <c r="H206" s="466">
        <v>85185</v>
      </c>
      <c r="I206" s="616"/>
      <c r="J206" s="616"/>
      <c r="K206" s="1671">
        <f>SUM(H206)</f>
        <v>85185</v>
      </c>
      <c r="L206" s="466">
        <v>82185</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88109</v>
      </c>
      <c r="I208" s="616"/>
      <c r="J208" s="616"/>
      <c r="K208" s="1677">
        <f>SUM(K204,K205,K206,K207)</f>
        <v>88109</v>
      </c>
      <c r="L208" s="1677">
        <f>SUM(L204,L205,L206,L207)</f>
        <v>85110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183436</v>
      </c>
      <c r="D210" s="1670">
        <f>SUM(D184,D185)</f>
        <v>16149</v>
      </c>
      <c r="E210" s="1670">
        <f>SUM(E184,E185,E196)</f>
        <v>24633</v>
      </c>
      <c r="F210" s="1670">
        <f>SUM(F184,F185)</f>
        <v>49080</v>
      </c>
      <c r="G210" s="1670">
        <f>SUM(G184,G185)</f>
        <v>27478</v>
      </c>
      <c r="H210" s="1670">
        <f>SUM(H184,H185,H196,H208,H209)</f>
        <v>88538</v>
      </c>
      <c r="I210" s="1670">
        <f>SUM(I184,I185)</f>
        <v>0</v>
      </c>
      <c r="J210" s="1670">
        <f>SUM(J184,J185)</f>
        <v>0</v>
      </c>
      <c r="K210" s="1671">
        <f>SUM(K184,K185,K196,K208,K209)</f>
        <v>389314</v>
      </c>
      <c r="L210" s="1670">
        <f>SUM(L184,L185,L196,L208,L209)</f>
        <v>395023</v>
      </c>
    </row>
    <row r="211" spans="1:14" ht="13.5" thickTop="1" x14ac:dyDescent="0.2">
      <c r="A211" s="2162" t="s">
        <v>996</v>
      </c>
      <c r="B211" s="2163"/>
      <c r="C211" s="618"/>
      <c r="D211" s="618"/>
      <c r="E211" s="618"/>
      <c r="F211" s="618"/>
      <c r="G211" s="618"/>
      <c r="H211" s="618"/>
      <c r="I211" s="616"/>
      <c r="J211" s="616"/>
      <c r="K211" s="1684">
        <f>'Revenues 9-14'!F268-'Expenditures 15-22'!K210</f>
        <v>-22730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39968</v>
      </c>
      <c r="E215" s="616"/>
      <c r="F215" s="616"/>
      <c r="G215" s="616"/>
      <c r="H215" s="616"/>
      <c r="I215" s="616"/>
      <c r="J215" s="616"/>
      <c r="K215" s="1671">
        <f>D215</f>
        <v>39968</v>
      </c>
      <c r="L215" s="466">
        <v>42851</v>
      </c>
    </row>
    <row r="216" spans="1:14" x14ac:dyDescent="0.2">
      <c r="A216" s="1504" t="s">
        <v>163</v>
      </c>
      <c r="B216" s="614" t="s">
        <v>967</v>
      </c>
      <c r="C216" s="616"/>
      <c r="D216" s="467">
        <v>2909</v>
      </c>
      <c r="E216" s="616"/>
      <c r="F216" s="616"/>
      <c r="G216" s="616"/>
      <c r="H216" s="616"/>
      <c r="I216" s="616"/>
      <c r="J216" s="616"/>
      <c r="K216" s="1671">
        <f t="shared" ref="K216:K228" si="19">D216</f>
        <v>2909</v>
      </c>
      <c r="L216" s="466">
        <v>5330</v>
      </c>
    </row>
    <row r="217" spans="1:14" x14ac:dyDescent="0.2">
      <c r="A217" s="1504" t="s">
        <v>164</v>
      </c>
      <c r="B217" s="614">
        <v>1200</v>
      </c>
      <c r="C217" s="616"/>
      <c r="D217" s="466">
        <v>23028</v>
      </c>
      <c r="E217" s="616"/>
      <c r="F217" s="616"/>
      <c r="G217" s="616"/>
      <c r="H217" s="616"/>
      <c r="I217" s="616"/>
      <c r="J217" s="616"/>
      <c r="K217" s="1671">
        <f t="shared" si="19"/>
        <v>23028</v>
      </c>
      <c r="L217" s="466">
        <v>25700</v>
      </c>
    </row>
    <row r="218" spans="1:14" x14ac:dyDescent="0.2">
      <c r="A218" s="1504" t="s">
        <v>278</v>
      </c>
      <c r="B218" s="614" t="s">
        <v>968</v>
      </c>
      <c r="C218" s="616"/>
      <c r="D218" s="467">
        <v>1740</v>
      </c>
      <c r="E218" s="616"/>
      <c r="F218" s="616"/>
      <c r="G218" s="616"/>
      <c r="H218" s="616"/>
      <c r="I218" s="616"/>
      <c r="J218" s="616"/>
      <c r="K218" s="1671">
        <f t="shared" si="19"/>
        <v>1740</v>
      </c>
      <c r="L218" s="466">
        <v>250</v>
      </c>
    </row>
    <row r="219" spans="1:14" x14ac:dyDescent="0.2">
      <c r="A219" s="1504" t="s">
        <v>279</v>
      </c>
      <c r="B219" s="614">
        <v>1250</v>
      </c>
      <c r="C219" s="616"/>
      <c r="D219" s="466">
        <v>4452</v>
      </c>
      <c r="E219" s="616"/>
      <c r="F219" s="616"/>
      <c r="G219" s="616"/>
      <c r="H219" s="616"/>
      <c r="I219" s="616"/>
      <c r="J219" s="616"/>
      <c r="K219" s="1671">
        <f t="shared" si="19"/>
        <v>4452</v>
      </c>
      <c r="L219" s="466">
        <v>4860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1158</v>
      </c>
      <c r="E222" s="616"/>
      <c r="F222" s="616"/>
      <c r="G222" s="616"/>
      <c r="H222" s="616"/>
      <c r="I222" s="616"/>
      <c r="J222" s="616"/>
      <c r="K222" s="1671">
        <f t="shared" si="19"/>
        <v>1158</v>
      </c>
      <c r="L222" s="466">
        <v>1100</v>
      </c>
    </row>
    <row r="223" spans="1:14" x14ac:dyDescent="0.2">
      <c r="A223" s="1504" t="s">
        <v>963</v>
      </c>
      <c r="B223" s="614">
        <v>1500</v>
      </c>
      <c r="C223" s="616"/>
      <c r="D223" s="466">
        <v>3846</v>
      </c>
      <c r="E223" s="616"/>
      <c r="F223" s="616"/>
      <c r="G223" s="616"/>
      <c r="H223" s="616"/>
      <c r="I223" s="616"/>
      <c r="J223" s="616"/>
      <c r="K223" s="1671">
        <f t="shared" si="19"/>
        <v>3846</v>
      </c>
      <c r="L223" s="466">
        <v>4500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508</v>
      </c>
      <c r="E226" s="616"/>
      <c r="F226" s="616"/>
      <c r="G226" s="616"/>
      <c r="H226" s="616"/>
      <c r="I226" s="616"/>
      <c r="J226" s="616"/>
      <c r="K226" s="1671">
        <f t="shared" si="19"/>
        <v>508</v>
      </c>
      <c r="L226" s="466">
        <v>500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77609</v>
      </c>
      <c r="E229" s="616"/>
      <c r="F229" s="616"/>
      <c r="G229" s="616"/>
      <c r="H229" s="616"/>
      <c r="I229" s="616"/>
      <c r="J229" s="616"/>
      <c r="K229" s="1670">
        <f>SUM(K215:K228)</f>
        <v>77609</v>
      </c>
      <c r="L229" s="1670">
        <f>SUM(L215:L228)</f>
        <v>85091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896</v>
      </c>
      <c r="E232" s="616"/>
      <c r="F232" s="616"/>
      <c r="G232" s="616"/>
      <c r="H232" s="616"/>
      <c r="I232" s="616"/>
      <c r="J232" s="616"/>
      <c r="K232" s="1671">
        <f t="shared" ref="K232:K237" si="20">D232</f>
        <v>896</v>
      </c>
      <c r="L232" s="466">
        <v>940</v>
      </c>
    </row>
    <row r="233" spans="1:12" x14ac:dyDescent="0.2">
      <c r="A233" s="1504" t="s">
        <v>1090</v>
      </c>
      <c r="B233" s="614">
        <v>2120</v>
      </c>
      <c r="C233" s="616"/>
      <c r="D233" s="466">
        <v>1025</v>
      </c>
      <c r="E233" s="616"/>
      <c r="F233" s="616"/>
      <c r="G233" s="616"/>
      <c r="H233" s="616"/>
      <c r="I233" s="616"/>
      <c r="J233" s="616"/>
      <c r="K233" s="1671">
        <f t="shared" si="20"/>
        <v>1025</v>
      </c>
      <c r="L233" s="466">
        <v>1090</v>
      </c>
    </row>
    <row r="234" spans="1:12" x14ac:dyDescent="0.2">
      <c r="A234" s="1504" t="s">
        <v>198</v>
      </c>
      <c r="B234" s="614">
        <v>2130</v>
      </c>
      <c r="C234" s="616"/>
      <c r="D234" s="466">
        <v>3099</v>
      </c>
      <c r="E234" s="616"/>
      <c r="F234" s="616"/>
      <c r="G234" s="616"/>
      <c r="H234" s="616"/>
      <c r="I234" s="616"/>
      <c r="J234" s="616"/>
      <c r="K234" s="1671">
        <f t="shared" si="20"/>
        <v>3099</v>
      </c>
      <c r="L234" s="466">
        <v>4120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729</v>
      </c>
      <c r="E236" s="616"/>
      <c r="F236" s="616"/>
      <c r="G236" s="616"/>
      <c r="H236" s="616"/>
      <c r="I236" s="616"/>
      <c r="J236" s="616"/>
      <c r="K236" s="1671">
        <f t="shared" si="20"/>
        <v>729</v>
      </c>
      <c r="L236" s="466">
        <v>790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5749</v>
      </c>
      <c r="E238" s="616"/>
      <c r="F238" s="616"/>
      <c r="G238" s="616"/>
      <c r="H238" s="616"/>
      <c r="I238" s="616"/>
      <c r="J238" s="616"/>
      <c r="K238" s="1670">
        <f>SUM(K232:K237)</f>
        <v>5749</v>
      </c>
      <c r="L238" s="1670">
        <f>SUM(L232:L237)</f>
        <v>6940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11177</v>
      </c>
      <c r="E241" s="616"/>
      <c r="F241" s="616"/>
      <c r="G241" s="616"/>
      <c r="H241" s="616"/>
      <c r="I241" s="616"/>
      <c r="J241" s="616"/>
      <c r="K241" s="1672">
        <f>D241</f>
        <v>11177</v>
      </c>
      <c r="L241" s="466">
        <v>12520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11177</v>
      </c>
      <c r="E243" s="616"/>
      <c r="F243" s="616"/>
      <c r="G243" s="616"/>
      <c r="H243" s="616"/>
      <c r="I243" s="616"/>
      <c r="J243" s="616"/>
      <c r="K243" s="1670">
        <f>SUM(K240:K242)</f>
        <v>11177</v>
      </c>
      <c r="L243" s="1670">
        <f>SUM(L240:L242)</f>
        <v>12520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177</v>
      </c>
      <c r="E245" s="616"/>
      <c r="F245" s="616"/>
      <c r="G245" s="616"/>
      <c r="H245" s="616"/>
      <c r="I245" s="616"/>
      <c r="J245" s="616"/>
      <c r="K245" s="1672">
        <f>D245</f>
        <v>177</v>
      </c>
      <c r="L245" s="481">
        <v>180</v>
      </c>
    </row>
    <row r="246" spans="1:12" x14ac:dyDescent="0.2">
      <c r="A246" s="1504" t="s">
        <v>818</v>
      </c>
      <c r="B246" s="614">
        <v>2320</v>
      </c>
      <c r="C246" s="616"/>
      <c r="D246" s="466">
        <v>1209</v>
      </c>
      <c r="E246" s="616"/>
      <c r="F246" s="616"/>
      <c r="G246" s="616"/>
      <c r="H246" s="616"/>
      <c r="I246" s="616"/>
      <c r="J246" s="616"/>
      <c r="K246" s="1672">
        <f t="shared" ref="K246:K256" si="21">D246</f>
        <v>1209</v>
      </c>
      <c r="L246" s="466">
        <v>1310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1386</v>
      </c>
      <c r="E257" s="616"/>
      <c r="F257" s="616"/>
      <c r="G257" s="616"/>
      <c r="H257" s="616"/>
      <c r="I257" s="616"/>
      <c r="J257" s="616"/>
      <c r="K257" s="1670">
        <f>SUM(K245:K256)</f>
        <v>1386</v>
      </c>
      <c r="L257" s="1670">
        <f>SUM(L245:L256)</f>
        <v>1490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20999</v>
      </c>
      <c r="E259" s="616"/>
      <c r="F259" s="616"/>
      <c r="G259" s="616"/>
      <c r="H259" s="616"/>
      <c r="I259" s="616"/>
      <c r="J259" s="616"/>
      <c r="K259" s="1672">
        <f>D259</f>
        <v>20999</v>
      </c>
      <c r="L259" s="481">
        <v>23820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20999</v>
      </c>
      <c r="E261" s="616"/>
      <c r="F261" s="616"/>
      <c r="G261" s="616"/>
      <c r="H261" s="616"/>
      <c r="I261" s="616"/>
      <c r="J261" s="616"/>
      <c r="K261" s="1670">
        <f>SUM(K259:K260)</f>
        <v>20999</v>
      </c>
      <c r="L261" s="1670">
        <f>SUM(L259:L260)</f>
        <v>23820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6203</v>
      </c>
      <c r="E264" s="616"/>
      <c r="F264" s="616"/>
      <c r="G264" s="616"/>
      <c r="H264" s="616"/>
      <c r="I264" s="616"/>
      <c r="J264" s="616"/>
      <c r="K264" s="1672">
        <f t="shared" ref="K264:K269" si="22">D264</f>
        <v>6203</v>
      </c>
      <c r="L264" s="466">
        <v>6835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23666</v>
      </c>
      <c r="E266" s="616"/>
      <c r="F266" s="616"/>
      <c r="G266" s="616"/>
      <c r="H266" s="616"/>
      <c r="I266" s="616"/>
      <c r="J266" s="616"/>
      <c r="K266" s="1672">
        <f t="shared" si="22"/>
        <v>23666</v>
      </c>
      <c r="L266" s="466">
        <v>24615</v>
      </c>
    </row>
    <row r="267" spans="1:14" x14ac:dyDescent="0.2">
      <c r="A267" s="1504" t="s">
        <v>953</v>
      </c>
      <c r="B267" s="614">
        <v>2550</v>
      </c>
      <c r="C267" s="616"/>
      <c r="D267" s="466">
        <v>22021</v>
      </c>
      <c r="E267" s="616"/>
      <c r="F267" s="616"/>
      <c r="G267" s="616"/>
      <c r="H267" s="616"/>
      <c r="I267" s="616"/>
      <c r="J267" s="616"/>
      <c r="K267" s="1672">
        <f t="shared" si="22"/>
        <v>22021</v>
      </c>
      <c r="L267" s="466">
        <v>24655</v>
      </c>
    </row>
    <row r="268" spans="1:14" x14ac:dyDescent="0.2">
      <c r="A268" s="1504" t="s">
        <v>100</v>
      </c>
      <c r="B268" s="614">
        <v>2560</v>
      </c>
      <c r="C268" s="616"/>
      <c r="D268" s="466">
        <v>15849</v>
      </c>
      <c r="E268" s="616"/>
      <c r="F268" s="616"/>
      <c r="G268" s="616"/>
      <c r="H268" s="616"/>
      <c r="I268" s="616"/>
      <c r="J268" s="616"/>
      <c r="K268" s="1672">
        <f t="shared" si="22"/>
        <v>15849</v>
      </c>
      <c r="L268" s="466">
        <v>17700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67739</v>
      </c>
      <c r="E270" s="616"/>
      <c r="F270" s="616"/>
      <c r="G270" s="616"/>
      <c r="H270" s="616"/>
      <c r="I270" s="616"/>
      <c r="J270" s="616"/>
      <c r="K270" s="1670">
        <f>SUM(K263:K269)</f>
        <v>67739</v>
      </c>
      <c r="L270" s="1670">
        <f>SUM(L263:L269)</f>
        <v>73805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107050</v>
      </c>
      <c r="E279" s="616"/>
      <c r="F279" s="616"/>
      <c r="G279" s="616"/>
      <c r="H279" s="616"/>
      <c r="I279" s="616"/>
      <c r="J279" s="616"/>
      <c r="K279" s="1677">
        <f>SUM(K238,K243,K257,K261,K270,K277,K278)</f>
        <v>107050</v>
      </c>
      <c r="L279" s="1677">
        <f>SUM(L238,L243,L257,L261,L270,L277,L278)</f>
        <v>118575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70">
        <f>SUM(D229,D279,D280,D285)</f>
        <v>184659</v>
      </c>
      <c r="E295" s="616"/>
      <c r="F295" s="616"/>
      <c r="G295" s="616"/>
      <c r="H295" s="1670">
        <f>H293</f>
        <v>0</v>
      </c>
      <c r="I295" s="616"/>
      <c r="J295" s="616"/>
      <c r="K295" s="1670">
        <f>SUM(K229,K279,K280,K285,K293,K294)</f>
        <v>184659</v>
      </c>
      <c r="L295" s="1670">
        <f>SUM(L229,L279,L280,L285,L293,L294)</f>
        <v>203666</v>
      </c>
    </row>
    <row r="296" spans="1:14" ht="13.5" thickTop="1" x14ac:dyDescent="0.2">
      <c r="A296" s="2162" t="s">
        <v>996</v>
      </c>
      <c r="B296" s="2163"/>
      <c r="C296" s="616"/>
      <c r="D296" s="618"/>
      <c r="E296" s="616"/>
      <c r="F296" s="616"/>
      <c r="G296" s="616"/>
      <c r="H296" s="687"/>
      <c r="I296" s="616"/>
      <c r="J296" s="616"/>
      <c r="K296" s="1684">
        <f>'Revenues 9-14'!G268-'Expenditures 15-22'!K295</f>
        <v>50385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77882</v>
      </c>
      <c r="F301" s="466"/>
      <c r="G301" s="466">
        <v>93334</v>
      </c>
      <c r="H301" s="466"/>
      <c r="I301" s="467"/>
      <c r="J301" s="467"/>
      <c r="K301" s="1671">
        <f>SUM(C301:J301)</f>
        <v>171216</v>
      </c>
      <c r="L301" s="467">
        <v>176000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77882</v>
      </c>
      <c r="F303" s="1677">
        <f t="shared" si="23"/>
        <v>0</v>
      </c>
      <c r="G303" s="1677">
        <f t="shared" si="23"/>
        <v>93334</v>
      </c>
      <c r="H303" s="1677">
        <f t="shared" si="23"/>
        <v>0</v>
      </c>
      <c r="I303" s="1677">
        <f t="shared" si="23"/>
        <v>0</v>
      </c>
      <c r="J303" s="1677">
        <f t="shared" si="23"/>
        <v>0</v>
      </c>
      <c r="K303" s="1677">
        <f t="shared" si="23"/>
        <v>171216</v>
      </c>
      <c r="L303" s="1677">
        <f t="shared" si="23"/>
        <v>176000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70">
        <f>SUM(C303)</f>
        <v>0</v>
      </c>
      <c r="D312" s="1670">
        <f>SUM(D303)</f>
        <v>0</v>
      </c>
      <c r="E312" s="1670">
        <f>SUM(E303,E310)</f>
        <v>77882</v>
      </c>
      <c r="F312" s="1670">
        <f>SUM(F303)</f>
        <v>0</v>
      </c>
      <c r="G312" s="1670">
        <f>SUM(G303)</f>
        <v>93334</v>
      </c>
      <c r="H312" s="1670">
        <f>SUM(H303,H310)</f>
        <v>0</v>
      </c>
      <c r="I312" s="1670">
        <f>SUM(I303)</f>
        <v>0</v>
      </c>
      <c r="J312" s="1670">
        <f>SUM(J303)</f>
        <v>0</v>
      </c>
      <c r="K312" s="1670">
        <f>SUM(K303,K310,K311)</f>
        <v>171216</v>
      </c>
      <c r="L312" s="1670">
        <f>SUM(L303,L310,L311)</f>
        <v>176000</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209441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22866</v>
      </c>
      <c r="F320" s="467"/>
      <c r="G320" s="467"/>
      <c r="H320" s="467"/>
      <c r="I320" s="467"/>
      <c r="J320" s="467"/>
      <c r="K320" s="1671">
        <f t="shared" ref="K320:K327" si="24">SUM(C320:J320)</f>
        <v>22866</v>
      </c>
      <c r="L320" s="467">
        <v>25000</v>
      </c>
      <c r="M320" s="665"/>
      <c r="N320" s="665"/>
    </row>
    <row r="321" spans="1:14" s="674" customFormat="1" x14ac:dyDescent="0.2">
      <c r="A321" s="1519" t="s">
        <v>300</v>
      </c>
      <c r="B321" s="697" t="s">
        <v>283</v>
      </c>
      <c r="C321" s="467"/>
      <c r="D321" s="467"/>
      <c r="E321" s="467">
        <v>1447</v>
      </c>
      <c r="F321" s="467"/>
      <c r="G321" s="467"/>
      <c r="H321" s="467"/>
      <c r="I321" s="467"/>
      <c r="J321" s="467"/>
      <c r="K321" s="1671">
        <f t="shared" si="24"/>
        <v>1447</v>
      </c>
      <c r="L321" s="467">
        <v>3000</v>
      </c>
      <c r="M321" s="665"/>
      <c r="N321" s="665"/>
    </row>
    <row r="322" spans="1:14" s="674" customFormat="1" x14ac:dyDescent="0.2">
      <c r="A322" s="1519" t="s">
        <v>238</v>
      </c>
      <c r="B322" s="697" t="s">
        <v>284</v>
      </c>
      <c r="C322" s="467"/>
      <c r="D322" s="467"/>
      <c r="E322" s="467">
        <v>41724</v>
      </c>
      <c r="F322" s="467"/>
      <c r="G322" s="467"/>
      <c r="H322" s="467"/>
      <c r="I322" s="467"/>
      <c r="J322" s="467"/>
      <c r="K322" s="1671">
        <f t="shared" si="24"/>
        <v>41724</v>
      </c>
      <c r="L322" s="467">
        <v>44400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67067</v>
      </c>
      <c r="D325" s="467"/>
      <c r="E325" s="467"/>
      <c r="F325" s="467"/>
      <c r="G325" s="467"/>
      <c r="H325" s="467"/>
      <c r="I325" s="467"/>
      <c r="J325" s="467"/>
      <c r="K325" s="1671">
        <f t="shared" si="24"/>
        <v>67067</v>
      </c>
      <c r="L325" s="467">
        <v>76000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10879</v>
      </c>
      <c r="F327" s="467"/>
      <c r="G327" s="467"/>
      <c r="H327" s="467"/>
      <c r="I327" s="467"/>
      <c r="J327" s="467"/>
      <c r="K327" s="1671">
        <f t="shared" si="24"/>
        <v>10879</v>
      </c>
      <c r="L327" s="467">
        <v>30500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67067</v>
      </c>
      <c r="D330" s="1670">
        <f t="shared" ref="D330:J330" si="25">SUM(D319:D329)</f>
        <v>0</v>
      </c>
      <c r="E330" s="1670">
        <f t="shared" si="25"/>
        <v>76916</v>
      </c>
      <c r="F330" s="1670">
        <f t="shared" si="25"/>
        <v>0</v>
      </c>
      <c r="G330" s="1670">
        <f t="shared" si="25"/>
        <v>0</v>
      </c>
      <c r="H330" s="1670">
        <f t="shared" si="25"/>
        <v>0</v>
      </c>
      <c r="I330" s="1670">
        <f t="shared" si="25"/>
        <v>0</v>
      </c>
      <c r="J330" s="1670">
        <f t="shared" si="25"/>
        <v>0</v>
      </c>
      <c r="K330" s="1670">
        <f>SUM(K319:K329)</f>
        <v>143983</v>
      </c>
      <c r="L330" s="1670">
        <f>SUM(L319:L329)</f>
        <v>178900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67067</v>
      </c>
      <c r="D342" s="1670">
        <f>SUM(D330)</f>
        <v>0</v>
      </c>
      <c r="E342" s="1670">
        <f>SUM(E330)</f>
        <v>76916</v>
      </c>
      <c r="F342" s="1670">
        <f>SUM(F330)</f>
        <v>0</v>
      </c>
      <c r="G342" s="1670">
        <f>SUM(G330)</f>
        <v>0</v>
      </c>
      <c r="H342" s="1670">
        <f>SUM(H330,H334,H340)</f>
        <v>0</v>
      </c>
      <c r="I342" s="1670">
        <f>SUM(I330)</f>
        <v>0</v>
      </c>
      <c r="J342" s="1670">
        <f>SUM(J330)</f>
        <v>0</v>
      </c>
      <c r="K342" s="1670">
        <f>SUM(K330,K334,K340)</f>
        <v>143983</v>
      </c>
      <c r="L342" s="1677">
        <f>SUM(L330,L340,L341)</f>
        <v>178900</v>
      </c>
    </row>
    <row r="343" spans="1:14" ht="12.75" customHeight="1" thickTop="1" x14ac:dyDescent="0.2">
      <c r="A343" s="2175" t="s">
        <v>996</v>
      </c>
      <c r="B343" s="2176"/>
      <c r="C343" s="616"/>
      <c r="D343" s="616"/>
      <c r="E343" s="616"/>
      <c r="F343" s="616"/>
      <c r="G343" s="616"/>
      <c r="H343" s="616"/>
      <c r="I343" s="616"/>
      <c r="J343" s="616"/>
      <c r="K343" s="1684">
        <f>'Revenues 9-14'!J268-'Expenditures 15-22'!K342</f>
        <v>5946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24781</v>
      </c>
      <c r="F348" s="466"/>
      <c r="G348" s="466">
        <v>68000</v>
      </c>
      <c r="H348" s="466"/>
      <c r="I348" s="467"/>
      <c r="J348" s="467"/>
      <c r="K348" s="1671">
        <f>SUM(C348:J348)</f>
        <v>92781</v>
      </c>
      <c r="L348" s="466">
        <v>110200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24781</v>
      </c>
      <c r="F350" s="1670">
        <f t="shared" si="26"/>
        <v>0</v>
      </c>
      <c r="G350" s="1670">
        <f t="shared" si="26"/>
        <v>68000</v>
      </c>
      <c r="H350" s="1670">
        <f t="shared" si="26"/>
        <v>0</v>
      </c>
      <c r="I350" s="1670">
        <f t="shared" si="26"/>
        <v>0</v>
      </c>
      <c r="J350" s="1670">
        <f t="shared" si="26"/>
        <v>0</v>
      </c>
      <c r="K350" s="1670">
        <f t="shared" si="26"/>
        <v>92781</v>
      </c>
      <c r="L350" s="1670">
        <f t="shared" si="26"/>
        <v>110200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24781</v>
      </c>
      <c r="F352" s="1670">
        <f t="shared" si="27"/>
        <v>0</v>
      </c>
      <c r="G352" s="1670">
        <f t="shared" si="27"/>
        <v>68000</v>
      </c>
      <c r="H352" s="1670">
        <f t="shared" si="27"/>
        <v>0</v>
      </c>
      <c r="I352" s="1670">
        <f t="shared" si="27"/>
        <v>0</v>
      </c>
      <c r="J352" s="1670">
        <f t="shared" si="27"/>
        <v>0</v>
      </c>
      <c r="K352" s="1670">
        <f t="shared" si="27"/>
        <v>92781</v>
      </c>
      <c r="L352" s="1670">
        <f t="shared" si="27"/>
        <v>110200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24781</v>
      </c>
      <c r="F367" s="1670">
        <f t="shared" si="28"/>
        <v>0</v>
      </c>
      <c r="G367" s="1670">
        <f t="shared" si="28"/>
        <v>68000</v>
      </c>
      <c r="H367" s="1670">
        <f t="shared" si="28"/>
        <v>0</v>
      </c>
      <c r="I367" s="1670">
        <f t="shared" si="28"/>
        <v>0</v>
      </c>
      <c r="J367" s="1670">
        <f t="shared" si="28"/>
        <v>0</v>
      </c>
      <c r="K367" s="1670">
        <f t="shared" si="28"/>
        <v>92781</v>
      </c>
      <c r="L367" s="1670">
        <f t="shared" si="28"/>
        <v>110200</v>
      </c>
    </row>
    <row r="368" spans="1:14" ht="13.5" thickTop="1" x14ac:dyDescent="0.2">
      <c r="A368" s="2162" t="s">
        <v>996</v>
      </c>
      <c r="B368" s="2163"/>
      <c r="C368" s="654"/>
      <c r="D368" s="654"/>
      <c r="E368" s="626"/>
      <c r="F368" s="626"/>
      <c r="G368" s="626"/>
      <c r="H368" s="626"/>
      <c r="I368" s="626"/>
      <c r="J368" s="623"/>
      <c r="K368" s="1671">
        <f>'Revenues 9-14'!K268-'Expenditures 15-22'!K367</f>
        <v>-31559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elements/1.1/"/>
    <ds:schemaRef ds:uri="http://schemas.openxmlformats.org/package/2006/metadata/core-properties"/>
    <ds:schemaRef ds:uri="http://schemas.microsoft.com/office/2006/documentManagement/types"/>
    <ds:schemaRef ds:uri="http://purl.org/dc/terms/"/>
    <ds:schemaRef ds:uri="http://purl.org/dc/dcmitype/"/>
    <ds:schemaRef ds:uri="http://schemas.microsoft.com/sharepoint/v3"/>
    <ds:schemaRef ds:uri="http://schemas.microsoft.com/office/2006/metadata/properties"/>
    <ds:schemaRef ds:uri="http://schemas.microsoft.com/office/infopath/2007/PartnerControl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2019-11-13T20:55:15Z</cp:lastPrinted>
  <dcterms:created xsi:type="dcterms:W3CDTF">2003-10-29T19:06:34Z</dcterms:created>
  <dcterms:modified xsi:type="dcterms:W3CDTF">2019-12-26T19:05:23Z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