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85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127" l="1"/>
  <c r="G17" i="127"/>
  <c r="I12" i="11" l="1"/>
  <c r="D12" i="11"/>
  <c r="C19" i="7"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B1791" i="106"/>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2" i="127"/>
  <c r="B63" i="127"/>
  <c r="D26" i="108"/>
  <c r="E26" i="108"/>
  <c r="F26" i="108"/>
  <c r="E27" i="108"/>
  <c r="G27" i="108"/>
  <c r="E28" i="108"/>
  <c r="F28"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22" i="37"/>
  <c r="J22" i="37"/>
  <c r="L22" i="37"/>
  <c r="L5" i="11"/>
  <c r="B2056" i="106" s="1"/>
  <c r="D2056" i="106" s="1"/>
  <c r="B5752" i="106"/>
  <c r="D5752" i="106" s="1"/>
  <c r="N22" i="3" l="1"/>
  <c r="B283" i="106" s="1"/>
  <c r="D283" i="106" s="1"/>
  <c r="D69" i="36"/>
  <c r="F27" i="108"/>
  <c r="F34" i="34"/>
  <c r="J41" i="3"/>
  <c r="B6216" i="106" s="1"/>
  <c r="D6216" i="106" s="1"/>
  <c r="I210" i="29"/>
  <c r="B7071" i="106" s="1"/>
  <c r="D7071" i="106" s="1"/>
  <c r="F49" i="34"/>
  <c r="F44" i="34"/>
  <c r="L342" i="29"/>
  <c r="D9" i="7"/>
  <c r="B1767" i="106" s="1"/>
  <c r="D1767" i="106" s="1"/>
  <c r="C342" i="29"/>
  <c r="B7216" i="106" s="1"/>
  <c r="D7216" i="106" s="1"/>
  <c r="H365" i="29"/>
  <c r="B7242" i="106" s="1"/>
  <c r="D7242" i="106" s="1"/>
  <c r="I24" i="12"/>
  <c r="B1996" i="106" s="1"/>
  <c r="D1996" i="106" s="1"/>
  <c r="B3254" i="106"/>
  <c r="D3254" i="106" s="1"/>
  <c r="B4268" i="106"/>
  <c r="D4268" i="106" s="1"/>
  <c r="L15" i="11"/>
  <c r="B3459" i="106" s="1"/>
  <c r="D3459" i="106" s="1"/>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44" i="36" l="1"/>
  <c r="L16" i="11"/>
  <c r="B2061" i="106" s="1"/>
  <c r="D2061" i="106" s="1"/>
  <c r="D51" i="36"/>
  <c r="B1381" i="106"/>
  <c r="D1381" i="106" s="1"/>
  <c r="B5527" i="106"/>
  <c r="D5527" i="106" s="1"/>
  <c r="C114" i="29"/>
  <c r="B757" i="106" s="1"/>
  <c r="D757" i="106" s="1"/>
  <c r="G170" i="5"/>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5778" i="106" l="1"/>
  <c r="D5778" i="106" s="1"/>
  <c r="G6" i="4"/>
  <c r="B2604" i="106" s="1"/>
  <c r="D2604"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K17" i="4" l="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<sst xmlns="http://schemas.openxmlformats.org/spreadsheetml/2006/main" count="5133" uniqueCount="2129">
  <si>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</si>
  <si>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</si>
  <si>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</si>
  <si>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</si>
  <si>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</si>
  <si>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</si>
  <si>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</si>
  <si>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</si>
  <si>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</si>
  <si>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</si>
  <si>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</si>
  <si>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</si>
  <si>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</si>
  <si>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</si>
  <si>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</si>
  <si>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</si>
  <si>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</si>
  <si>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</si>
  <si>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</si>
  <si>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</si>
  <si>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</si>
  <si>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</si>
  <si>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</si>
  <si>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</si>
  <si>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</si>
  <si>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</si>
  <si>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</si>
  <si>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</si>
  <si>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</si>
  <si>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</si>
  <si>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</si>
  <si>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</si>
  <si>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</si>
  <si>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</si>
  <si>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</si>
  <si>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</si>
  <si>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</si>
  <si>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</si>
  <si>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</si>
  <si>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</si>
  <si>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</si>
  <si>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</si>
  <si>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</si>
  <si>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</si>
  <si>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</si>
  <si>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</si>
  <si>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</si>
  <si>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</si>
  <si>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</si>
  <si>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</si>
  <si>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</si>
  <si>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</si>
  <si>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</si>
  <si>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</si>
  <si>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</si>
  <si>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</si>
  <si>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</si>
  <si>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</si>
  <si>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</si>
  <si>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</si>
  <si>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</si>
  <si>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</si>
  <si>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</si>
  <si>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</si>
  <si>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</si>
  <si>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</si>
  <si>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</si>
  <si>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</si>
  <si>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</si>
  <si>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</si>
  <si>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</si>
  <si>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</si>
  <si>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</si>
  <si>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</si>
  <si>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</si>
  <si>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</si>
  <si>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</si>
  <si>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</si>
  <si>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</si>
  <si>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</si>
  <si>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</si>
  <si>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</si>
  <si>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</si>
  <si>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</si>
  <si>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</si>
  <si>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</si>
  <si>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</si>
  <si>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</si>
  <si>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</si>
  <si>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</si>
  <si>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</si>
  <si>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</si>
  <si>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</si>
  <si>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</si>
  <si>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</si>
  <si>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</si>
  <si>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</si>
  <si>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</si>
  <si>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</si>
  <si>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</si>
  <si>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</si>
  <si>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</si>
  <si>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</si>
  <si>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</si>
  <si>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</si>
  <si>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</si>
  <si>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</si>
  <si>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</si>
  <si>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</si>
  <si>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</si>
  <si>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</si>
  <si>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</si>
  <si>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</si>
  <si>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</si>
  <si>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</si>
  <si>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</si>
  <si>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</si>
  <si>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</si>
  <si>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</si>
  <si>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</si>
  <si>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</si>
  <si>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</si>
  <si>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</si>
  <si>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</si>
  <si>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</si>
  <si>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</si>
  <si>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</si>
  <si>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</si>
  <si>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</si>
  <si>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</si>
  <si>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</si>
  <si>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</si>
  <si>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</si>
  <si>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</si>
  <si>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</si>
  <si>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</si>
  <si>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</si>
  <si>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</si>
  <si>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</si>
  <si>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</si>
  <si>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</si>
  <si>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</si>
  <si>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</si>
  <si>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</si>
  <si>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</si>
  <si>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</si>
  <si>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</si>
  <si>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</si>
  <si>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</si>
  <si>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</si>
  <si>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</si>
  <si>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</si>
  <si>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</si>
  <si>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</si>
  <si>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</si>
  <si>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</si>
  <si>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</si>
  <si>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</si>
  <si>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</si>
  <si>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</si>
  <si>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</si>
  <si>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</si>
  <si>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</si>
  <si>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</si>
  <si>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</si>
  <si>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</si>
  <si>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</si>
  <si>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</si>
  <si>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</si>
  <si>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</si>
  <si>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</si>
  <si>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</si>
  <si>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</si>
  <si>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</si>
  <si>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</si>
  <si>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</si>
  <si>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</si>
  <si>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</si>
  <si>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</si>
  <si>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</si>
  <si>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</si>
  <si>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</si>
  <si>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</si>
  <si>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</si>
  <si>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</si>
  <si>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</si>
  <si>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</si>
  <si>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</si>
  <si>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</si>
  <si>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</si>
  <si>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</si>
  <si>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</si>
  <si>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</si>
  <si>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</si>
  <si>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</si>
  <si>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</si>
  <si>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</si>
  <si>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</si>
  <si>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</si>
  <si>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</si>
  <si>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</si>
  <si>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</si>
  <si>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</si>
  <si>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</si>
  <si>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</si>
  <si>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</si>
  <si>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</si>
  <si>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</si>
  <si>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</si>
  <si>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</si>
  <si>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</si>
  <si>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</si>
  <si>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</si>
  <si>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</si>
  <si>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</si>
  <si>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</si>
  <si>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</si>
  <si>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</si>
  <si>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</si>
  <si>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</si>
  <si>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</si>
  <si>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</si>
  <si>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</si>
  <si>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</si>
  <si>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</si>
  <si>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</si>
  <si>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</si>
  <si>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</si>
  <si>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</si>
  <si>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</si>
  <si>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</si>
  <si>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</si>
  <si>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</si>
  <si>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</si>
  <si>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</si>
  <si>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</si>
  <si>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</si>
  <si>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</si>
  <si>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</si>
  <si>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</si>
  <si>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</si>
  <si>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</si>
  <si>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</si>
  <si>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</si>
  <si>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</si>
  <si>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</si>
  <si>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</si>
  <si>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</si>
  <si>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</si>
  <si>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</si>
  <si>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</si>
  <si>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</si>
  <si>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</si>
  <si>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</si>
  <si>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</si>
  <si>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</si>
  <si>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</si>
  <si>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</si>
  <si>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</si>
  <si>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</si>
  <si>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</si>
  <si>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</si>
  <si>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</si>
  <si>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</si>
  <si>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</si>
  <si>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</si>
  <si>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</si>
  <si>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</si>
  <si>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</si>
  <si>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</si>
  <si>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</si>
  <si>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</si>
  <si>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</si>
  <si>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</si>
  <si>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</si>
  <si>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</si>
  <si>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</si>
  <si>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</si>
  <si>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</si>
  <si>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</si>
  <si>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</si>
  <si>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</si>
  <si>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</si>
  <si>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</si>
  <si>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</si>
  <si>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</si>
  <si>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</si>
  <si>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</si>
  <si>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</si>
  <si>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</si>
  <si>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</si>
  <si>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</si>
  <si>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</si>
  <si>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</si>
  <si>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</si>
  <si>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</si>
  <si>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</si>
  <si>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</si>
  <si>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</si>
  <si>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</si>
  <si>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</si>
  <si>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</si>
  <si>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</si>
  <si>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</si>
  <si>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</si>
  <si>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</si>
  <si>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</si>
  <si>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</si>
  <si>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</si>
  <si>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</si>
  <si>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</si>
  <si>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</si>
  <si>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</si>
  <si>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</si>
  <si>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</si>
  <si>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</si>
  <si>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</si>
  <si>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</si>
  <si>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</si>
  <si>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</si>
  <si>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</si>
  <si>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</si>
  <si>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</si>
  <si>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</si>
  <si>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</si>
  <si>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</si>
  <si>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</si>
  <si>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</si>
  <si>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</si>
  <si>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</si>
  <si>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</si>
  <si>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</si>
  <si>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</si>
  <si>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</si>
  <si>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</si>
  <si>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</si>
  <si>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</si>
  <si>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</si>
  <si>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</si>
  <si>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</si>
  <si>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</si>
  <si>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</si>
  <si>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</si>
  <si>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</si>
  <si>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</si>
  <si>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</si>
  <si>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</si>
  <si>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</si>
  <si>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</si>
  <si>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</si>
  <si>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</si>
  <si>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</si>
  <si>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</si>
  <si>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</si>
  <si>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</si>
  <si>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</si>
  <si>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</si>
  <si>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</si>
  <si>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</si>
  <si>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</si>
  <si>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</si>
  <si>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</si>
  <si>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</si>
  <si>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</si>
  <si>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</si>
  <si>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</si>
  <si>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</si>
  <si>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</si>
  <si>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</si>
  <si>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</si>
  <si>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</si>
  <si>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</si>
  <si>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</si>
  <si>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</si>
  <si>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</si>
  <si>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</si>
  <si>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</si>
  <si>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</si>
  <si>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</si>
  <si>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</si>
  <si>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</si>
  <si>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</si>
  <si>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</si>
  <si>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</si>
  <si>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</si>
  <si>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</si>
  <si>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</si>
  <si>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</si>
  <si>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</si>
  <si>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</si>
  <si>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</si>
  <si>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</si>
  <si>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</si>
  <si>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</si>
  <si>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</si>
  <si>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</si>
  <si>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</si>
  <si>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</si>
  <si>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</si>
  <si>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</si>
  <si>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</si>
  <si>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</si>
  <si>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</si>
  <si>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</si>
  <si>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</si>
  <si>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</si>
  <si>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</si>
  <si>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</si>
  <si>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</si>
  <si>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</si>
  <si>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</si>
  <si>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</si>
  <si>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</si>
  <si>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</si>
  <si>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</si>
  <si>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</si>
  <si>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</si>
  <si>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</si>
  <si>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</si>
  <si>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</si>
  <si>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</si>
  <si>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</si>
  <si>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</si>
  <si>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</si>
  <si>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</si>
  <si>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</si>
  <si>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</si>
  <si>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</si>
  <si>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</si>
  <si>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</si>
  <si>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</si>
  <si>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</si>
  <si>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</si>
  <si>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</si>
  <si>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</si>
  <si>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</si>
  <si>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</si>
  <si>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</si>
  <si>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</si>
  <si>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</si>
  <si>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</si>
  <si>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</si>
  <si>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</si>
  <si>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</si>
  <si>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</si>
  <si>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</si>
  <si>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</si>
  <si>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</si>
  <si>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</si>
  <si>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</si>
  <si>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</si>
  <si>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</si>
  <si>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</si>
  <si>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</si>
  <si>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</si>
  <si>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</si>
  <si>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</si>
  <si>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</si>
  <si>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</si>
  <si>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</si>
  <si>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</si>
  <si>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</si>
  <si>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</si>
  <si>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</si>
  <si>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</si>
  <si>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</si>
  <si>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</si>
  <si>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</si>
  <si>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</si>
  <si>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</si>
  <si>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</si>
  <si>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</si>
  <si>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</si>
  <si>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</si>
  <si>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</si>
  <si>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</si>
  <si>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</si>
  <si>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</si>
  <si>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</si>
  <si>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</si>
  <si>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</si>
  <si>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</si>
  <si>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</si>
  <si>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</si>
  <si>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</si>
  <si>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</si>
  <si>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</si>
  <si>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</si>
  <si>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</si>
  <si>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</si>
  <si>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</si>
  <si>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</si>
  <si>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</si>
  <si>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</si>
  <si>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</si>
  <si>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</si>
  <si>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</si>
  <si>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</si>
  <si>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</si>
  <si>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</si>
  <si>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</si>
  <si>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</si>
  <si>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</si>
  <si>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</si>
  <si>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</si>
  <si>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</si>
  <si>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</si>
  <si>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</si>
  <si>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</si>
  <si>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</si>
  <si>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</si>
  <si>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</si>
  <si>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</si>
  <si>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</si>
  <si>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</si>
  <si>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</si>
  <si>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</si>
  <si>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</si>
  <si>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</si>
  <si>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</si>
  <si>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</si>
  <si>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</si>
  <si>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</si>
  <si>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</si>
  <si>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</si>
  <si>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</si>
  <si>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</si>
  <si>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</si>
  <si>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</si>
  <si>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</si>
  <si>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</si>
  <si>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</si>
  <si>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</si>
  <si>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</si>
  <si>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</si>
  <si>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</si>
  <si>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</si>
  <si>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</si>
  <si>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</si>
  <si>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</si>
  <si>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</si>
  <si>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</si>
  <si>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</si>
  <si>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</si>
  <si>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</si>
  <si>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</si>
  <si>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</si>
  <si>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</si>
  <si>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</si>
  <si>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</si>
  <si>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</si>
  <si>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</si>
  <si>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</si>
  <si>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</si>
  <si>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</si>
  <si>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</si>
  <si>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</si>
  <si>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</si>
  <si>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</si>
  <si>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</si>
  <si>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</si>
  <si>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</si>
  <si>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</si>
  <si>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</si>
  <si>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</si>
  <si>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</si>
  <si>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</si>
  <si>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</si>
  <si>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</si>
  <si>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</si>
  <si>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</si>
  <si>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</si>
  <si>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</si>
  <si>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</si>
  <si>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</si>
  <si>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</si>
  <si>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</si>
  <si>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</si>
  <si>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</si>
  <si>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</si>
  <si>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</si>
  <si>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</si>
  <si>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</si>
  <si>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</si>
  <si>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</si>
  <si>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</si>
  <si>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</si>
  <si>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</si>
  <si>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</si>
  <si>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</si>
  <si>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</si>
  <si>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</si>
  <si>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</si>
  <si>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</si>
  <si>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</si>
  <si>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</si>
  <si>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</si>
  <si>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</si>
  <si>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</si>
  <si>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</si>
  <si>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</si>
  <si>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</si>
  <si>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</si>
  <si>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</si>
  <si>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</si>
  <si>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</si>
  <si>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</si>
  <si>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</si>
  <si>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</si>
  <si>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</si>
  <si>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</si>
  <si>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</si>
  <si>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</si>
  <si>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</si>
  <si>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</si>
  <si>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</si>
  <si>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</si>
  <si>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</si>
  <si>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</si>
  <si>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</si>
  <si>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</si>
  <si>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</si>
  <si>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</si>
  <si>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</si>
  <si>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</si>
  <si>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</si>
  <si>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</si>
  <si>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</si>
  <si>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</si>
  <si>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</si>
  <si>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</si>
  <si>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</si>
  <si>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</si>
  <si>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</si>
  <si>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</si>
  <si>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</si>
  <si>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</si>
  <si>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</si>
  <si>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</si>
  <si>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</si>
  <si>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</si>
  <si>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</si>
  <si>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</si>
  <si>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</si>
  <si>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</si>
  <si>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</si>
  <si>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</si>
  <si>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</si>
  <si>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</si>
  <si>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</si>
  <si>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</si>
  <si>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</si>
  <si>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</si>
  <si>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</si>
  <si>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</si>
  <si>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</si>
  <si>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</si>
  <si>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</si>
  <si>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</si>
  <si>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</si>
  <si>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</si>
  <si>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</si>
  <si>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</si>
  <si>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</si>
  <si>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</si>
  <si>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</si>
  <si>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</si>
  <si>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</si>
  <si>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</si>
  <si>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</si>
  <si>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</si>
  <si>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</si>
  <si>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</si>
  <si>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</si>
  <si>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</si>
  <si>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</si>
  <si>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</si>
  <si>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</si>
  <si>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</si>
  <si>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</si>
  <si>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</si>
  <si>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</si>
  <si>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</si>
  <si>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</si>
  <si>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</si>
  <si>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</si>
  <si>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</si>
  <si>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</si>
  <si>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</si>
  <si>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</si>
  <si>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</si>
  <si>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</si>
  <si>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</si>
  <si>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</si>
  <si>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</si>
  <si>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</si>
  <si>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</si>
  <si>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</si>
  <si>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</si>
  <si>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</si>
  <si>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</si>
  <si>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</si>
  <si>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</si>
  <si>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</si>
  <si>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</si>
  <si>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</si>
  <si>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</si>
  <si>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</si>
  <si>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</si>
  <si>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</si>
  <si>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</si>
  <si>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</si>
  <si>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</si>
  <si>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</si>
  <si>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</si>
  <si>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</si>
  <si>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</si>
  <si>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</si>
  <si>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</si>
  <si>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</si>
  <si>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</si>
  <si>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</si>
  <si>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</si>
  <si>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</si>
  <si>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</si>
  <si>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</si>
  <si>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</si>
  <si>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</si>
  <si>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</si>
  <si>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</si>
  <si>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</si>
  <si>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</si>
  <si>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</si>
  <si>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</si>
  <si>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</si>
  <si>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</si>
  <si>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</si>
  <si>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</si>
  <si>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</si>
  <si>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</si>
  <si>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</si>
  <si>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</si>
  <si>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</si>
  <si>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</si>
  <si>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</si>
  <si>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</si>
  <si>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</si>
  <si>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</si>
  <si>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</si>
  <si>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</si>
  <si>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</si>
  <si>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</si>
  <si>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</si>
  <si>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</si>
  <si>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</si>
  <si>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</si>
  <si>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</si>
  <si>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</si>
  <si>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</si>
  <si>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</si>
  <si>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</si>
  <si>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</si>
  <si>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</si>
  <si>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</si>
  <si>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</si>
  <si>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</si>
  <si>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</si>
  <si>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</si>
  <si>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</si>
  <si>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</si>
  <si>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</si>
  <si>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</si>
  <si>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</si>
  <si>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</si>
  <si>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</si>
  <si>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</si>
  <si>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</si>
  <si>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</si>
  <si>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</si>
  <si>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</si>
  <si>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</si>
  <si>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</si>
  <si>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</si>
  <si>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</si>
  <si>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</si>
  <si>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</si>
  <si>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</si>
  <si>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</si>
  <si>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</si>
  <si>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</si>
  <si>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</si>
  <si>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</si>
  <si>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</si>
  <si>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</si>
  <si>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</si>
  <si>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</si>
  <si>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</si>
  <si>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</si>
  <si>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</si>
  <si>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</si>
  <si>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</si>
  <si>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</si>
  <si>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</si>
  <si>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</si>
  <si>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</si>
  <si>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</si>
  <si>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</si>
  <si>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</si>
  <si>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</si>
  <si>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</si>
  <si>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</si>
  <si>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</si>
  <si>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</si>
  <si>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</si>
  <si>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</si>
  <si>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</si>
  <si>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</si>
  <si>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</si>
  <si>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</si>
  <si>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</si>
  <si>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</si>
  <si>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</si>
  <si>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</si>
  <si>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</si>
  <si>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</si>
  <si>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</si>
  <si>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</si>
  <si>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</si>
  <si>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</si>
  <si>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</si>
  <si>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</si>
  <si>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</si>
  <si>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</si>
  <si>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</si>
  <si>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</si>
  <si>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</si>
  <si>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</si>
  <si>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</si>
  <si>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</si>
  <si>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</si>
  <si>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</si>
  <si>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</si>
  <si>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</si>
  <si>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</si>
  <si>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</si>
  <si>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</si>
  <si>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</si>
  <si>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</si>
  <si>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</si>
  <si>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</si>
  <si>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</si>
  <si>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</si>
  <si>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</si>
  <si>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</si>
  <si>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</si>
  <si>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</si>
  <si>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</si>
  <si>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</si>
  <si>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</si>
  <si>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</si>
  <si>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</si>
  <si>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</si>
  <si>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</si>
  <si>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</si>
  <si>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</si>
  <si>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</si>
  <si>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</si>
  <si>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</si>
  <si>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</si>
  <si>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</si>
  <si>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</si>
  <si>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</si>
  <si>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</si>
  <si>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</si>
  <si>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</si>
  <si>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</si>
  <si>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</si>
  <si>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</si>
  <si>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</si>
  <si>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</si>
  <si>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</si>
  <si>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</si>
  <si>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</si>
  <si>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</si>
  <si>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</si>
  <si>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</si>
  <si>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</si>
  <si>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</si>
  <si>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</si>
  <si>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</si>
  <si>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</si>
  <si>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</si>
  <si>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</si>
  <si>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</si>
  <si>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</si>
  <si>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</si>
  <si>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</si>
  <si>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</si>
  <si>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</si>
  <si>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</si>
  <si>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</si>
  <si>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</si>
  <si>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</si>
  <si>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</si>
  <si>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</si>
  <si>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</si>
  <si>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</si>
  <si>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</si>
  <si>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</si>
  <si>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</si>
  <si>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</si>
  <si>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</si>
  <si>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</si>
  <si>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</si>
  <si>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</si>
  <si>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</si>
  <si>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</si>
  <si>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</si>
  <si>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</si>
  <si>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</si>
  <si>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</si>
  <si>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</si>
  <si>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</si>
  <si>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</si>
  <si>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</si>
  <si>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</si>
  <si>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</si>
  <si>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</si>
  <si>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</si>
  <si>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</si>
  <si>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</si>
  <si>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</si>
  <si>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</si>
  <si>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</si>
  <si>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</si>
  <si>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</si>
  <si>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</si>
  <si>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</si>
  <si>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</si>
  <si>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</si>
  <si>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</si>
  <si>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</si>
  <si>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</si>
  <si>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</si>
  <si>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</si>
  <si>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</si>
  <si>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</si>
  <si>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</si>
  <si>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</si>
  <si>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</si>
  <si>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</si>
  <si>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</si>
  <si>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</si>
  <si>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</si>
  <si>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</si>
  <si>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</si>
  <si>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</si>
  <si>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</si>
  <si>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</si>
  <si>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</si>
  <si>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</si>
  <si>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</si>
  <si>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</si>
  <si>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</si>
  <si>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</si>
  <si>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</si>
  <si>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</si>
  <si>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</si>
  <si>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</si>
  <si>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</si>
  <si>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</si>
  <si>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</si>
  <si>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</si>
  <si>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</si>
  <si>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</si>
  <si>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</si>
  <si>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</si>
  <si>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</si>
  <si>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</si>
  <si>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</si>
  <si>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</si>
  <si>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</si>
  <si>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</si>
  <si>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</si>
  <si>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</si>
  <si>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</si>
  <si>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</si>
  <si>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</si>
  <si>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</si>
  <si>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</si>
  <si>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</si>
  <si>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</si>
  <si>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</si>
  <si>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</si>
  <si>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</si>
  <si>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</si>
  <si>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</si>
  <si>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</si>
  <si>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</si>
  <si>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</si>
  <si>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</si>
  <si>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</si>
  <si>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</si>
  <si>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</si>
  <si>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</si>
  <si>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</si>
  <si>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</si>
  <si>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</si>
  <si>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</si>
  <si>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</si>
  <si>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</si>
  <si>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</si>
  <si>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</si>
  <si>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</si>
  <si>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</si>
  <si>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</si>
  <si>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</si>
  <si>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</si>
  <si>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</si>
  <si>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</si>
  <si>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</si>
  <si>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</si>
  <si>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</si>
  <si>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</si>
  <si>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</si>
  <si>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</si>
  <si>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</si>
  <si>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</si>
  <si>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</si>
  <si>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</si>
  <si>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</si>
  <si>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</si>
  <si>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</si>
  <si>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</si>
  <si>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</si>
  <si>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</si>
  <si>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</si>
  <si>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</si>
  <si>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</si>
  <si>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</si>
  <si>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</si>
  <si>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</si>
  <si>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</si>
  <si>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</si>
  <si>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</si>
  <si>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</si>
  <si>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</si>
  <si>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</si>
  <si>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</si>
  <si>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</si>
  <si>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</si>
  <si>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</si>
  <si>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</si>
  <si>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</si>
  <si>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</si>
  <si>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</si>
  <si>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</si>
  <si>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</si>
  <si>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</si>
  <si>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</si>
  <si>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</si>
  <si>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</si>
  <si>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</si>
  <si>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</si>
  <si>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</si>
  <si>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</si>
  <si>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</si>
  <si>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</si>
  <si>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</si>
  <si>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</si>
  <si>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</si>
  <si>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</si>
  <si>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</si>
  <si>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</si>
  <si>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</si>
  <si>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</si>
  <si>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</si>
  <si>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</si>
  <si>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</si>
  <si>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</si>
  <si>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</si>
  <si>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</si>
  <si>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</si>
  <si>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</si>
  <si>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</si>
  <si>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</si>
  <si>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</si>
  <si>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</si>
  <si>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</si>
  <si>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</si>
  <si>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</si>
  <si>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</si>
  <si>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</si>
  <si>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</si>
  <si>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</si>
  <si>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</si>
  <si>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</si>
  <si>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</si>
  <si>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</si>
  <si>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</si>
  <si>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</si>
  <si>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</si>
  <si>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</si>
  <si>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</si>
  <si>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</si>
  <si>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</si>
  <si>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</si>
  <si>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</si>
  <si>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</si>
  <si>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</si>
  <si>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</si>
  <si>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</si>
  <si>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</si>
  <si>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</si>
  <si>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</si>
  <si>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</si>
  <si>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</si>
  <si>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</si>
  <si>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</si>
  <si>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</si>
  <si>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</si>
  <si>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</si>
  <si>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</si>
  <si>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</si>
  <si>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</si>
  <si>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</si>
  <si>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</si>
  <si>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</si>
  <si>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</si>
  <si>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</si>
  <si>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</si>
  <si>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</si>
  <si>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</si>
  <si>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</si>
  <si>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</si>
  <si>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</si>
  <si>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</si>
  <si>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</si>
  <si>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</si>
  <si>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</si>
  <si>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</si>
  <si>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</si>
  <si>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</si>
  <si>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</si>
  <si>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</si>
  <si>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</si>
  <si>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</si>
  <si>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</si>
  <si>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</si>
  <si>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</si>
  <si>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</si>
  <si>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</si>
  <si>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</si>
  <si>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</si>
  <si>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</si>
  <si>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</si>
  <si>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</si>
  <si>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</si>
  <si>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</si>
  <si>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</si>
  <si>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</si>
  <si>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</si>
  <si>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</si>
  <si>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</si>
  <si>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</si>
  <si>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</si>
  <si>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</si>
  <si>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</si>
  <si>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</si>
  <si>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</si>
  <si>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</si>
  <si>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</si>
  <si>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</si>
  <si>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</si>
  <si>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</si>
  <si>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</si>
  <si>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</si>
  <si>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</si>
  <si>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</si>
  <si>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</si>
  <si>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</si>
  <si>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</si>
  <si>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</si>
  <si>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</si>
  <si>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</si>
  <si>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</si>
  <si>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</si>
  <si>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</si>
  <si>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</si>
  <si>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</si>
  <si>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</si>
  <si>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</si>
  <si>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</si>
  <si>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</si>
  <si>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</si>
  <si>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</si>
  <si>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</si>
  <si>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</si>
  <si>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</si>
  <si>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</si>
  <si>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</si>
  <si>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</si>
  <si>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</si>
  <si>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</si>
  <si>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</si>
  <si>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</si>
  <si>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</si>
  <si>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</si>
  <si>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</si>
  <si>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</si>
  <si>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</si>
  <si>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</si>
  <si>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</si>
  <si>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</si>
  <si>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</si>
  <si>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</si>
  <si>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</si>
  <si>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</si>
  <si>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</si>
  <si>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</si>
  <si>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</si>
  <si>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</si>
  <si>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</si>
  <si>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</si>
  <si>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</si>
  <si>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</si>
  <si>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</si>
  <si>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</si>
  <si>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</si>
  <si>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</si>
  <si>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</si>
  <si>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</si>
  <si>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</si>
  <si>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</si>
  <si>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</si>
  <si>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</si>
  <si>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</si>
  <si>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</si>
  <si>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</si>
  <si>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</si>
  <si>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</si>
  <si>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</si>
  <si>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</si>
  <si>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</si>
  <si>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</si>
  <si>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</si>
  <si>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</si>
  <si>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</si>
  <si>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</si>
  <si>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</si>
  <si>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</si>
  <si>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</si>
  <si>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</si>
  <si>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</si>
  <si>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</si>
  <si>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</si>
  <si>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</si>
  <si>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</si>
  <si>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</si>
  <si>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</si>
  <si>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</si>
  <si>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</si>
  <si>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</si>
  <si>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</si>
  <si>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</si>
  <si>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</si>
  <si>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</si>
  <si>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</si>
  <si>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</si>
  <si>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</si>
  <si>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</si>
  <si>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</si>
  <si>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</si>
  <si>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</si>
  <si>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</si>
  <si>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</si>
  <si>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</si>
  <si>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</si>
  <si>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</si>
  <si>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</si>
  <si>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</si>
  <si>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</si>
  <si>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</si>
  <si>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</si>
  <si>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</si>
  <si>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</si>
  <si>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</si>
  <si>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</si>
  <si>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</si>
  <si>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</si>
  <si>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</si>
  <si>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</si>
  <si>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</si>
  <si>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</si>
  <si>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</si>
  <si>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</si>
  <si>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</si>
  <si>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</si>
  <si>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</si>
  <si>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</si>
  <si>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</si>
  <si>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</si>
  <si>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</si>
  <si>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</si>
  <si>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</si>
  <si>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</si>
  <si>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</si>
  <si>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</si>
  <si>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</si>
  <si>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</si>
  <si>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</si>
  <si>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</si>
  <si>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</si>
  <si>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</si>
  <si>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</si>
  <si>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</si>
  <si>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</si>
  <si>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</si>
  <si>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</si>
  <si>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</si>
  <si>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</si>
  <si>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</si>
  <si>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</si>
  <si>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</si>
  <si>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</si>
  <si>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</si>
  <si>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</si>
  <si>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</si>
  <si>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</si>
  <si>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</si>
  <si>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</si>
  <si>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</si>
  <si>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</si>
  <si>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</si>
  <si>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</si>
  <si>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</si>
  <si>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</si>
  <si>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</si>
  <si>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</si>
  <si>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</si>
  <si>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</si>
  <si>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</si>
  <si>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</si>
  <si>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</si>
  <si>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</si>
  <si>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</si>
  <si>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</si>
  <si>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</si>
  <si>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</si>
  <si>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</si>
  <si>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</si>
  <si>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</si>
  <si>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</si>
  <si>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</si>
  <si>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</si>
  <si>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</si>
  <si>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</si>
  <si>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</si>
  <si>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</si>
  <si>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</si>
  <si>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</si>
  <si>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</si>
  <si>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</si>
  <si>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</si>
  <si>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</si>
  <si>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</si>
  <si>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</si>
  <si>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</si>
  <si>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</si>
  <si>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</si>
  <si>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</si>
  <si>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</si>
  <si>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</si>
  <si>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</si>
  <si>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</si>
  <si>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</si>
  <si>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</si>
  <si>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</si>
  <si>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</si>
  <si>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</si>
  <si>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</si>
  <si>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</si>
  <si>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</si>
  <si>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</si>
  <si>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</si>
  <si>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</si>
  <si>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</si>
  <si>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</si>
  <si>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</si>
  <si>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</si>
  <si>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</si>
  <si>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</si>
  <si>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</si>
  <si>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</si>
  <si>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</si>
  <si>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</si>
  <si>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</si>
  <si>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</si>
  <si>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</si>
  <si>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</si>
  <si>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</si>
  <si>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</si>
  <si>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</si>
  <si>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</si>
  <si>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</si>
  <si>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</si>
  <si>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</si>
  <si>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</si>
  <si>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</si>
  <si>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</si>
  <si>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</si>
  <si>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</si>
  <si>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</si>
  <si>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</si>
  <si>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</si>
  <si>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</si>
  <si>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</si>
  <si>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</si>
  <si>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</si>
  <si>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</si>
  <si>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</si>
  <si>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</si>
  <si>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</si>
  <si>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</si>
  <si>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</si>
  <si>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</si>
  <si>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</si>
  <si>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</si>
  <si>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</si>
  <si>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</si>
  <si>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</si>
  <si>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</si>
  <si>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</si>
  <si>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</si>
  <si>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</si>
  <si>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</si>
  <si>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</si>
  <si>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</si>
  <si>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</si>
  <si>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</si>
  <si>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</si>
  <si>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</si>
  <si>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</si>
  <si>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</si>
  <si>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</si>
  <si>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</si>
  <si>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</si>
  <si>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</si>
  <si>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</si>
  <si>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</si>
  <si>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</si>
  <si>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</si>
  <si>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</si>
  <si>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</si>
  <si>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</si>
  <si>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</si>
  <si>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</si>
  <si>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</si>
  <si>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</si>
  <si>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</si>
  <si>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</si>
  <si>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</si>
  <si>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</si>
  <si>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</si>
  <si>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</si>
  <si>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</si>
  <si>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</si>
  <si>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</si>
  <si>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</si>
  <si>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</si>
  <si>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</si>
  <si>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</si>
  <si>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</si>
  <si>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</si>
  <si>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</si>
  <si>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</si>
  <si>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</si>
  <si>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</si>
  <si>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</si>
  <si>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</si>
  <si>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</si>
  <si>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</si>
  <si>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</si>
  <si>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</si>
  <si>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</si>
  <si>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</si>
  <si>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</si>
  <si>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</si>
  <si>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</si>
  <si>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</si>
  <si>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</si>
  <si>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</si>
  <si>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</si>
  <si>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</si>
  <si>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</si>
  <si>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</si>
  <si>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</si>
  <si>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</si>
  <si>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</si>
  <si>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</si>
  <si>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</si>
  <si>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</si>
  <si>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</si>
  <si>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</si>
  <si>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</si>
  <si>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</si>
  <si>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</si>
  <si>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</si>
  <si>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</si>
  <si>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</si>
  <si>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</si>
  <si>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</si>
  <si>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</si>
  <si>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</si>
  <si>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</si>
  <si>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</si>
  <si>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</si>
  <si>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</si>
  <si>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</si>
  <si>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</si>
  <si>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</si>
  <si>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</si>
  <si>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</si>
  <si>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</si>
  <si>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</si>
  <si>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</si>
  <si>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</si>
  <si>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</si>
  <si>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</si>
  <si>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</si>
  <si>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</si>
  <si>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</si>
  <si>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</si>
  <si>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</si>
  <si>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</si>
  <si>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</si>
  <si>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</si>
  <si>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</si>
  <si>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</si>
  <si>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</si>
  <si>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</si>
  <si>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</si>
  <si>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</si>
  <si>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</si>
  <si>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</si>
  <si>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</si>
  <si>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</si>
  <si>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</si>
  <si>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</si>
  <si>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</si>
  <si>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</si>
  <si>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</si>
  <si>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</si>
  <si>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</si>
  <si>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</si>
  <si>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</si>
  <si>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</si>
  <si>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</si>
  <si>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</si>
  <si>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</si>
  <si>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</si>
  <si>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</si>
  <si>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</si>
  <si>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</si>
  <si>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</si>
  <si>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</si>
  <si>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</si>
  <si>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</si>
  <si>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</si>
  <si>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</si>
  <si>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</si>
  <si>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</si>
  <si>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</si>
  <si>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</si>
  <si>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</si>
  <si>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</si>
  <si>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</si>
  <si>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</si>
  <si>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</si>
  <si>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</si>
  <si>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</si>
  <si>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</si>
  <si>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</si>
  <si>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</si>
  <si>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</si>
  <si>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</si>
  <si>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</si>
  <si>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</si>
  <si>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</si>
  <si>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</si>
  <si>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</si>
  <si>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</si>
  <si>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</si>
  <si>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</si>
  <si>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</si>
  <si>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</si>
  <si>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</si>
  <si>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</si>
  <si>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</si>
  <si>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</si>
  <si>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</si>
  <si>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</si>
  <si>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</si>
  <si>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</si>
  <si>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</si>
  <si>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</si>
  <si>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</si>
  <si>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</si>
  <si>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</si>
  <si>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</si>
  <si>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</si>
  <si>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</si>
  <si>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</si>
  <si>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</si>
  <si>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</si>
  <si>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</si>
  <si>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</si>
  <si>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</si>
  <si>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</si>
  <si>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</si>
  <si>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</si>
  <si>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</si>
  <si>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</si>
  <si>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</si>
  <si>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</si>
  <si>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</si>
  <si>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</si>
  <si>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</si>
  <si>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</si>
  <si>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</si>
  <si>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</si>
  <si>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</si>
  <si>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</si>
  <si>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</si>
  <si>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</si>
  <si>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</si>
  <si>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</si>
  <si>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</si>
  <si>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</si>
  <si>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</si>
  <si>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</si>
  <si>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</si>
  <si>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</si>
  <si>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</si>
  <si>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</si>
  <si>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</si>
  <si>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</si>
  <si>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</si>
  <si>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</si>
  <si>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</si>
  <si>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</si>
  <si>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</si>
  <si>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</si>
  <si>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</si>
  <si>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</si>
  <si>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</si>
  <si>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</si>
  <si>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</si>
  <si>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</si>
  <si>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</si>
  <si>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</si>
  <si>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</si>
  <si>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</si>
  <si>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</si>
  <si>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</si>
  <si>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</si>
  <si>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</si>
  <si>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</si>
  <si>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</si>
  <si>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</si>
  <si>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</si>
  <si>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</si>
  <si>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</si>
  <si>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</si>
  <si>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</si>
  <si>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</si>
  <si>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</si>
  <si>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</si>
  <si>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</si>
  <si>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</si>
  <si>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</si>
  <si>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</si>
  <si>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</si>
  <si>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</si>
  <si>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</si>
  <si>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</si>
  <si>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</si>
  <si>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</si>
  <si>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</si>
  <si>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</si>
  <si>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</si>
  <si>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</si>
  <si>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</si>
  <si>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</si>
  <si>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</si>
  <si>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</si>
  <si>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</si>
  <si>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</si>
  <si>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</si>
  <si>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</si>
  <si>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</si>
  <si>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</si>
  <si>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</si>
  <si>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</si>
  <si>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</si>
  <si>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</si>
  <si>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</si>
  <si>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</si>
  <si>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</si>
  <si>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</si>
  <si>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</si>
  <si>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</si>
  <si>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</si>
  <si>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</si>
  <si>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</si>
  <si>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</si>
  <si>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</si>
  <si>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</si>
  <si>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</si>
  <si>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</si>
  <si>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</si>
  <si>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</si>
  <si>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</si>
  <si>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</si>
  <si>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</si>
  <si>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</si>
  <si>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</si>
  <si>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</si>
  <si>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</si>
  <si>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</si>
  <si>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</si>
  <si>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</si>
  <si>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</si>
  <si>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</si>
  <si>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</si>
  <si>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</si>
  <si>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</si>
  <si>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</si>
  <si>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</si>
  <si>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</si>
  <si>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</si>
  <si>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</si>
  <si>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</si>
  <si>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</si>
  <si>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</si>
  <si>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</si>
  <si>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</si>
  <si>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</si>
  <si>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</si>
  <si>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</si>
  <si>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</si>
  <si>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</si>
  <si>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</si>
  <si>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</si>
  <si>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</si>
  <si>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</si>
  <si>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</si>
  <si>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</si>
  <si>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</si>
  <si>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</si>
  <si>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</si>
  <si>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</si>
  <si>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</si>
  <si>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</si>
  <si>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</si>
  <si>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</si>
  <si>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</si>
  <si>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</si>
  <si>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</si>
  <si>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</si>
  <si>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</si>
  <si>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</si>
  <si>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</si>
  <si>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</si>
  <si>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</si>
  <si>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</si>
  <si>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</si>
  <si>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</si>
  <si>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</si>
  <si>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</si>
  <si>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</si>
  <si>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</si>
  <si>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</si>
  <si>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</si>
  <si>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</si>
  <si>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</si>
  <si>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</si>
  <si>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</si>
  <si>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</si>
  <si>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</si>
  <si>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</si>
  <si>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</si>
  <si>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</si>
  <si>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</si>
  <si>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</si>
  <si>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</si>
  <si>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</si>
  <si>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</si>
  <si>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</si>
  <si>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</si>
  <si>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</si>
  <si>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</si>
  <si>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</si>
  <si>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</si>
  <si>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</si>
  <si>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</si>
  <si>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</si>
  <si>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</si>
  <si>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</si>
  <si>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</si>
  <si>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</si>
  <si>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</si>
  <si>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</si>
  <si>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</si>
  <si>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</si>
  <si>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</si>
  <si>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</si>
  <si>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</si>
  <si>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</si>
  <si>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</si>
  <si>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</si>
  <si>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</si>
  <si>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</si>
  <si>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</si>
  <si>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</si>
  <si>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</si>
  <si>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</si>
  <si>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</si>
  <si>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</si>
  <si>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</si>
  <si>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</si>
  <si>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</si>
  <si>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</si>
  <si>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</si>
  <si>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</si>
  <si>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</si>
  <si>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</si>
  <si>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</si>
  <si>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</si>
  <si>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</si>
  <si>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</si>
  <si>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</si>
  <si>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</si>
  <si>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</si>
  <si>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</si>
  <si>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</si>
  <si>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</si>
  <si>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</si>
  <si>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</si>
  <si>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</si>
  <si>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</si>
  <si>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</si>
  <si>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</si>
  <si>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</si>
  <si>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</si>
  <si>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</si>
  <si>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</si>
  <si>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</si>
  <si>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</si>
  <si>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</si>
  <si>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</si>
  <si>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</si>
  <si>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</si>
  <si>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</si>
  <si>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</si>
  <si>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</si>
  <si>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</si>
  <si>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</si>
  <si>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</si>
  <si>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</si>
  <si>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</si>
  <si>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</si>
  <si>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</si>
  <si>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</si>
  <si>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</si>
  <si>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</si>
  <si>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</si>
  <si>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</si>
  <si>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</si>
  <si>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</si>
  <si>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</si>
  <si>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</si>
  <si>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</si>
  <si>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</si>
  <si>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</si>
  <si>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</si>
  <si>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</si>
  <si>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</si>
  <si>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</si>
  <si>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</si>
  <si>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</si>
  <si>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</si>
  <si>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</si>
  <si>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</si>
  <si>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</si>
  <si>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</si>
  <si>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</si>
  <si>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</si>
  <si>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</si>
  <si>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</si>
  <si>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</si>
  <si>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</si>
  <si>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</si>
  <si>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</si>
  <si>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</si>
  <si>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</si>
  <si>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</si>
  <si>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</si>
  <si>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</si>
  <si>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</si>
  <si>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</si>
  <si>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</si>
  <si>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</si>
  <si>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</si>
  <si>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</si>
  <si>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</si>
  <si>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</si>
  <si>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</si>
  <si>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</si>
  <si>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</si>
  <si>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</si>
  <si>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</si>
  <si>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</si>
  <si>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</si>
  <si>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</si>
  <si>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</si>
  <si>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</si>
  <si>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</si>
  <si>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</si>
  <si>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</si>
  <si>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</si>
  <si>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</si>
  <si>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</si>
  <si>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</si>
  <si>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</si>
  <si>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</si>
  <si>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</si>
  <si>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</si>
  <si>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</si>
  <si>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</si>
  <si>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</si>
  <si>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</si>
  <si>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</si>
  <si>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</si>
  <si>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</si>
  <si>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</si>
  <si>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</si>
  <si>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</si>
  <si>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</si>
  <si>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</si>
  <si>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</si>
  <si>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</si>
  <si>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</si>
  <si>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</si>
  <si>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</si>
  <si>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</si>
  <si>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</si>
  <si>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</si>
  <si>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</si>
  <si>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</si>
  <si>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</si>
  <si>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</si>
  <si>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</si>
  <si>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</si>
  <si>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</si>
  <si>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</si>
  <si>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</si>
  <si>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</si>
  <si>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</si>
  <si>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</si>
  <si>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</si>
  <si>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</si>
  <si>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</si>
  <si>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</si>
  <si>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</si>
  <si>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</si>
  <si>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</si>
  <si>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</si>
  <si>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</si>
  <si>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</si>
  <si>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</si>
  <si>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</si>
  <si>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</si>
  <si>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</si>
  <si>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</si>
  <si>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</si>
  <si>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</si>
  <si>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</si>
  <si>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</si>
  <si>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</si>
  <si>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</si>
  <si>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</si>
  <si>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</si>
  <si>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</si>
  <si>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</si>
  <si>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</si>
  <si>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</si>
  <si>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</si>
  <si>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</si>
  <si>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</si>
  <si>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</si>
  <si>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</si>
  <si>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</si>
  <si>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</si>
  <si>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</si>
  <si>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</si>
  <si>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</si>
  <si>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</si>
  <si>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</si>
  <si>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</si>
  <si>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</si>
  <si>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</si>
  <si>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</si>
  <si>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</si>
  <si>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</si>
  <si>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</si>
  <si>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</si>
  <si>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</si>
  <si>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</si>
  <si>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</si>
  <si>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</si>
  <si>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</si>
  <si>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</si>
  <si>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</si>
  <si>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</si>
  <si>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</si>
  <si>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</si>
  <si>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</si>
  <si>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</si>
  <si>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</si>
  <si>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</si>
  <si>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</si>
  <si>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</si>
  <si>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</si>
  <si>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</si>
  <si>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</si>
  <si>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</si>
  <si>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</si>
  <si>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</si>
  <si>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</si>
  <si>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</si>
  <si>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</si>
  <si>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</si>
  <si>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</si>
  <si>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</si>
  <si>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</si>
  <si>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</si>
  <si>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</si>
  <si>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</si>
  <si>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</si>
  <si>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</si>
  <si>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</si>
  <si>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</si>
  <si>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</si>
  <si>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</si>
  <si>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</si>
  <si>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</si>
  <si>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</si>
  <si>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</si>
  <si>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</si>
  <si>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</si>
  <si>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</si>
  <si>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</si>
  <si>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</si>
  <si>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</si>
  <si>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</si>
  <si>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</si>
  <si>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</si>
  <si>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</si>
  <si>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</si>
  <si>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</si>
  <si>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</si>
  <si>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</si>
  <si>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</si>
  <si>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Jo Daviess</t>
  </si>
  <si>
    <t>1206 N. Franklin</t>
  </si>
  <si>
    <t>Galena</t>
  </si>
  <si>
    <t>815-777-3086</t>
  </si>
  <si>
    <t>815-777-0303</t>
  </si>
  <si>
    <t>Aaron Mercier</t>
  </si>
  <si>
    <t>amercier@roe8.com</t>
  </si>
  <si>
    <t>815-599-1408</t>
  </si>
  <si>
    <t>815-297-9032</t>
  </si>
  <si>
    <t>20-2540-300</t>
  </si>
  <si>
    <t>Northwest Mechanical</t>
  </si>
  <si>
    <t>40-2550-300</t>
  </si>
  <si>
    <t>10-2900-300</t>
  </si>
  <si>
    <t>Quality Network</t>
  </si>
  <si>
    <t>X</t>
  </si>
  <si>
    <t>ROE #8 (R&amp;I / Common Core / Teacher Evaluation)</t>
  </si>
  <si>
    <t>TASC</t>
  </si>
  <si>
    <t>IASB (Press / Legal Counsel)</t>
  </si>
  <si>
    <t>ROE #8 (Workshop/Conf), Midwest Educational Consulting</t>
  </si>
  <si>
    <t>E. Dubuque School District, Midwest Medical Center</t>
  </si>
  <si>
    <t>Northwest Special Education District</t>
  </si>
  <si>
    <t>PLTW</t>
  </si>
  <si>
    <t>Jo Daviess County Transit</t>
  </si>
  <si>
    <t>Eagle Ridge VDS, Jo Daviess Carroll CTEA</t>
  </si>
  <si>
    <t>NUPA =  National Joint Powers Alliance</t>
  </si>
  <si>
    <t>GO Limited Tax School Bond, Series 2003</t>
  </si>
  <si>
    <t>Taxable GO QZAB Bonds, Series 2016A</t>
  </si>
  <si>
    <t>Taxable GO QZAB Bonds, Series 2016B</t>
  </si>
  <si>
    <t>Account</t>
  </si>
  <si>
    <t>Page</t>
  </si>
  <si>
    <t>Line #</t>
  </si>
  <si>
    <t>Sales/Pupils/Milk/Other</t>
  </si>
  <si>
    <t>Tournament Reimbursements</t>
  </si>
  <si>
    <t>Supple Fees/PE Uniforms</t>
  </si>
  <si>
    <t>Convenience Fee</t>
  </si>
  <si>
    <t>Library Grant</t>
  </si>
  <si>
    <t>Crossing Guard Salaries</t>
  </si>
  <si>
    <t>Presentation Fees</t>
  </si>
  <si>
    <t>Crossing Guard Employee Benefits</t>
  </si>
  <si>
    <t>Technology Benefits</t>
  </si>
  <si>
    <t>IDEA Room &amp; Board Costs</t>
  </si>
  <si>
    <t>Booster Reimbursement</t>
  </si>
  <si>
    <t>O&amp;M-Oper. &amp; Maint. Plant Services-Purchased Service</t>
  </si>
  <si>
    <t>TR-Pupil Transportation-Purchased Service</t>
  </si>
  <si>
    <t>Midwest Transit Equipment, Inc.</t>
  </si>
  <si>
    <t>ED-Other-Purchased Service</t>
  </si>
  <si>
    <t>IASA &amp; ROE #8 (Job Banks), AppliTrack</t>
  </si>
  <si>
    <t>Ifiber-Trade Agreement, QNS</t>
  </si>
  <si>
    <t>E-Rate</t>
  </si>
  <si>
    <t>Miscellaneous Reimbursements</t>
  </si>
  <si>
    <t>Sale of Refuse</t>
  </si>
  <si>
    <t>Sale of Roof Rock</t>
  </si>
  <si>
    <t>Steve Bianchetta</t>
  </si>
  <si>
    <t>sbianchetta@gusd120.k12.il.us</t>
  </si>
  <si>
    <t>Galena USD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</si>
</sst>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7" fillId="0" borderId="0" xfId="0" applyFont="1" applyAlignment="1">
      <alignment horizontal="center"/>
    </xf>
    <xf numFmtId="0" fontId="75" fillId="0" borderId="0" xfId="0" applyFont="1" applyAlignment="1">
      <alignment horizontal="center"/>
    </xf>
    <xf numFmtId="181" fontId="57" fillId="0" borderId="0" xfId="19" applyNumberFormat="1" applyFont="1"/>
    <xf numFmtId="181" fontId="75" fillId="0" borderId="0" xfId="19" applyNumberFormat="1" applyFont="1" applyAlignment="1">
      <alignment horizontal="center"/>
    </xf>
    <xf numFmtId="181" fontId="57" fillId="0" borderId="0" xfId="19" applyNumberFormat="1" applyFont="1" applyAlignment="1">
      <alignment horizontal="center"/>
    </xf>
    <xf numFmtId="181" fontId="57" fillId="0" borderId="165" xfId="19" applyNumberFormat="1" applyFont="1" applyBorder="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181" fontId="57" fillId="0" borderId="166" xfId="19" applyNumberFormat="1" applyFont="1" applyBorder="1"/>
    <xf numFmtId="182" fontId="57" fillId="0" borderId="0" xfId="19" applyNumberFormat="1"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91" t="s">
        <v>405</v>
      </c>
      <c r="J1" s="1992"/>
      <c r="K1" s="1992"/>
      <c r="L1" s="1992"/>
      <c r="M1" s="1992"/>
      <c r="N1" s="1992"/>
      <c r="O1" s="1992"/>
      <c r="P1" s="1992"/>
      <c r="Q1" s="1992"/>
      <c r="R1" s="1992"/>
      <c r="S1" s="1992"/>
    </row>
    <row r="2" spans="1:28" ht="12" customHeight="1" x14ac:dyDescent="0.2">
      <c r="A2" s="47" t="s">
        <v>1993</v>
      </c>
      <c r="D2" s="48"/>
      <c r="I2" s="1993" t="s">
        <v>979</v>
      </c>
      <c r="J2" s="1992"/>
      <c r="K2" s="1992"/>
      <c r="L2" s="1992"/>
      <c r="M2" s="1992"/>
      <c r="N2" s="1992"/>
      <c r="O2" s="1992"/>
      <c r="P2" s="1992"/>
      <c r="Q2" s="1992"/>
      <c r="R2" s="1992"/>
      <c r="S2" s="1992"/>
    </row>
    <row r="3" spans="1:28" ht="12" customHeight="1" x14ac:dyDescent="0.2">
      <c r="A3" s="155" t="s">
        <v>1945</v>
      </c>
      <c r="B3" s="156"/>
      <c r="C3" s="156"/>
      <c r="D3" s="157"/>
      <c r="I3" s="1993" t="s">
        <v>52</v>
      </c>
      <c r="J3" s="1992"/>
      <c r="K3" s="1992"/>
      <c r="L3" s="1992"/>
      <c r="M3" s="1992"/>
      <c r="N3" s="1992"/>
      <c r="O3" s="1992"/>
      <c r="P3" s="1992"/>
      <c r="Q3" s="1992"/>
      <c r="R3" s="1992"/>
      <c r="S3" s="1992"/>
    </row>
    <row r="4" spans="1:28" ht="12" customHeight="1" x14ac:dyDescent="0.2">
      <c r="A4" s="37"/>
      <c r="I4" s="1993" t="s">
        <v>524</v>
      </c>
      <c r="J4" s="1992"/>
      <c r="K4" s="1992"/>
      <c r="L4" s="1992"/>
      <c r="M4" s="1992"/>
      <c r="N4" s="1992"/>
      <c r="O4" s="1992"/>
      <c r="P4" s="1992"/>
      <c r="Q4" s="1992"/>
      <c r="R4" s="1992"/>
      <c r="S4" s="1992"/>
    </row>
    <row r="5" spans="1:28" ht="14.1" customHeight="1" x14ac:dyDescent="0.2">
      <c r="B5" s="104" t="s">
        <v>2073</v>
      </c>
      <c r="C5" s="26" t="s">
        <v>910</v>
      </c>
      <c r="D5" s="84"/>
      <c r="E5" s="84"/>
      <c r="H5" s="38"/>
      <c r="I5" s="2001" t="s">
        <v>680</v>
      </c>
      <c r="J5" s="2000"/>
      <c r="K5" s="2000"/>
      <c r="L5" s="2000"/>
      <c r="M5" s="2000"/>
      <c r="N5" s="2000"/>
      <c r="O5" s="2000"/>
      <c r="P5" s="2000"/>
      <c r="Q5" s="2000"/>
      <c r="R5" s="2000"/>
      <c r="S5" s="2000"/>
    </row>
    <row r="6" spans="1:28" ht="14.1" customHeight="1" x14ac:dyDescent="0.2">
      <c r="B6" s="104"/>
      <c r="C6" s="26" t="s">
        <v>911</v>
      </c>
      <c r="D6" s="84"/>
      <c r="E6" s="84"/>
      <c r="I6" s="1999" t="s">
        <v>883</v>
      </c>
      <c r="J6" s="2000"/>
      <c r="K6" s="2000"/>
      <c r="L6" s="2000"/>
      <c r="M6" s="2000"/>
      <c r="N6" s="2000"/>
      <c r="O6" s="2000"/>
      <c r="P6" s="2000"/>
      <c r="Q6" s="2000"/>
      <c r="R6" s="2000"/>
      <c r="S6" s="2000"/>
    </row>
    <row r="7" spans="1:28" ht="12.2" customHeight="1" x14ac:dyDescent="0.2">
      <c r="I7" s="1994">
        <v>43646</v>
      </c>
      <c r="J7" s="1995"/>
      <c r="K7" s="1995"/>
      <c r="L7" s="1995"/>
      <c r="M7" s="1995"/>
      <c r="N7" s="1995"/>
      <c r="O7" s="1995"/>
      <c r="P7" s="1995"/>
      <c r="Q7" s="1995"/>
      <c r="R7" s="1995"/>
      <c r="S7" s="199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6" t="s">
        <v>674</v>
      </c>
      <c r="J9" s="1997"/>
      <c r="K9" s="1997"/>
      <c r="L9" s="1997"/>
      <c r="M9" s="1997"/>
      <c r="N9" s="1997"/>
      <c r="O9" s="1997"/>
      <c r="P9" s="1997"/>
      <c r="Q9" s="1997"/>
      <c r="R9" s="1997"/>
      <c r="S9" s="1998"/>
      <c r="T9" s="2012" t="s">
        <v>533</v>
      </c>
      <c r="U9" s="2013"/>
      <c r="V9" s="2013"/>
      <c r="W9" s="2013"/>
      <c r="X9" s="2013"/>
      <c r="Y9" s="2013"/>
      <c r="Z9" s="2013"/>
      <c r="AA9" s="2014"/>
    </row>
    <row r="10" spans="1:28" ht="13.5" customHeight="1" x14ac:dyDescent="0.2">
      <c r="A10" s="2019" t="s">
        <v>675</v>
      </c>
      <c r="B10" s="2020"/>
      <c r="C10" s="2020"/>
      <c r="D10" s="2020"/>
      <c r="E10" s="2020"/>
      <c r="F10" s="2020"/>
      <c r="G10" s="2020"/>
      <c r="H10" s="2021"/>
      <c r="I10" s="29"/>
      <c r="J10" s="30"/>
      <c r="K10" s="28"/>
      <c r="R10" s="30"/>
      <c r="S10" s="30"/>
      <c r="T10" s="2015"/>
      <c r="U10" s="2000"/>
      <c r="V10" s="2000"/>
      <c r="W10" s="2000"/>
      <c r="X10" s="2000"/>
      <c r="Y10" s="2000"/>
      <c r="Z10" s="2000"/>
      <c r="AA10" s="2006"/>
    </row>
    <row r="11" spans="1:28" ht="14.25" customHeight="1" x14ac:dyDescent="0.2">
      <c r="A11" s="2022" t="s">
        <v>955</v>
      </c>
      <c r="B11" s="2023"/>
      <c r="C11" s="2023"/>
      <c r="D11" s="2023"/>
      <c r="E11" s="2023"/>
      <c r="F11" s="2023"/>
      <c r="G11" s="2023"/>
      <c r="H11" s="2024"/>
      <c r="I11" s="27"/>
      <c r="J11" s="74"/>
      <c r="K11" s="27"/>
      <c r="O11" s="148" t="s">
        <v>2073</v>
      </c>
      <c r="P11" s="100" t="s">
        <v>201</v>
      </c>
      <c r="Q11" s="30"/>
      <c r="R11" s="28"/>
      <c r="S11" s="27"/>
      <c r="T11" s="2016"/>
      <c r="U11" s="2017"/>
      <c r="V11" s="2017"/>
      <c r="W11" s="2017"/>
      <c r="X11" s="2017"/>
      <c r="Y11" s="2017"/>
      <c r="Z11" s="2017"/>
      <c r="AA11" s="201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6">
        <v>8043120022</v>
      </c>
      <c r="B13" s="2027"/>
      <c r="C13" s="2027"/>
      <c r="D13" s="2027"/>
      <c r="E13" s="2027"/>
      <c r="F13" s="2027"/>
      <c r="G13" s="2027"/>
      <c r="H13" s="2028"/>
      <c r="I13" s="31"/>
      <c r="J13" s="30"/>
      <c r="K13" s="28"/>
      <c r="L13" s="30"/>
      <c r="M13" s="30"/>
      <c r="N13" s="30"/>
      <c r="O13" s="30"/>
      <c r="P13" s="30"/>
      <c r="Q13" s="30"/>
      <c r="R13" s="30"/>
      <c r="S13" s="30"/>
      <c r="T13" s="2031" t="s">
        <v>2064</v>
      </c>
      <c r="U13" s="2032"/>
      <c r="V13" s="2032"/>
      <c r="W13" s="2032"/>
      <c r="X13" s="2032"/>
      <c r="Y13" s="2033"/>
      <c r="Z13" s="2033"/>
      <c r="AA13" s="203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5" t="s">
        <v>2074</v>
      </c>
      <c r="B15" s="2029"/>
      <c r="C15" s="2029"/>
      <c r="D15" s="2029"/>
      <c r="E15" s="2029"/>
      <c r="F15" s="2029"/>
      <c r="G15" s="2029"/>
      <c r="H15" s="2030"/>
      <c r="T15" s="2035" t="s">
        <v>2065</v>
      </c>
      <c r="U15" s="1979"/>
      <c r="V15" s="1979"/>
      <c r="W15" s="1979"/>
      <c r="X15" s="1979"/>
      <c r="Y15" s="2036"/>
      <c r="Z15" s="2036"/>
      <c r="AA15" s="203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5" t="s">
        <v>2128</v>
      </c>
      <c r="B17" s="1986"/>
      <c r="C17" s="1986"/>
      <c r="D17" s="1986"/>
      <c r="E17" s="1986"/>
      <c r="F17" s="1986"/>
      <c r="G17" s="1986"/>
      <c r="H17" s="2011"/>
      <c r="T17" s="2042" t="s">
        <v>2066</v>
      </c>
      <c r="U17" s="2043"/>
      <c r="V17" s="2043"/>
      <c r="W17" s="2043"/>
      <c r="X17" s="2043"/>
      <c r="Y17" s="2043"/>
      <c r="Z17" s="2043"/>
      <c r="AA17" s="2044"/>
    </row>
    <row r="18" spans="1:27" ht="13.5" customHeight="1" x14ac:dyDescent="0.2">
      <c r="A18" s="85" t="s">
        <v>530</v>
      </c>
      <c r="B18" s="76"/>
      <c r="C18" s="72"/>
      <c r="D18" s="76"/>
      <c r="E18" s="76"/>
      <c r="F18" s="76"/>
      <c r="G18" s="76"/>
      <c r="H18" s="56"/>
      <c r="I18" s="2010" t="s">
        <v>676</v>
      </c>
      <c r="J18" s="1961"/>
      <c r="K18" s="1961"/>
      <c r="L18" s="1961"/>
      <c r="M18" s="1961"/>
      <c r="N18" s="1961"/>
      <c r="O18" s="1961"/>
      <c r="P18" s="1961"/>
      <c r="Q18" s="1961"/>
      <c r="R18" s="1961"/>
      <c r="S18" s="1962"/>
      <c r="T18" s="85" t="s">
        <v>711</v>
      </c>
      <c r="U18" s="51"/>
      <c r="V18" s="72"/>
      <c r="W18" s="50"/>
      <c r="X18" s="85" t="s">
        <v>266</v>
      </c>
      <c r="Y18" s="81"/>
      <c r="Z18" s="159" t="s">
        <v>677</v>
      </c>
      <c r="AA18" s="46"/>
    </row>
    <row r="19" spans="1:27" ht="13.5" customHeight="1" x14ac:dyDescent="0.2">
      <c r="A19" s="2025" t="s">
        <v>2075</v>
      </c>
      <c r="B19" s="1971"/>
      <c r="C19" s="1971"/>
      <c r="D19" s="1971"/>
      <c r="E19" s="1971"/>
      <c r="F19" s="1971"/>
      <c r="G19" s="1971"/>
      <c r="H19" s="1951"/>
      <c r="I19" s="30"/>
      <c r="J19" s="99"/>
      <c r="K19" s="40"/>
      <c r="L19" s="38"/>
      <c r="M19" s="112" t="s">
        <v>315</v>
      </c>
      <c r="P19" s="27"/>
      <c r="Q19" s="27"/>
      <c r="R19" s="27"/>
      <c r="S19" s="31"/>
      <c r="T19" s="2025" t="s">
        <v>2067</v>
      </c>
      <c r="U19" s="1950"/>
      <c r="V19" s="1950"/>
      <c r="W19" s="1951"/>
      <c r="X19" s="2040" t="s">
        <v>2068</v>
      </c>
      <c r="Y19" s="2041"/>
      <c r="Z19" s="2038">
        <v>61032</v>
      </c>
      <c r="AA19" s="203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9" t="s">
        <v>2076</v>
      </c>
      <c r="B21" s="1950"/>
      <c r="C21" s="1950"/>
      <c r="D21" s="1950"/>
      <c r="E21" s="1950"/>
      <c r="F21" s="1950"/>
      <c r="G21" s="1950"/>
      <c r="H21" s="1951"/>
      <c r="I21" s="2005" t="s">
        <v>678</v>
      </c>
      <c r="J21" s="2000"/>
      <c r="K21" s="2000"/>
      <c r="L21" s="2000"/>
      <c r="M21" s="2000"/>
      <c r="N21" s="2000"/>
      <c r="O21" s="2000"/>
      <c r="P21" s="2000"/>
      <c r="Q21" s="2000"/>
      <c r="R21" s="2000"/>
      <c r="S21" s="2006"/>
      <c r="T21" s="2049" t="s">
        <v>2069</v>
      </c>
      <c r="U21" s="2050"/>
      <c r="V21" s="2050"/>
      <c r="W21" s="2050"/>
      <c r="X21" s="2055" t="s">
        <v>2070</v>
      </c>
      <c r="Y21" s="2056"/>
      <c r="Z21" s="2056"/>
      <c r="AA21" s="2057"/>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2"/>
      <c r="B23" s="2003"/>
      <c r="C23" s="2003"/>
      <c r="D23" s="2003"/>
      <c r="E23" s="2003"/>
      <c r="F23" s="2003"/>
      <c r="G23" s="2003"/>
      <c r="H23" s="2004"/>
      <c r="T23" s="1985" t="s">
        <v>2071</v>
      </c>
      <c r="U23" s="2048"/>
      <c r="V23" s="2048"/>
      <c r="W23" s="2048"/>
      <c r="X23" s="2052">
        <v>44530</v>
      </c>
      <c r="Y23" s="2053"/>
      <c r="Z23" s="2053"/>
      <c r="AA23" s="2054"/>
    </row>
    <row r="24" spans="1:27" ht="14.1" customHeight="1" x14ac:dyDescent="0.2">
      <c r="A24" s="88" t="s">
        <v>677</v>
      </c>
      <c r="B24" s="49"/>
      <c r="C24" s="49"/>
      <c r="D24" s="49"/>
      <c r="E24" s="49"/>
      <c r="F24" s="49"/>
      <c r="G24" s="49"/>
      <c r="H24" s="61"/>
      <c r="J24" s="1972">
        <f>IF(B5="x",IF(AUDITCHECK!D29="AFR form Incomplete.","",IF(AUDITCHECK!D29="Deficit reduction plan is required.","School District must complete a deficit reduction plan in the 2019-2020 Budget",)),"")</f>
        <v>0</v>
      </c>
      <c r="K24" s="1972"/>
      <c r="L24" s="1972"/>
      <c r="M24" s="1972"/>
      <c r="N24" s="1972"/>
      <c r="O24" s="1972"/>
      <c r="P24" s="1972"/>
      <c r="Q24" s="1972"/>
      <c r="R24" s="1972"/>
      <c r="S24" s="1973"/>
      <c r="T24" s="105" t="s">
        <v>531</v>
      </c>
      <c r="U24" s="106"/>
      <c r="V24" s="106"/>
      <c r="W24" s="106"/>
      <c r="X24" s="107"/>
      <c r="Y24" s="107"/>
      <c r="Z24" s="107"/>
      <c r="AA24" s="108"/>
    </row>
    <row r="25" spans="1:27" ht="14.1" customHeight="1" x14ac:dyDescent="0.2">
      <c r="A25" s="1949">
        <v>61036</v>
      </c>
      <c r="B25" s="1950"/>
      <c r="C25" s="1950"/>
      <c r="D25" s="1950"/>
      <c r="E25" s="1950"/>
      <c r="F25" s="1950"/>
      <c r="G25" s="1950"/>
      <c r="H25" s="1951"/>
      <c r="I25" s="113"/>
      <c r="J25" s="1974"/>
      <c r="K25" s="1974"/>
      <c r="L25" s="1974"/>
      <c r="M25" s="1974"/>
      <c r="N25" s="1974"/>
      <c r="O25" s="1974"/>
      <c r="P25" s="1974"/>
      <c r="Q25" s="1974"/>
      <c r="R25" s="1974"/>
      <c r="S25" s="1975"/>
      <c r="T25" s="2045" t="s">
        <v>2072</v>
      </c>
      <c r="U25" s="2046"/>
      <c r="V25" s="2046"/>
      <c r="W25" s="2046"/>
      <c r="X25" s="2046"/>
      <c r="Y25" s="2046"/>
      <c r="Z25" s="2046"/>
      <c r="AA25" s="20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0" t="s">
        <v>1511</v>
      </c>
      <c r="J27" s="1961"/>
      <c r="K27" s="1961"/>
      <c r="L27" s="1961"/>
      <c r="M27" s="1961"/>
      <c r="N27" s="1961"/>
      <c r="O27" s="1961"/>
      <c r="P27" s="1961"/>
      <c r="Q27" s="1961"/>
      <c r="R27" s="1961"/>
      <c r="S27" s="196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2088</v>
      </c>
      <c r="M29" s="40" t="s">
        <v>99</v>
      </c>
      <c r="N29" s="32" t="s">
        <v>1523</v>
      </c>
      <c r="O29" s="32"/>
      <c r="P29" s="32"/>
      <c r="Q29" s="32"/>
      <c r="R29" s="32"/>
      <c r="S29" s="123"/>
      <c r="T29" s="6"/>
      <c r="U29" s="6"/>
      <c r="V29" s="6"/>
      <c r="W29" s="6"/>
      <c r="X29" s="6"/>
      <c r="Y29" s="6"/>
      <c r="Z29" s="6"/>
      <c r="AA29" s="132"/>
    </row>
    <row r="30" spans="1:27" ht="13.5" customHeight="1" x14ac:dyDescent="0.2">
      <c r="A30" s="153"/>
      <c r="B30" s="136" t="s">
        <v>2088</v>
      </c>
      <c r="C30" s="124" t="s">
        <v>1164</v>
      </c>
      <c r="D30" s="28"/>
      <c r="E30" s="28"/>
      <c r="F30" s="140"/>
      <c r="G30" s="114"/>
      <c r="H30" s="114"/>
      <c r="I30" s="54"/>
      <c r="J30" s="102"/>
      <c r="K30" s="28" t="s">
        <v>576</v>
      </c>
      <c r="L30" s="148" t="s">
        <v>2088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1"/>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5" t="s">
        <v>2126</v>
      </c>
      <c r="B38" s="1986"/>
      <c r="C38" s="1986"/>
      <c r="D38" s="1986"/>
      <c r="E38" s="1986"/>
      <c r="F38" s="1950"/>
      <c r="G38" s="1950"/>
      <c r="H38" s="1951"/>
      <c r="I38" s="1978"/>
      <c r="J38" s="1979"/>
      <c r="K38" s="1979"/>
      <c r="L38" s="1979"/>
      <c r="M38" s="1979"/>
      <c r="N38" s="1979"/>
      <c r="O38" s="1979"/>
      <c r="P38" s="1980"/>
      <c r="Q38" s="1980"/>
      <c r="R38" s="1980"/>
      <c r="S38" s="1981"/>
      <c r="T38" s="2035" t="s">
        <v>2079</v>
      </c>
      <c r="U38" s="1979"/>
      <c r="V38" s="1979"/>
      <c r="W38" s="1979"/>
      <c r="X38" s="1980"/>
      <c r="Y38" s="1980"/>
      <c r="Z38" s="1980"/>
      <c r="AA38" s="1981"/>
    </row>
    <row r="39" spans="1:27" ht="12" customHeight="1" x14ac:dyDescent="0.2">
      <c r="A39" s="1955" t="s">
        <v>531</v>
      </c>
      <c r="B39" s="1956"/>
      <c r="C39" s="72"/>
      <c r="D39" s="69"/>
      <c r="E39" s="69"/>
      <c r="F39" s="79"/>
      <c r="G39" s="69"/>
      <c r="H39" s="56"/>
      <c r="I39" s="1955" t="s">
        <v>531</v>
      </c>
      <c r="J39" s="1956"/>
      <c r="K39" s="1956"/>
      <c r="L39" s="1956"/>
      <c r="M39" s="1956"/>
      <c r="N39" s="67"/>
      <c r="O39" s="72"/>
      <c r="P39" s="72"/>
      <c r="Q39" s="78"/>
      <c r="R39" s="72"/>
      <c r="S39" s="56"/>
      <c r="T39" s="72" t="s">
        <v>531</v>
      </c>
      <c r="U39" s="51"/>
      <c r="V39" s="72"/>
      <c r="W39" s="50"/>
      <c r="X39" s="78"/>
      <c r="Y39" s="45"/>
      <c r="Z39" s="45"/>
      <c r="AA39" s="46"/>
    </row>
    <row r="40" spans="1:27" ht="13.5" customHeight="1" x14ac:dyDescent="0.2">
      <c r="A40" s="1963" t="s">
        <v>2127</v>
      </c>
      <c r="B40" s="1964"/>
      <c r="C40" s="1965"/>
      <c r="D40" s="1965"/>
      <c r="E40" s="1965"/>
      <c r="F40" s="1966"/>
      <c r="G40" s="1966"/>
      <c r="H40" s="1967"/>
      <c r="I40" s="1988"/>
      <c r="J40" s="1989"/>
      <c r="K40" s="1989"/>
      <c r="L40" s="1989"/>
      <c r="M40" s="1989"/>
      <c r="N40" s="1989"/>
      <c r="O40" s="1989"/>
      <c r="P40" s="1989"/>
      <c r="Q40" s="1989"/>
      <c r="R40" s="1989"/>
      <c r="S40" s="1990"/>
      <c r="T40" s="1988" t="s">
        <v>2080</v>
      </c>
      <c r="U40" s="2051"/>
      <c r="V40" s="1989"/>
      <c r="W40" s="1989"/>
      <c r="X40" s="1989"/>
      <c r="Y40" s="1989"/>
      <c r="Z40" s="1989"/>
      <c r="AA40" s="199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7" t="s">
        <v>2077</v>
      </c>
      <c r="B42" s="1969"/>
      <c r="C42" s="1970"/>
      <c r="D42" s="1968" t="s">
        <v>2078</v>
      </c>
      <c r="E42" s="1969"/>
      <c r="F42" s="1969"/>
      <c r="G42" s="1969"/>
      <c r="H42" s="1970"/>
      <c r="I42" s="1952"/>
      <c r="J42" s="1953"/>
      <c r="K42" s="1953"/>
      <c r="L42" s="1953"/>
      <c r="M42" s="1953"/>
      <c r="N42" s="1953"/>
      <c r="O42" s="1954"/>
      <c r="P42" s="1987"/>
      <c r="Q42" s="1953"/>
      <c r="R42" s="1953"/>
      <c r="S42" s="1954"/>
      <c r="T42" s="1952" t="s">
        <v>2081</v>
      </c>
      <c r="U42" s="1953"/>
      <c r="V42" s="1953"/>
      <c r="W42" s="1954"/>
      <c r="X42" s="1987" t="s">
        <v>2082</v>
      </c>
      <c r="Y42" s="1953"/>
      <c r="Z42" s="1953"/>
      <c r="AA42" s="195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2"/>
      <c r="B44" s="1983"/>
      <c r="C44" s="1983"/>
      <c r="D44" s="1983"/>
      <c r="E44" s="1983"/>
      <c r="F44" s="1983"/>
      <c r="G44" s="1983"/>
      <c r="H44" s="1984"/>
      <c r="I44" s="1957"/>
      <c r="J44" s="1958"/>
      <c r="K44" s="1958"/>
      <c r="L44" s="1958"/>
      <c r="M44" s="1958"/>
      <c r="N44" s="1958"/>
      <c r="O44" s="1958"/>
      <c r="P44" s="1958"/>
      <c r="Q44" s="1958"/>
      <c r="R44" s="1958"/>
      <c r="S44" s="1959"/>
      <c r="T44" s="1957"/>
      <c r="U44" s="1976"/>
      <c r="V44" s="1976"/>
      <c r="W44" s="1976"/>
      <c r="X44" s="1976"/>
      <c r="Y44" s="1976"/>
      <c r="Z44" s="1958"/>
      <c r="AA44" s="195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1" t="s">
        <v>1065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691</v>
      </c>
      <c r="B40" s="2058"/>
      <c r="C40" s="2058"/>
      <c r="D40" s="2058"/>
      <c r="E40" s="2058"/>
    </row>
    <row r="41" spans="1:5" x14ac:dyDescent="0.2">
      <c r="A41" s="2059" t="s">
        <v>1608</v>
      </c>
      <c r="B41" s="2059"/>
      <c r="C41" s="2059"/>
      <c r="D41" s="2059"/>
      <c r="E41" s="2059"/>
    </row>
    <row r="42" spans="1:5" ht="12.75" customHeight="1" x14ac:dyDescent="0.2">
      <c r="A42" s="2060" t="s">
        <v>1022</v>
      </c>
      <c r="B42" s="2060"/>
      <c r="C42" s="2060"/>
      <c r="D42" s="2060"/>
      <c r="E42" s="206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83"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1168</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6" t="s">
        <v>1633</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313</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2088</v>
      </c>
      <c r="C53" s="179">
        <v>22</v>
      </c>
      <c r="D53" s="247" t="s">
        <v>1462</v>
      </c>
      <c r="E53" s="248"/>
      <c r="F53" s="249"/>
      <c r="G53" s="249" t="s">
        <v>1461</v>
      </c>
      <c r="H53" s="250">
        <v>35738</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1323</v>
      </c>
      <c r="B70" s="2079"/>
      <c r="C70" s="2079"/>
      <c r="D70" s="2079"/>
      <c r="E70" s="2080"/>
      <c r="F70" s="2080"/>
      <c r="G70" s="2080"/>
      <c r="H70" s="2080"/>
      <c r="I70" s="208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1320</v>
      </c>
      <c r="B83" s="2081"/>
      <c r="C83" s="2081"/>
      <c r="D83" s="208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2064</v>
      </c>
      <c r="D114" s="207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1330</v>
      </c>
      <c r="D117" s="2074"/>
      <c r="E117" s="2075"/>
      <c r="F117" s="2075"/>
      <c r="G117" s="2075"/>
      <c r="H117" s="207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colorId="8" zoomScale="110" zoomScaleNormal="110" workbookViewId="0">
      <selection activeCell="R11" sqref="R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386</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208744201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3.6930499999999998E-2</v>
      </c>
      <c r="E10" s="356" t="s">
        <v>1005</v>
      </c>
      <c r="F10" s="355">
        <v>5.8238999999999999E-3</v>
      </c>
      <c r="G10" s="356" t="s">
        <v>1005</v>
      </c>
      <c r="H10" s="355">
        <v>1.9414E-3</v>
      </c>
      <c r="I10" s="356" t="s">
        <v>1006</v>
      </c>
      <c r="J10" s="1732">
        <f>ROUND(D10+F10+H10,5)</f>
        <v>4.4699999999999997E-2</v>
      </c>
      <c r="K10" s="222"/>
      <c r="L10" s="355">
        <v>2.3690000000000001E-4</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11687998</v>
      </c>
      <c r="E16" s="356"/>
      <c r="F16" s="1733">
        <f>SUM('Acct Summary 7-8'!C17,'Acct Summary 7-8'!D17,'Acct Summary 7-8'!F17)</f>
        <v>10625553</v>
      </c>
      <c r="G16" s="356"/>
      <c r="H16" s="1733">
        <f>SUM(D16-F16)</f>
        <v>1062445</v>
      </c>
      <c r="I16" s="222"/>
      <c r="J16" s="1733">
        <f>SUM('Acct Summary 7-8'!C81,'Acct Summary 7-8'!D81,'Acct Summary 7-8'!F81,'Acct Summary 7-8'!I81)</f>
        <v>8279603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28806699.738000002</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659000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topLeftCell="A22"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556</v>
      </c>
      <c r="B2" s="2111"/>
      <c r="C2" s="2111"/>
      <c r="D2" s="2111"/>
      <c r="E2" s="2111"/>
      <c r="F2" s="2111"/>
      <c r="G2" s="2111"/>
      <c r="H2" s="2111"/>
      <c r="I2" s="2111"/>
      <c r="J2" s="2111"/>
      <c r="K2" s="2111"/>
      <c r="L2" s="2111"/>
      <c r="M2" s="2111"/>
      <c r="N2" s="2111"/>
      <c r="O2" s="2111"/>
      <c r="P2" s="2111"/>
      <c r="Q2" s="2111"/>
      <c r="R2" s="2111"/>
    </row>
    <row r="3" spans="1:18" ht="12.75" x14ac:dyDescent="0.2">
      <c r="A3" s="2112" t="s">
        <v>1413</v>
      </c>
      <c r="B3" s="2112"/>
      <c r="C3" s="2112"/>
      <c r="D3" s="2112"/>
      <c r="E3" s="2112"/>
      <c r="F3" s="2112"/>
      <c r="G3" s="2112"/>
      <c r="H3" s="2112"/>
      <c r="I3" s="2112"/>
      <c r="J3" s="2112"/>
      <c r="K3" s="2112"/>
      <c r="L3" s="2112"/>
      <c r="M3" s="2112"/>
      <c r="N3" s="2112"/>
      <c r="O3" s="2112"/>
      <c r="P3" s="2112"/>
      <c r="Q3" s="2112"/>
      <c r="R3" s="2112"/>
    </row>
    <row r="4" spans="1:18" x14ac:dyDescent="0.2">
      <c r="A4" s="2113" t="s">
        <v>1554</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Galena USD 120</v>
      </c>
      <c r="E7" s="391"/>
      <c r="G7" s="252"/>
      <c r="H7" s="387"/>
      <c r="I7" s="387"/>
      <c r="J7" s="387"/>
      <c r="K7" s="387"/>
      <c r="L7" s="329"/>
      <c r="M7" s="329"/>
      <c r="N7" s="329"/>
      <c r="O7" s="329"/>
      <c r="P7" s="329"/>
    </row>
    <row r="8" spans="1:18" ht="12.75" x14ac:dyDescent="0.2">
      <c r="A8" s="329"/>
      <c r="B8" s="329"/>
      <c r="C8" s="389" t="s">
        <v>1125</v>
      </c>
      <c r="D8" s="392">
        <f>COVER!A13</f>
        <v>8043120022</v>
      </c>
      <c r="E8" s="393"/>
      <c r="G8" s="329"/>
      <c r="H8" s="329"/>
      <c r="I8" s="329"/>
      <c r="J8" s="329"/>
      <c r="K8" s="329"/>
      <c r="L8" s="329"/>
      <c r="M8" s="329"/>
      <c r="N8" s="329"/>
      <c r="O8" s="329"/>
      <c r="P8" s="329"/>
    </row>
    <row r="9" spans="1:18" ht="12.75" x14ac:dyDescent="0.2">
      <c r="A9" s="329"/>
      <c r="B9" s="329"/>
      <c r="C9" s="389" t="s">
        <v>713</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8279603</v>
      </c>
      <c r="I12" s="404"/>
      <c r="J12" s="404"/>
      <c r="K12" s="405">
        <f>TRUNC((H12/H13*100000),5)/100000</f>
        <v>0.70838504589999995</v>
      </c>
      <c r="L12" s="406"/>
      <c r="M12" s="360" t="s">
        <v>1144</v>
      </c>
      <c r="N12" s="360"/>
      <c r="O12" s="407">
        <v>0.35</v>
      </c>
      <c r="P12" s="218"/>
      <c r="Q12" s="218"/>
    </row>
    <row r="13" spans="1:18" s="408" customFormat="1" ht="12.75" x14ac:dyDescent="0.2">
      <c r="A13" s="218"/>
      <c r="B13" s="401"/>
      <c r="C13" s="2109" t="s">
        <v>1324</v>
      </c>
      <c r="D13" s="2110"/>
      <c r="E13" s="218"/>
      <c r="F13" s="409" t="s">
        <v>793</v>
      </c>
      <c r="G13" s="402"/>
      <c r="H13" s="403">
        <f>SUM('Acct Summary 7-8'!C8+'Acct Summary 7-8'!D8+'Acct Summary 7-8'!F8+'Acct Summary 7-8'!I8)+H14</f>
        <v>11687998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10625553</v>
      </c>
      <c r="I17" s="404"/>
      <c r="J17" s="416"/>
      <c r="K17" s="405">
        <f>TRUNC((H17/H18*100000),5)/100000</f>
        <v>0.90909948820000008</v>
      </c>
      <c r="L17" s="406"/>
      <c r="M17" s="417" t="s">
        <v>1171</v>
      </c>
      <c r="O17" s="418" t="str">
        <f>IF(AND(O16="2", J20 &gt; 2),"1",IF(AND(O16 = "1", J20 &gt; 2),"2",IF(AND(O16="1", J20 &gt;1),"1","0")))</f>
        <v>0</v>
      </c>
      <c r="P17" s="218"/>
    </row>
    <row r="18" spans="1:18" s="408" customFormat="1" ht="11.25" x14ac:dyDescent="0.2">
      <c r="A18" s="218"/>
      <c r="B18" s="401"/>
      <c r="C18" s="2109" t="s">
        <v>1317</v>
      </c>
      <c r="D18" s="2110"/>
      <c r="E18" s="218"/>
      <c r="F18" s="419" t="s">
        <v>794</v>
      </c>
      <c r="G18" s="402"/>
      <c r="H18" s="403">
        <f>SUM('Acct Summary 7-8'!C8+'Acct Summary 7-8'!D8+'Acct Summary 7-8'!F8+'Acct Summary 7-8'!I8)+H19</f>
        <v>11687998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6" t="s">
        <v>1412</v>
      </c>
      <c r="D24" s="2106"/>
      <c r="E24" s="218"/>
      <c r="F24" s="218" t="s">
        <v>445</v>
      </c>
      <c r="G24" s="402"/>
      <c r="H24" s="403">
        <f>SUM('Assets-Liab 5-6'!C4+'Assets-Liab 5-6'!D4+'Assets-Liab 5-6'!F4+'Assets-Liab 5-6'!I4+'Assets-Liab 5-6'!C5+'Assets-Liab 5-6'!D5+'Assets-Liab 5-6'!F5+'Assets-Liab 5-6'!I5)</f>
        <v>8296818</v>
      </c>
      <c r="I24" s="422"/>
      <c r="J24" s="422"/>
      <c r="K24" s="423">
        <f>TRUNC(((H24/H25*100000)/100000),2)</f>
        <v>281.10000000000002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29515.424999999999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7931235.9170000004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659000</v>
      </c>
      <c r="I32" s="420"/>
      <c r="J32" s="420"/>
      <c r="K32" s="423">
        <f>TRUNC(100-((((H32/H33*100))*100)/100),2)</f>
        <v>97.71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28806699.738000002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Normal="100" workbookViewId="0">
      <pane ySplit="2" topLeftCell="A3" activePane="bottomLeft" state="frozen"/>
      <selection pane="bottomLeft" activeCell="A34" sqref="A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6" t="s">
        <v>973</v>
      </c>
      <c r="B3" s="2117"/>
      <c r="C3" s="1559"/>
      <c r="D3" s="1560"/>
      <c r="E3" s="1560"/>
      <c r="F3" s="1560"/>
      <c r="G3" s="1560"/>
      <c r="H3" s="1560"/>
      <c r="I3" s="1560"/>
      <c r="J3" s="1560"/>
      <c r="K3" s="1560"/>
      <c r="L3" s="1560"/>
      <c r="M3" s="1561"/>
      <c r="N3" s="1562"/>
    </row>
    <row r="4" spans="1:14" ht="13.5" customHeight="1" x14ac:dyDescent="0.2">
      <c r="A4" s="463" t="s">
        <v>1651</v>
      </c>
      <c r="B4" s="464"/>
      <c r="C4" s="465">
        <v>5508295</v>
      </c>
      <c r="D4" s="466">
        <v>1268529</v>
      </c>
      <c r="E4" s="466">
        <v>1686</v>
      </c>
      <c r="F4" s="466">
        <v>509266</v>
      </c>
      <c r="G4" s="466">
        <v>245831</v>
      </c>
      <c r="H4" s="466">
        <v>2272085</v>
      </c>
      <c r="I4" s="466">
        <v>958073</v>
      </c>
      <c r="J4" s="467">
        <v>217196</v>
      </c>
      <c r="K4" s="466">
        <v>137977</v>
      </c>
      <c r="L4" s="466">
        <v>414987</v>
      </c>
      <c r="M4" s="468"/>
      <c r="N4" s="469"/>
    </row>
    <row r="5" spans="1:14" x14ac:dyDescent="0.2">
      <c r="A5" s="463" t="s">
        <v>992</v>
      </c>
      <c r="B5" s="470">
        <v>120</v>
      </c>
      <c r="C5" s="465">
        <v>52655</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5560950</v>
      </c>
      <c r="D13" s="1737">
        <f t="shared" ref="D13:L13" si="0">SUM(D4:D12)</f>
        <v>1268529</v>
      </c>
      <c r="E13" s="1737">
        <f t="shared" si="0"/>
        <v>1686</v>
      </c>
      <c r="F13" s="1737">
        <f t="shared" si="0"/>
        <v>509266</v>
      </c>
      <c r="G13" s="1737">
        <f t="shared" si="0"/>
        <v>245831</v>
      </c>
      <c r="H13" s="1737">
        <f t="shared" si="0"/>
        <v>2272085</v>
      </c>
      <c r="I13" s="1737">
        <f t="shared" si="0"/>
        <v>958073</v>
      </c>
      <c r="J13" s="1737">
        <f t="shared" si="0"/>
        <v>217196</v>
      </c>
      <c r="K13" s="1737">
        <f t="shared" si="0"/>
        <v>137977</v>
      </c>
      <c r="L13" s="1737">
        <f t="shared" si="0"/>
        <v>414987</v>
      </c>
      <c r="M13" s="468"/>
      <c r="N13" s="469"/>
    </row>
    <row r="14" spans="1:14" ht="18" customHeight="1" thickTop="1" x14ac:dyDescent="0.2">
      <c r="A14" s="2118" t="s">
        <v>147</v>
      </c>
      <c r="B14" s="211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224259</v>
      </c>
      <c r="N16" s="484"/>
    </row>
    <row r="17" spans="1:14" s="485" customFormat="1" ht="12.75" customHeight="1" x14ac:dyDescent="0.2">
      <c r="A17" s="482" t="s">
        <v>1403</v>
      </c>
      <c r="B17" s="483">
        <v>230</v>
      </c>
      <c r="C17" s="477"/>
      <c r="D17" s="477"/>
      <c r="E17" s="477"/>
      <c r="F17" s="477"/>
      <c r="G17" s="477"/>
      <c r="H17" s="477"/>
      <c r="I17" s="477"/>
      <c r="J17" s="477"/>
      <c r="K17" s="477"/>
      <c r="L17" s="477"/>
      <c r="M17" s="467">
        <v>8723809</v>
      </c>
      <c r="N17" s="484"/>
    </row>
    <row r="18" spans="1:14" s="485" customFormat="1" ht="12.75" customHeight="1" x14ac:dyDescent="0.2">
      <c r="A18" s="482" t="s">
        <v>1404</v>
      </c>
      <c r="B18" s="483">
        <v>240</v>
      </c>
      <c r="C18" s="477"/>
      <c r="D18" s="477"/>
      <c r="E18" s="477"/>
      <c r="F18" s="477"/>
      <c r="G18" s="477"/>
      <c r="H18" s="477"/>
      <c r="I18" s="477"/>
      <c r="J18" s="477"/>
      <c r="K18" s="477"/>
      <c r="L18" s="477"/>
      <c r="M18" s="467">
        <v>694041</v>
      </c>
      <c r="N18" s="484"/>
    </row>
    <row r="19" spans="1:14" s="485" customFormat="1" ht="12.75" customHeight="1" x14ac:dyDescent="0.2">
      <c r="A19" s="482" t="s">
        <v>1405</v>
      </c>
      <c r="B19" s="483">
        <v>250</v>
      </c>
      <c r="C19" s="477"/>
      <c r="D19" s="477"/>
      <c r="E19" s="477"/>
      <c r="F19" s="477"/>
      <c r="G19" s="477"/>
      <c r="H19" s="477"/>
      <c r="I19" s="477"/>
      <c r="J19" s="477"/>
      <c r="K19" s="477"/>
      <c r="L19" s="477"/>
      <c r="M19" s="467">
        <v>2011963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1686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657314</v>
      </c>
    </row>
    <row r="23" spans="1:14" ht="13.5" customHeight="1" thickBot="1" x14ac:dyDescent="0.25">
      <c r="A23" s="1736" t="s">
        <v>643</v>
      </c>
      <c r="B23" s="1741"/>
      <c r="C23" s="468"/>
      <c r="D23" s="468"/>
      <c r="E23" s="468"/>
      <c r="F23" s="468"/>
      <c r="G23" s="468"/>
      <c r="H23" s="468"/>
      <c r="I23" s="468"/>
      <c r="J23" s="468"/>
      <c r="K23" s="468"/>
      <c r="L23" s="468"/>
      <c r="M23" s="1688">
        <f>SUM(M15:M22)</f>
        <v>11654072</v>
      </c>
      <c r="N23" s="1688">
        <f>SUM(N21:N22)</f>
        <v>659000</v>
      </c>
    </row>
    <row r="24" spans="1:14" ht="18" customHeight="1" thickTop="1" x14ac:dyDescent="0.2">
      <c r="A24" s="2120" t="s">
        <v>598</v>
      </c>
      <c r="B24" s="212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1080</v>
      </c>
      <c r="D31" s="467">
        <v>57</v>
      </c>
      <c r="E31" s="467"/>
      <c r="F31" s="466"/>
      <c r="G31" s="467"/>
      <c r="H31" s="467"/>
      <c r="I31" s="467"/>
      <c r="J31" s="467"/>
      <c r="K31" s="467"/>
      <c r="L31" s="468"/>
      <c r="M31" s="468"/>
      <c r="N31" s="468"/>
    </row>
    <row r="32" spans="1:14" ht="13.5" customHeight="1" x14ac:dyDescent="0.2">
      <c r="A32" s="490" t="s">
        <v>652</v>
      </c>
      <c r="B32" s="491">
        <v>490</v>
      </c>
      <c r="C32" s="492">
        <v>16078</v>
      </c>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414987</v>
      </c>
      <c r="M33" s="468"/>
      <c r="N33" s="469"/>
    </row>
    <row r="34" spans="1:14" ht="13.5" customHeight="1" thickBot="1" x14ac:dyDescent="0.25">
      <c r="A34" s="1738" t="s">
        <v>654</v>
      </c>
      <c r="B34" s="1739"/>
      <c r="C34" s="1740">
        <f>SUM(C25:C33)</f>
        <v>17158</v>
      </c>
      <c r="D34" s="1740">
        <f t="shared" ref="D34:K34" si="1">SUM(D25:D33)</f>
        <v>57</v>
      </c>
      <c r="E34" s="1740">
        <f t="shared" si="1"/>
        <v>0</v>
      </c>
      <c r="F34" s="1740">
        <f t="shared" si="1"/>
        <v>0</v>
      </c>
      <c r="G34" s="1740">
        <f t="shared" si="1"/>
        <v>0</v>
      </c>
      <c r="H34" s="1740">
        <f t="shared" si="1"/>
        <v>0</v>
      </c>
      <c r="I34" s="1740">
        <f t="shared" si="1"/>
        <v>0</v>
      </c>
      <c r="J34" s="1740">
        <f t="shared" si="1"/>
        <v>0</v>
      </c>
      <c r="K34" s="1740">
        <f t="shared" si="1"/>
        <v>0</v>
      </c>
      <c r="L34" s="1721">
        <f>SUM(L33)</f>
        <v>414987</v>
      </c>
      <c r="M34" s="468"/>
      <c r="N34" s="480"/>
    </row>
    <row r="35" spans="1:14" ht="18" customHeight="1" thickTop="1" x14ac:dyDescent="0.2">
      <c r="A35" s="2122" t="s">
        <v>529</v>
      </c>
      <c r="B35" s="212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659000</v>
      </c>
    </row>
    <row r="37" spans="1:14" ht="13.5" thickBot="1" x14ac:dyDescent="0.25">
      <c r="A37" s="1736" t="s">
        <v>653</v>
      </c>
      <c r="B37" s="1741"/>
      <c r="C37" s="477"/>
      <c r="D37" s="477"/>
      <c r="E37" s="477"/>
      <c r="F37" s="477"/>
      <c r="G37" s="477"/>
      <c r="H37" s="477"/>
      <c r="I37" s="477"/>
      <c r="J37" s="477"/>
      <c r="K37" s="477"/>
      <c r="L37" s="480"/>
      <c r="M37" s="468"/>
      <c r="N37" s="1688">
        <f>SUM(N36:N36)</f>
        <v>659000</v>
      </c>
    </row>
    <row r="38" spans="1:14" s="329" customFormat="1" ht="13.5" customHeight="1" thickTop="1" x14ac:dyDescent="0.2">
      <c r="A38" s="496" t="s">
        <v>420</v>
      </c>
      <c r="B38" s="483">
        <v>714</v>
      </c>
      <c r="C38" s="466">
        <v>197</v>
      </c>
      <c r="D38" s="466"/>
      <c r="E38" s="466"/>
      <c r="F38" s="466"/>
      <c r="G38" s="466">
        <v>106660</v>
      </c>
      <c r="H38" s="466"/>
      <c r="I38" s="466"/>
      <c r="J38" s="467"/>
      <c r="K38" s="466"/>
      <c r="L38" s="481"/>
      <c r="M38" s="497"/>
      <c r="N38" s="497"/>
    </row>
    <row r="39" spans="1:14" s="329" customFormat="1" ht="13.5" customHeight="1" x14ac:dyDescent="0.2">
      <c r="A39" s="496" t="s">
        <v>342</v>
      </c>
      <c r="B39" s="483">
        <v>730</v>
      </c>
      <c r="C39" s="466">
        <v>5543595</v>
      </c>
      <c r="D39" s="466">
        <v>1268472</v>
      </c>
      <c r="E39" s="466">
        <v>1686</v>
      </c>
      <c r="F39" s="466">
        <v>509266</v>
      </c>
      <c r="G39" s="466">
        <v>139171</v>
      </c>
      <c r="H39" s="466">
        <v>2272085</v>
      </c>
      <c r="I39" s="466">
        <v>958073</v>
      </c>
      <c r="J39" s="467">
        <v>217196</v>
      </c>
      <c r="K39" s="466">
        <v>137977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11654072</v>
      </c>
      <c r="N40" s="497"/>
    </row>
    <row r="41" spans="1:14" ht="13.5" customHeight="1" thickBot="1" x14ac:dyDescent="0.25">
      <c r="A41" s="1736" t="s">
        <v>655</v>
      </c>
      <c r="B41" s="1706"/>
      <c r="C41" s="1688">
        <f>(SUM(C34,C37,C38,C39))</f>
        <v>5560950</v>
      </c>
      <c r="D41" s="1688">
        <f t="shared" ref="D41:L41" si="2">SUM(D34,D37,D38:D39)</f>
        <v>1268529</v>
      </c>
      <c r="E41" s="1688">
        <f t="shared" si="2"/>
        <v>1686</v>
      </c>
      <c r="F41" s="1688">
        <f t="shared" si="2"/>
        <v>509266</v>
      </c>
      <c r="G41" s="1688">
        <f t="shared" si="2"/>
        <v>245831</v>
      </c>
      <c r="H41" s="1688">
        <f t="shared" si="2"/>
        <v>2272085</v>
      </c>
      <c r="I41" s="1688">
        <f t="shared" si="2"/>
        <v>958073</v>
      </c>
      <c r="J41" s="1688">
        <f t="shared" si="2"/>
        <v>217196</v>
      </c>
      <c r="K41" s="1688">
        <f t="shared" si="2"/>
        <v>137977</v>
      </c>
      <c r="L41" s="1688">
        <f t="shared" si="2"/>
        <v>414987</v>
      </c>
      <c r="M41" s="1688">
        <f>SUM(M40)</f>
        <v>11654072</v>
      </c>
      <c r="N41" s="1688">
        <f>SUM(N37)</f>
        <v>659000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colorId="8" zoomScaleNormal="100" zoomScaleSheetLayoutView="100" workbookViewId="0">
      <pane ySplit="2" topLeftCell="A75" activePane="bottomLeft" state="frozen"/>
      <selection pane="bottomLeft" activeCell="C81" sqref="C81: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4" t="s">
        <v>1175</v>
      </c>
      <c r="B3" s="2145"/>
      <c r="C3" s="1573"/>
      <c r="D3" s="1574"/>
      <c r="E3" s="1574"/>
      <c r="F3" s="1574"/>
      <c r="G3" s="1574"/>
      <c r="H3" s="1574"/>
      <c r="I3" s="1574"/>
      <c r="J3" s="1574"/>
      <c r="K3" s="1575"/>
      <c r="L3" s="506"/>
    </row>
    <row r="4" spans="1:13" ht="15.75" customHeight="1" x14ac:dyDescent="0.2">
      <c r="A4" s="1928" t="s">
        <v>1499</v>
      </c>
      <c r="B4" s="1929">
        <v>1000</v>
      </c>
      <c r="C4" s="1742">
        <f>'Revenues 9-14'!C109</f>
        <v>8359158</v>
      </c>
      <c r="D4" s="1742">
        <f>'Revenues 9-14'!D109</f>
        <v>1218826</v>
      </c>
      <c r="E4" s="1742">
        <f>'Revenues 9-14'!E109</f>
        <v>17676</v>
      </c>
      <c r="F4" s="1742">
        <f>'Revenues 9-14'!F109</f>
        <v>402923</v>
      </c>
      <c r="G4" s="1742">
        <f>'Revenues 9-14'!G109</f>
        <v>454914</v>
      </c>
      <c r="H4" s="1742">
        <f>'Revenues 9-14'!H109</f>
        <v>532387</v>
      </c>
      <c r="I4" s="1742">
        <f>'Revenues 9-14'!I109</f>
        <v>100195</v>
      </c>
      <c r="J4" s="1742">
        <f>'Revenues 9-14'!J109</f>
        <v>122386</v>
      </c>
      <c r="K4" s="1742">
        <f>'Revenues 9-14'!K109</f>
        <v>40211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883492</v>
      </c>
      <c r="D6" s="1743">
        <f>'Revenues 9-14'!D170</f>
        <v>0</v>
      </c>
      <c r="E6" s="1743">
        <f>'Revenues 9-14'!E170</f>
        <v>0</v>
      </c>
      <c r="F6" s="1743">
        <f>'Revenues 9-14'!F170</f>
        <v>149870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573534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9816184</v>
      </c>
      <c r="D8" s="1688">
        <f t="shared" ref="D8:K8" si="0">SUM(D4:D7)</f>
        <v>1218826</v>
      </c>
      <c r="E8" s="1688">
        <f t="shared" si="0"/>
        <v>17676</v>
      </c>
      <c r="F8" s="1688">
        <f t="shared" si="0"/>
        <v>552793</v>
      </c>
      <c r="G8" s="1688">
        <f t="shared" si="0"/>
        <v>454914</v>
      </c>
      <c r="H8" s="1688">
        <f t="shared" si="0"/>
        <v>532387</v>
      </c>
      <c r="I8" s="1688">
        <f t="shared" si="0"/>
        <v>100195</v>
      </c>
      <c r="J8" s="1688">
        <f t="shared" si="0"/>
        <v>122386</v>
      </c>
      <c r="K8" s="1688">
        <f t="shared" si="0"/>
        <v>40211</v>
      </c>
      <c r="L8" s="347"/>
    </row>
    <row r="9" spans="1:13" ht="15.75" thickTop="1" x14ac:dyDescent="0.2">
      <c r="A9" s="514" t="s">
        <v>1653</v>
      </c>
      <c r="B9" s="515">
        <v>3998</v>
      </c>
      <c r="C9" s="481">
        <v>3823099</v>
      </c>
      <c r="D9" s="516"/>
      <c r="E9" s="481"/>
      <c r="F9" s="481"/>
      <c r="G9" s="517"/>
      <c r="H9" s="481"/>
      <c r="I9" s="509" t="s">
        <v>1169</v>
      </c>
      <c r="J9" s="478"/>
      <c r="K9" s="481"/>
      <c r="L9" s="347"/>
    </row>
    <row r="10" spans="1:13" s="519" customFormat="1" ht="13.5" thickBot="1" x14ac:dyDescent="0.25">
      <c r="A10" s="1736" t="s">
        <v>1173</v>
      </c>
      <c r="B10" s="1709"/>
      <c r="C10" s="1688">
        <f>SUM(C8:C9)</f>
        <v>13639283</v>
      </c>
      <c r="D10" s="1688">
        <f t="shared" ref="D10:K10" si="1">SUM(D8:D9)</f>
        <v>1218826</v>
      </c>
      <c r="E10" s="1688">
        <f t="shared" si="1"/>
        <v>17676</v>
      </c>
      <c r="F10" s="1688">
        <f t="shared" si="1"/>
        <v>552793</v>
      </c>
      <c r="G10" s="1688">
        <f t="shared" si="1"/>
        <v>454914</v>
      </c>
      <c r="H10" s="1688">
        <f t="shared" si="1"/>
        <v>532387</v>
      </c>
      <c r="I10" s="1688">
        <f t="shared" si="1"/>
        <v>100195</v>
      </c>
      <c r="J10" s="1688">
        <f t="shared" si="1"/>
        <v>122386</v>
      </c>
      <c r="K10" s="1688">
        <f t="shared" si="1"/>
        <v>40211</v>
      </c>
      <c r="L10" s="518"/>
    </row>
    <row r="11" spans="1:13" s="519" customFormat="1" ht="16.7" customHeight="1" thickTop="1" x14ac:dyDescent="0.2">
      <c r="A11" s="2118" t="s">
        <v>1176</v>
      </c>
      <c r="B11" s="2119"/>
      <c r="C11" s="1570"/>
      <c r="D11" s="1571"/>
      <c r="E11" s="1571"/>
      <c r="F11" s="1571"/>
      <c r="G11" s="1571"/>
      <c r="H11" s="1571"/>
      <c r="I11" s="1571"/>
      <c r="J11" s="1571"/>
      <c r="K11" s="1572"/>
      <c r="L11" s="518"/>
    </row>
    <row r="12" spans="1:13" ht="15.75" customHeight="1" x14ac:dyDescent="0.2">
      <c r="A12" s="1576" t="s">
        <v>456</v>
      </c>
      <c r="B12" s="1578">
        <v>1000</v>
      </c>
      <c r="C12" s="1742">
        <f>'Expenditures 15-22'!K33</f>
        <v>6433031</v>
      </c>
      <c r="D12" s="520" t="s">
        <v>1169</v>
      </c>
      <c r="E12" s="468" t="s">
        <v>1169</v>
      </c>
      <c r="F12" s="468" t="s">
        <v>1169</v>
      </c>
      <c r="G12" s="1742">
        <f>'Expenditures 15-22'!K229</f>
        <v>155736</v>
      </c>
      <c r="H12" s="521"/>
      <c r="I12" s="468" t="s">
        <v>1169</v>
      </c>
      <c r="J12" s="468" t="s">
        <v>1169</v>
      </c>
      <c r="K12" s="521" t="s">
        <v>1169</v>
      </c>
      <c r="L12" s="347"/>
    </row>
    <row r="13" spans="1:13" ht="15.75" customHeight="1" x14ac:dyDescent="0.2">
      <c r="A13" s="1576" t="s">
        <v>457</v>
      </c>
      <c r="B13" s="1578">
        <v>2000</v>
      </c>
      <c r="C13" s="1743">
        <f>'Expenditures 15-22'!K74</f>
        <v>2415470</v>
      </c>
      <c r="D13" s="1743">
        <f>'Expenditures 15-22'!K129</f>
        <v>821952</v>
      </c>
      <c r="E13" s="469" t="s">
        <v>1169</v>
      </c>
      <c r="F13" s="1743">
        <f>'Expenditures 15-22'!K184</f>
        <v>531981</v>
      </c>
      <c r="G13" s="1743">
        <f>'Expenditures 15-22'!K279</f>
        <v>173182</v>
      </c>
      <c r="H13" s="1743">
        <f>'Expenditures 15-22'!K303</f>
        <v>1445214</v>
      </c>
      <c r="I13" s="468" t="s">
        <v>1169</v>
      </c>
      <c r="J13" s="1743">
        <f>'Expenditures 15-22'!K330</f>
        <v>49848</v>
      </c>
      <c r="K13" s="1747">
        <f>'Expenditures 15-22'!K352</f>
        <v>414</v>
      </c>
      <c r="L13" s="347"/>
    </row>
    <row r="14" spans="1:13" ht="15.75" customHeight="1" x14ac:dyDescent="0.2">
      <c r="A14" s="1576" t="s">
        <v>449</v>
      </c>
      <c r="B14" s="1578">
        <v>3000</v>
      </c>
      <c r="C14" s="1743">
        <f>'Expenditures 15-22'!K75</f>
        <v>1697</v>
      </c>
      <c r="D14" s="1743">
        <f>'Expenditures 15-22'!K130</f>
        <v>0</v>
      </c>
      <c r="E14" s="520" t="s">
        <v>1169</v>
      </c>
      <c r="F14" s="1743">
        <f>'Expenditures 15-22'!K185</f>
        <v>0</v>
      </c>
      <c r="G14" s="1743">
        <f>'Expenditures 15-22'!K280</f>
        <v>22</v>
      </c>
      <c r="H14" s="512"/>
      <c r="I14" s="468" t="s">
        <v>1169</v>
      </c>
      <c r="J14" s="468" t="s">
        <v>1169</v>
      </c>
      <c r="K14" s="512" t="s">
        <v>1169</v>
      </c>
      <c r="L14" s="347"/>
    </row>
    <row r="15" spans="1:13" ht="15.75" customHeight="1" x14ac:dyDescent="0.2">
      <c r="A15" s="1576" t="s">
        <v>107</v>
      </c>
      <c r="B15" s="1578">
        <v>4000</v>
      </c>
      <c r="C15" s="1743">
        <f>'Expenditures 15-22'!K102</f>
        <v>421422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525526</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9271620</v>
      </c>
      <c r="D17" s="1688">
        <f t="shared" si="2"/>
        <v>821952</v>
      </c>
      <c r="E17" s="1688">
        <f t="shared" si="2"/>
        <v>525526</v>
      </c>
      <c r="F17" s="1688">
        <f t="shared" si="2"/>
        <v>531981</v>
      </c>
      <c r="G17" s="1688">
        <f t="shared" si="2"/>
        <v>328940</v>
      </c>
      <c r="H17" s="1688">
        <f t="shared" si="2"/>
        <v>1445214</v>
      </c>
      <c r="I17" s="468"/>
      <c r="J17" s="1688">
        <f>SUM(J12:J16)</f>
        <v>49848</v>
      </c>
      <c r="K17" s="1688">
        <f>SUM(K12:K16)</f>
        <v>414</v>
      </c>
      <c r="L17" s="347"/>
    </row>
    <row r="18" spans="1:12" ht="15" customHeight="1" thickTop="1" x14ac:dyDescent="0.2">
      <c r="A18" s="1744" t="s">
        <v>1654</v>
      </c>
      <c r="B18" s="1745">
        <v>4180</v>
      </c>
      <c r="C18" s="1742">
        <f t="shared" ref="C18:H18" si="3">C9</f>
        <v>3823099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13094719</v>
      </c>
      <c r="D19" s="1688">
        <f t="shared" si="4"/>
        <v>821952</v>
      </c>
      <c r="E19" s="1688">
        <f t="shared" si="4"/>
        <v>525526</v>
      </c>
      <c r="F19" s="1688">
        <f t="shared" si="4"/>
        <v>531981</v>
      </c>
      <c r="G19" s="1688">
        <f t="shared" si="4"/>
        <v>328940</v>
      </c>
      <c r="H19" s="1688">
        <f t="shared" si="4"/>
        <v>1445214</v>
      </c>
      <c r="I19" s="468"/>
      <c r="J19" s="1688">
        <f>SUM(J17:J18)</f>
        <v>49848</v>
      </c>
      <c r="K19" s="1688">
        <f>SUM(K17:K18)</f>
        <v>414</v>
      </c>
      <c r="L19" s="347"/>
    </row>
    <row r="20" spans="1:12" ht="16.5" thickTop="1" thickBot="1" x14ac:dyDescent="0.25">
      <c r="A20" s="2134" t="s">
        <v>1655</v>
      </c>
      <c r="B20" s="2135"/>
      <c r="C20" s="1746">
        <f>C8-C17</f>
        <v>544564</v>
      </c>
      <c r="D20" s="1746">
        <f t="shared" ref="D20:K20" si="5">D8-D17</f>
        <v>396874</v>
      </c>
      <c r="E20" s="1746">
        <f t="shared" si="5"/>
        <v>-507850</v>
      </c>
      <c r="F20" s="1746">
        <f t="shared" si="5"/>
        <v>20812</v>
      </c>
      <c r="G20" s="1746">
        <f t="shared" si="5"/>
        <v>125974</v>
      </c>
      <c r="H20" s="1746">
        <f t="shared" si="5"/>
        <v>-912827</v>
      </c>
      <c r="I20" s="1746">
        <f t="shared" si="5"/>
        <v>100195</v>
      </c>
      <c r="J20" s="1746">
        <f t="shared" si="5"/>
        <v>72538</v>
      </c>
      <c r="K20" s="1746">
        <f t="shared" si="5"/>
        <v>39797</v>
      </c>
      <c r="L20" s="347"/>
    </row>
    <row r="21" spans="1:12" ht="16.7" customHeight="1" thickTop="1" x14ac:dyDescent="0.2">
      <c r="A21" s="2146" t="s">
        <v>595</v>
      </c>
      <c r="B21" s="2147"/>
      <c r="C21" s="1570"/>
      <c r="D21" s="1571"/>
      <c r="E21" s="1571"/>
      <c r="F21" s="1571"/>
      <c r="G21" s="1571"/>
      <c r="H21" s="1571"/>
      <c r="I21" s="1571"/>
      <c r="J21" s="1571"/>
      <c r="K21" s="1572"/>
      <c r="L21" s="524"/>
    </row>
    <row r="22" spans="1:12" ht="15.75" customHeight="1" collapsed="1" x14ac:dyDescent="0.2">
      <c r="A22" s="2142" t="s">
        <v>596</v>
      </c>
      <c r="B22" s="2143"/>
      <c r="C22" s="477"/>
      <c r="D22" s="477"/>
      <c r="E22" s="477"/>
      <c r="F22" s="477"/>
      <c r="G22" s="477"/>
      <c r="H22" s="477"/>
      <c r="I22" s="477"/>
      <c r="J22" s="477"/>
      <c r="K22" s="477"/>
      <c r="L22" s="347"/>
    </row>
    <row r="23" spans="1:12" s="485" customFormat="1" ht="15.75" customHeight="1" x14ac:dyDescent="0.2">
      <c r="A23" s="2138" t="s">
        <v>293</v>
      </c>
      <c r="B23" s="213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40" t="s">
        <v>981</v>
      </c>
      <c r="B32" s="214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v>7340</v>
      </c>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507526</v>
      </c>
      <c r="F43" s="467"/>
      <c r="G43" s="467"/>
      <c r="H43" s="467"/>
      <c r="I43" s="467"/>
      <c r="J43" s="467"/>
      <c r="K43" s="467"/>
      <c r="L43" s="524"/>
    </row>
    <row r="44" spans="1:12" s="485" customFormat="1" ht="13.5" customHeight="1" thickBot="1" x14ac:dyDescent="0.25">
      <c r="A44" s="2148" t="s">
        <v>374</v>
      </c>
      <c r="B44" s="2149"/>
      <c r="C44" s="1703">
        <f>SUM(C24:C43)</f>
        <v>0</v>
      </c>
      <c r="D44" s="1703">
        <f t="shared" ref="D44:K44" si="6">SUM(D24:D43)</f>
        <v>0</v>
      </c>
      <c r="E44" s="1703">
        <f t="shared" si="6"/>
        <v>507526</v>
      </c>
      <c r="F44" s="1703">
        <f t="shared" si="6"/>
        <v>7340</v>
      </c>
      <c r="G44" s="1703">
        <f t="shared" si="6"/>
        <v>0</v>
      </c>
      <c r="H44" s="1703">
        <f t="shared" si="6"/>
        <v>0</v>
      </c>
      <c r="I44" s="1703">
        <f t="shared" si="6"/>
        <v>0</v>
      </c>
      <c r="J44" s="1703">
        <f t="shared" si="6"/>
        <v>0</v>
      </c>
      <c r="K44" s="1703">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507526</v>
      </c>
      <c r="I75" s="530"/>
      <c r="J75" s="530"/>
      <c r="K75" s="532"/>
      <c r="L75" s="524"/>
    </row>
    <row r="76" spans="1:12" s="485" customFormat="1" ht="14.25" thickTop="1" thickBot="1" x14ac:dyDescent="0.25">
      <c r="A76" s="2124" t="s">
        <v>440</v>
      </c>
      <c r="B76" s="2125"/>
      <c r="C76" s="1703">
        <f t="shared" ref="C76:K76" si="7">SUM(C47:C75)</f>
        <v>0</v>
      </c>
      <c r="D76" s="1703">
        <f t="shared" si="7"/>
        <v>0</v>
      </c>
      <c r="E76" s="1703">
        <f t="shared" si="7"/>
        <v>0</v>
      </c>
      <c r="F76" s="1703">
        <f t="shared" si="7"/>
        <v>0</v>
      </c>
      <c r="G76" s="1703">
        <f t="shared" si="7"/>
        <v>0</v>
      </c>
      <c r="H76" s="1703">
        <f t="shared" si="7"/>
        <v>507526</v>
      </c>
      <c r="I76" s="1703">
        <f t="shared" si="7"/>
        <v>0</v>
      </c>
      <c r="J76" s="1703">
        <f t="shared" si="7"/>
        <v>0</v>
      </c>
      <c r="K76" s="1703">
        <f t="shared" si="7"/>
        <v>0</v>
      </c>
      <c r="L76" s="524"/>
    </row>
    <row r="77" spans="1:12" ht="14.25" thickTop="1" thickBot="1" x14ac:dyDescent="0.25">
      <c r="A77" s="2126" t="s">
        <v>1177</v>
      </c>
      <c r="B77" s="2127"/>
      <c r="C77" s="1703">
        <f t="shared" ref="C77:K77" si="8">C44-C76</f>
        <v>0</v>
      </c>
      <c r="D77" s="1703">
        <f t="shared" si="8"/>
        <v>0</v>
      </c>
      <c r="E77" s="1703">
        <f t="shared" si="8"/>
        <v>507526</v>
      </c>
      <c r="F77" s="1703">
        <f t="shared" si="8"/>
        <v>7340</v>
      </c>
      <c r="G77" s="1703">
        <f t="shared" si="8"/>
        <v>0</v>
      </c>
      <c r="H77" s="1703">
        <f t="shared" si="8"/>
        <v>-507526</v>
      </c>
      <c r="I77" s="1703">
        <f t="shared" si="8"/>
        <v>0</v>
      </c>
      <c r="J77" s="1703">
        <f t="shared" si="8"/>
        <v>0</v>
      </c>
      <c r="K77" s="1703">
        <f t="shared" si="8"/>
        <v>0</v>
      </c>
      <c r="L77" s="347"/>
    </row>
    <row r="78" spans="1:12" ht="21.75" customHeight="1" thickTop="1" thickBot="1" x14ac:dyDescent="0.25">
      <c r="A78" s="2130" t="s">
        <v>597</v>
      </c>
      <c r="B78" s="2131"/>
      <c r="C78" s="1702">
        <f t="shared" ref="C78:K78" si="9">C20+C77</f>
        <v>544564</v>
      </c>
      <c r="D78" s="1702">
        <f t="shared" si="9"/>
        <v>396874</v>
      </c>
      <c r="E78" s="1702">
        <f t="shared" si="9"/>
        <v>-324</v>
      </c>
      <c r="F78" s="1702">
        <f t="shared" si="9"/>
        <v>28152</v>
      </c>
      <c r="G78" s="1702">
        <f t="shared" si="9"/>
        <v>125974</v>
      </c>
      <c r="H78" s="1702">
        <f t="shared" si="9"/>
        <v>-1420353</v>
      </c>
      <c r="I78" s="1702">
        <f t="shared" si="9"/>
        <v>100195</v>
      </c>
      <c r="J78" s="1702">
        <f t="shared" si="9"/>
        <v>72538</v>
      </c>
      <c r="K78" s="1702">
        <f t="shared" si="9"/>
        <v>39797</v>
      </c>
      <c r="L78" s="533"/>
    </row>
    <row r="79" spans="1:12" ht="13.5" thickTop="1" x14ac:dyDescent="0.2">
      <c r="A79" s="1494" t="s">
        <v>1949</v>
      </c>
      <c r="B79" s="534"/>
      <c r="C79" s="478">
        <v>4999228</v>
      </c>
      <c r="D79" s="535">
        <v>871598</v>
      </c>
      <c r="E79" s="535">
        <v>2010</v>
      </c>
      <c r="F79" s="535">
        <v>481114</v>
      </c>
      <c r="G79" s="535">
        <v>119857</v>
      </c>
      <c r="H79" s="535">
        <v>3692438</v>
      </c>
      <c r="I79" s="535">
        <v>857878</v>
      </c>
      <c r="J79" s="535">
        <v>144658</v>
      </c>
      <c r="K79" s="535">
        <v>98180</v>
      </c>
      <c r="L79" s="347"/>
    </row>
    <row r="80" spans="1:12" x14ac:dyDescent="0.2">
      <c r="A80" s="2136" t="s">
        <v>1795</v>
      </c>
      <c r="B80" s="2137"/>
      <c r="C80" s="467"/>
      <c r="D80" s="467"/>
      <c r="E80" s="467"/>
      <c r="F80" s="467"/>
      <c r="G80" s="467"/>
      <c r="H80" s="467"/>
      <c r="I80" s="467"/>
      <c r="J80" s="467"/>
      <c r="K80" s="467"/>
      <c r="L80" s="347"/>
    </row>
    <row r="81" spans="1:12" ht="13.5" thickBot="1" x14ac:dyDescent="0.25">
      <c r="A81" s="2128" t="s">
        <v>1950</v>
      </c>
      <c r="B81" s="2129"/>
      <c r="C81" s="1688">
        <f>(SUM(C78:C80))</f>
        <v>5543792</v>
      </c>
      <c r="D81" s="1688">
        <f>SUM(D78:D80)</f>
        <v>1268472</v>
      </c>
      <c r="E81" s="1688">
        <f t="shared" ref="E81:K81" si="10">SUM(E78:E80)</f>
        <v>1686</v>
      </c>
      <c r="F81" s="1688">
        <f t="shared" si="10"/>
        <v>509266</v>
      </c>
      <c r="G81" s="1688">
        <f t="shared" si="10"/>
        <v>245831</v>
      </c>
      <c r="H81" s="1688">
        <f t="shared" si="10"/>
        <v>2272085</v>
      </c>
      <c r="I81" s="1688">
        <f t="shared" si="10"/>
        <v>958073</v>
      </c>
      <c r="J81" s="1688">
        <f t="shared" si="10"/>
        <v>217196</v>
      </c>
      <c r="K81" s="1688">
        <f t="shared" si="10"/>
        <v>137977</v>
      </c>
      <c r="L81" s="347"/>
    </row>
    <row r="82" spans="1:12" ht="0.75" customHeight="1" thickTop="1" thickBot="1" x14ac:dyDescent="0.25">
      <c r="A82" s="536" t="s">
        <v>343</v>
      </c>
      <c r="B82" s="537"/>
      <c r="C82" s="538">
        <f>(C81-C79)</f>
        <v>544564</v>
      </c>
      <c r="D82" s="538">
        <f t="shared" ref="D82:K82" si="11">(D81-D79)</f>
        <v>396874</v>
      </c>
      <c r="E82" s="538">
        <f t="shared" si="11"/>
        <v>-324</v>
      </c>
      <c r="F82" s="538">
        <f t="shared" si="11"/>
        <v>28152</v>
      </c>
      <c r="G82" s="538">
        <f t="shared" si="11"/>
        <v>125974</v>
      </c>
      <c r="H82" s="538">
        <f t="shared" si="11"/>
        <v>-1420353</v>
      </c>
      <c r="I82" s="538">
        <f t="shared" si="11"/>
        <v>100195</v>
      </c>
      <c r="J82" s="538">
        <f t="shared" si="11"/>
        <v>72538</v>
      </c>
      <c r="K82" s="538">
        <f t="shared" si="11"/>
        <v>39797</v>
      </c>
    </row>
    <row r="83" spans="1:12" ht="14.25" hidden="1" thickTop="1" thickBot="1" x14ac:dyDescent="0.25">
      <c r="A83" s="539" t="s">
        <v>344</v>
      </c>
      <c r="B83" s="464"/>
      <c r="C83" s="540">
        <f>C82/C81</f>
        <v>9.8229515104462789E-2</v>
      </c>
      <c r="D83" s="540">
        <f t="shared" ref="D83:K83" si="12">D82/D81</f>
        <v>0.3128756488121141</v>
      </c>
      <c r="E83" s="540">
        <f t="shared" si="12"/>
        <v>-0.19217081850533807</v>
      </c>
      <c r="F83" s="540">
        <f t="shared" si="12"/>
        <v>5.5279559208743563E-2</v>
      </c>
      <c r="G83" s="540">
        <f t="shared" si="12"/>
        <v>0.51244147402077034</v>
      </c>
      <c r="H83" s="540">
        <f t="shared" si="12"/>
        <v>-0.62513198229819744</v>
      </c>
      <c r="I83" s="540">
        <f t="shared" si="12"/>
        <v>0.10457971365438751</v>
      </c>
      <c r="J83" s="540">
        <f t="shared" si="12"/>
        <v>0.33397484299895025</v>
      </c>
      <c r="K83" s="540">
        <f t="shared" si="12"/>
        <v>0.28843212999267992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79"/>
  <sheetViews>
    <sheetView showGridLines="0" defaultGridColor="0" colorId="8" zoomScaleNormal="100" zoomScaleSheetLayoutView="75" workbookViewId="0">
      <pane ySplit="2" topLeftCell="A165" activePane="bottomLeft" state="frozen"/>
      <selection pane="bottomLeft" activeCell="C194" sqref="C19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2" t="s">
        <v>1802</v>
      </c>
      <c r="B1" s="452"/>
      <c r="C1" s="453" t="s">
        <v>425</v>
      </c>
      <c r="D1" s="453" t="s">
        <v>426</v>
      </c>
      <c r="E1" s="453" t="s">
        <v>427</v>
      </c>
      <c r="F1" s="453" t="s">
        <v>428</v>
      </c>
      <c r="G1" s="453" t="s">
        <v>429</v>
      </c>
      <c r="H1" s="453" t="s">
        <v>430</v>
      </c>
      <c r="I1" s="453" t="s">
        <v>431</v>
      </c>
      <c r="J1" s="453" t="s">
        <v>432</v>
      </c>
      <c r="K1" s="453" t="s">
        <v>756</v>
      </c>
    </row>
    <row r="2" spans="1:12" ht="36" x14ac:dyDescent="0.2">
      <c r="A2" s="213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7649837</v>
      </c>
      <c r="D5" s="481">
        <v>1037503</v>
      </c>
      <c r="E5" s="466">
        <v>17641</v>
      </c>
      <c r="F5" s="548">
        <v>397523</v>
      </c>
      <c r="G5" s="466">
        <v>171637</v>
      </c>
      <c r="H5" s="466"/>
      <c r="I5" s="466">
        <v>89235</v>
      </c>
      <c r="J5" s="467">
        <v>115398</v>
      </c>
      <c r="K5" s="466">
        <v>39270</v>
      </c>
    </row>
    <row r="6" spans="1:12" ht="15" x14ac:dyDescent="0.2">
      <c r="A6" s="463" t="s">
        <v>1662</v>
      </c>
      <c r="B6" s="470">
        <v>1130</v>
      </c>
      <c r="C6" s="466">
        <v>6158</v>
      </c>
      <c r="D6" s="466"/>
      <c r="E6" s="475"/>
      <c r="F6" s="475"/>
      <c r="G6" s="468"/>
      <c r="H6" s="468"/>
      <c r="I6" s="468"/>
      <c r="J6" s="468"/>
      <c r="K6" s="468"/>
    </row>
    <row r="7" spans="1:12" x14ac:dyDescent="0.2">
      <c r="A7" s="463" t="s">
        <v>110</v>
      </c>
      <c r="B7" s="549">
        <v>1140</v>
      </c>
      <c r="C7" s="466">
        <v>376169</v>
      </c>
      <c r="D7" s="466"/>
      <c r="E7" s="468"/>
      <c r="F7" s="467"/>
      <c r="G7" s="467"/>
      <c r="H7" s="467"/>
      <c r="I7" s="468"/>
      <c r="J7" s="468"/>
      <c r="K7" s="468"/>
    </row>
    <row r="8" spans="1:12" x14ac:dyDescent="0.2">
      <c r="A8" s="463" t="s">
        <v>413</v>
      </c>
      <c r="B8" s="470">
        <v>1150</v>
      </c>
      <c r="C8" s="475"/>
      <c r="D8" s="475"/>
      <c r="E8" s="477"/>
      <c r="F8" s="477"/>
      <c r="G8" s="481">
        <v>221466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8032164</v>
      </c>
      <c r="D12" s="1707">
        <f t="shared" si="0"/>
        <v>1037503</v>
      </c>
      <c r="E12" s="1707">
        <f t="shared" si="0"/>
        <v>17641</v>
      </c>
      <c r="F12" s="1707">
        <f t="shared" si="0"/>
        <v>397523</v>
      </c>
      <c r="G12" s="1707">
        <f t="shared" si="0"/>
        <v>393103</v>
      </c>
      <c r="H12" s="1707">
        <f t="shared" si="0"/>
        <v>0</v>
      </c>
      <c r="I12" s="1707">
        <f t="shared" si="0"/>
        <v>89235</v>
      </c>
      <c r="J12" s="1707">
        <f t="shared" si="0"/>
        <v>115398</v>
      </c>
      <c r="K12" s="1688">
        <f t="shared" si="0"/>
        <v>39270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159689</v>
      </c>
      <c r="E16" s="466"/>
      <c r="F16" s="466"/>
      <c r="G16" s="466">
        <v>60000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159689</v>
      </c>
      <c r="E18" s="1710">
        <f t="shared" si="1"/>
        <v>0</v>
      </c>
      <c r="F18" s="1710">
        <f t="shared" si="1"/>
        <v>0</v>
      </c>
      <c r="G18" s="1710">
        <f t="shared" si="1"/>
        <v>60000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175</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175</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77404</v>
      </c>
      <c r="D65" s="466">
        <v>13502</v>
      </c>
      <c r="E65" s="466">
        <v>35</v>
      </c>
      <c r="F65" s="467">
        <v>5225</v>
      </c>
      <c r="G65" s="466">
        <v>1811</v>
      </c>
      <c r="H65" s="466">
        <v>25382</v>
      </c>
      <c r="I65" s="466">
        <v>10960</v>
      </c>
      <c r="J65" s="467">
        <v>1520</v>
      </c>
      <c r="K65" s="466">
        <v>941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77404</v>
      </c>
      <c r="D67" s="1688">
        <f t="shared" ref="D67:K67" si="2">SUM(D65:D66)</f>
        <v>13502</v>
      </c>
      <c r="E67" s="1688">
        <f t="shared" si="2"/>
        <v>35</v>
      </c>
      <c r="F67" s="1688">
        <f t="shared" si="2"/>
        <v>5225</v>
      </c>
      <c r="G67" s="1688">
        <f t="shared" si="2"/>
        <v>1811</v>
      </c>
      <c r="H67" s="1688">
        <f t="shared" si="2"/>
        <v>25382</v>
      </c>
      <c r="I67" s="1688">
        <f t="shared" si="2"/>
        <v>10960</v>
      </c>
      <c r="J67" s="1688">
        <f t="shared" si="2"/>
        <v>1520</v>
      </c>
      <c r="K67" s="1688">
        <f t="shared" si="2"/>
        <v>941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116904</v>
      </c>
      <c r="D69" s="468"/>
      <c r="E69" s="468"/>
      <c r="F69" s="468"/>
      <c r="G69" s="468"/>
      <c r="H69" s="468"/>
      <c r="I69" s="468"/>
      <c r="J69" s="468"/>
      <c r="K69" s="468"/>
    </row>
    <row r="70" spans="1:11" ht="12.75" customHeight="1" x14ac:dyDescent="0.2">
      <c r="A70" s="463" t="s">
        <v>997</v>
      </c>
      <c r="B70" s="470">
        <v>1612</v>
      </c>
      <c r="C70" s="551">
        <v>917</v>
      </c>
      <c r="D70" s="468"/>
      <c r="E70" s="468"/>
      <c r="F70" s="468"/>
      <c r="G70" s="468"/>
      <c r="H70" s="468"/>
      <c r="I70" s="468"/>
      <c r="J70" s="468"/>
      <c r="K70" s="468"/>
    </row>
    <row r="71" spans="1:11" ht="12.75" customHeight="1" x14ac:dyDescent="0.2">
      <c r="A71" s="463" t="s">
        <v>273</v>
      </c>
      <c r="B71" s="470">
        <v>1613</v>
      </c>
      <c r="C71" s="551">
        <v>908</v>
      </c>
      <c r="D71" s="468"/>
      <c r="E71" s="468"/>
      <c r="F71" s="468"/>
      <c r="G71" s="468"/>
      <c r="H71" s="468"/>
      <c r="I71" s="468"/>
      <c r="J71" s="468"/>
      <c r="K71" s="468"/>
    </row>
    <row r="72" spans="1:11" ht="12.75" customHeight="1" x14ac:dyDescent="0.2">
      <c r="A72" s="463" t="s">
        <v>24</v>
      </c>
      <c r="B72" s="470">
        <v>1614</v>
      </c>
      <c r="C72" s="551">
        <v>13062</v>
      </c>
      <c r="D72" s="468"/>
      <c r="E72" s="468"/>
      <c r="F72" s="468"/>
      <c r="G72" s="468"/>
      <c r="H72" s="468"/>
      <c r="I72" s="468"/>
      <c r="J72" s="468"/>
      <c r="K72" s="468"/>
    </row>
    <row r="73" spans="1:11" ht="12.75" customHeight="1" x14ac:dyDescent="0.2">
      <c r="A73" s="463" t="s">
        <v>998</v>
      </c>
      <c r="B73" s="470">
        <v>1620</v>
      </c>
      <c r="C73" s="551">
        <v>1745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133536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14770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6815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4770</v>
      </c>
      <c r="D81" s="466"/>
      <c r="E81" s="468"/>
      <c r="F81" s="468"/>
      <c r="G81" s="468"/>
      <c r="H81" s="468"/>
      <c r="I81" s="468"/>
      <c r="J81" s="468"/>
      <c r="K81" s="468"/>
    </row>
    <row r="82" spans="1:11" ht="12.75" customHeight="1" thickBot="1" x14ac:dyDescent="0.25">
      <c r="A82" s="1708" t="s">
        <v>241</v>
      </c>
      <c r="B82" s="1709"/>
      <c r="C82" s="1707">
        <f>SUM(C77:C81)</f>
        <v>26355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38219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v>3859</v>
      </c>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42078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1100</v>
      </c>
      <c r="E95" s="521"/>
      <c r="F95" s="521"/>
      <c r="G95" s="521"/>
      <c r="H95" s="521"/>
      <c r="I95" s="521"/>
      <c r="J95" s="521"/>
      <c r="K95" s="521"/>
    </row>
    <row r="96" spans="1:11" ht="12.75" customHeight="1" x14ac:dyDescent="0.2">
      <c r="A96" s="463" t="s">
        <v>391</v>
      </c>
      <c r="B96" s="470">
        <v>1920</v>
      </c>
      <c r="C96" s="551">
        <v>16872</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7714</v>
      </c>
      <c r="D99" s="466">
        <v>1364</v>
      </c>
      <c r="E99" s="466"/>
      <c r="F99" s="466"/>
      <c r="G99" s="466"/>
      <c r="H99" s="466"/>
      <c r="I99" s="468"/>
      <c r="J99" s="467">
        <v>5468</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3675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505505</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2482</v>
      </c>
      <c r="D106" s="489"/>
      <c r="E106" s="467"/>
      <c r="F106" s="467"/>
      <c r="G106" s="467"/>
      <c r="H106" s="467"/>
      <c r="I106" s="521"/>
      <c r="J106" s="467"/>
      <c r="K106" s="467"/>
    </row>
    <row r="107" spans="1:12" ht="12.75" customHeight="1" x14ac:dyDescent="0.2">
      <c r="A107" s="463" t="s">
        <v>78</v>
      </c>
      <c r="B107" s="470">
        <v>1999</v>
      </c>
      <c r="C107" s="551">
        <v>16878</v>
      </c>
      <c r="D107" s="466">
        <v>5668</v>
      </c>
      <c r="E107" s="466"/>
      <c r="F107" s="466"/>
      <c r="G107" s="466"/>
      <c r="H107" s="466">
        <v>1500</v>
      </c>
      <c r="I107" s="466"/>
      <c r="J107" s="467"/>
      <c r="K107" s="466"/>
    </row>
    <row r="108" spans="1:12" ht="12.75" customHeight="1" thickBot="1" x14ac:dyDescent="0.25">
      <c r="A108" s="1708" t="s">
        <v>487</v>
      </c>
      <c r="B108" s="1712"/>
      <c r="C108" s="1707">
        <f>SUM(C95:C107)</f>
        <v>47621</v>
      </c>
      <c r="D108" s="1707">
        <f t="shared" ref="D108:K108" si="3">SUM(D95:D107)</f>
        <v>8132</v>
      </c>
      <c r="E108" s="1707">
        <f t="shared" si="3"/>
        <v>0</v>
      </c>
      <c r="F108" s="1707">
        <f t="shared" si="3"/>
        <v>0</v>
      </c>
      <c r="G108" s="1707">
        <f t="shared" si="3"/>
        <v>0</v>
      </c>
      <c r="H108" s="1707">
        <f t="shared" si="3"/>
        <v>507005</v>
      </c>
      <c r="I108" s="1707">
        <f t="shared" si="3"/>
        <v>0</v>
      </c>
      <c r="J108" s="1707">
        <f t="shared" si="3"/>
        <v>5468</v>
      </c>
      <c r="K108" s="1688">
        <f t="shared" si="3"/>
        <v>0</v>
      </c>
    </row>
    <row r="109" spans="1:12" ht="14.25" thickTop="1" thickBot="1" x14ac:dyDescent="0.25">
      <c r="A109" s="1713" t="s">
        <v>248</v>
      </c>
      <c r="B109" s="1714" t="s">
        <v>570</v>
      </c>
      <c r="C109" s="1715">
        <f t="shared" ref="C109:K109" si="4">SUM(C12,C18,C40,C63,C67,C75,C82,C93,C108,)</f>
        <v>8359158</v>
      </c>
      <c r="D109" s="1715">
        <f t="shared" si="4"/>
        <v>1218826</v>
      </c>
      <c r="E109" s="1715">
        <f t="shared" si="4"/>
        <v>17676</v>
      </c>
      <c r="F109" s="1715">
        <f t="shared" si="4"/>
        <v>402923</v>
      </c>
      <c r="G109" s="1715">
        <f t="shared" si="4"/>
        <v>454914</v>
      </c>
      <c r="H109" s="1715">
        <f t="shared" si="4"/>
        <v>532387</v>
      </c>
      <c r="I109" s="1715">
        <f t="shared" si="4"/>
        <v>100195</v>
      </c>
      <c r="J109" s="1715">
        <f t="shared" si="4"/>
        <v>122386</v>
      </c>
      <c r="K109" s="1702">
        <f t="shared" si="4"/>
        <v>40211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753829</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753829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42215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13648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55863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21119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21119</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1982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10940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99895</v>
      </c>
      <c r="G152" s="467"/>
      <c r="H152" s="468"/>
      <c r="I152" s="468"/>
      <c r="J152" s="468"/>
      <c r="K152" s="468"/>
    </row>
    <row r="153" spans="1:11" ht="12.75" customHeight="1" x14ac:dyDescent="0.2">
      <c r="A153" s="463" t="s">
        <v>1057</v>
      </c>
      <c r="B153" s="562">
        <v>3510</v>
      </c>
      <c r="C153" s="551"/>
      <c r="D153" s="466"/>
      <c r="E153" s="561"/>
      <c r="F153" s="466">
        <v>49975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149870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38145</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1614</v>
      </c>
      <c r="D168" s="580"/>
      <c r="E168" s="580"/>
      <c r="F168" s="580"/>
      <c r="G168" s="581"/>
      <c r="H168" s="582"/>
      <c r="I168" s="581"/>
      <c r="J168" s="581"/>
      <c r="K168" s="582"/>
    </row>
    <row r="169" spans="1:11" ht="12.75" customHeight="1" thickTop="1" thickBot="1" x14ac:dyDescent="0.25">
      <c r="A169" s="2152" t="s">
        <v>398</v>
      </c>
      <c r="B169" s="2153"/>
      <c r="C169" s="1722">
        <f t="shared" ref="C169:K169" si="6">SUM(C132,C141,C145,C146:C150,C155,C156:C167,C168)</f>
        <v>129663</v>
      </c>
      <c r="D169" s="1722">
        <f t="shared" si="6"/>
        <v>0</v>
      </c>
      <c r="E169" s="1722">
        <f t="shared" si="6"/>
        <v>0</v>
      </c>
      <c r="F169" s="1722">
        <f t="shared" si="6"/>
        <v>149870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883492</v>
      </c>
      <c r="D170" s="1715">
        <f t="shared" si="7"/>
        <v>0</v>
      </c>
      <c r="E170" s="1715">
        <f t="shared" si="7"/>
        <v>0</v>
      </c>
      <c r="F170" s="1715">
        <f t="shared" si="7"/>
        <v>149870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4" t="s">
        <v>1492</v>
      </c>
      <c r="B172" s="215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8" t="s">
        <v>1665</v>
      </c>
      <c r="B175" s="215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2" t="s">
        <v>1664</v>
      </c>
      <c r="B176" s="216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0" t="s">
        <v>785</v>
      </c>
      <c r="B181" s="216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6" t="s">
        <v>1803</v>
      </c>
      <c r="B182" s="215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134827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4259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139086</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37697</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37697</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5827</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198586</v>
      </c>
      <c r="D213" s="466"/>
      <c r="E213" s="468"/>
      <c r="F213" s="466"/>
      <c r="G213" s="466"/>
      <c r="H213" s="468"/>
      <c r="I213" s="468"/>
      <c r="J213" s="468"/>
      <c r="K213" s="468"/>
    </row>
    <row r="214" spans="1:11" ht="12.75" customHeight="1" x14ac:dyDescent="0.2">
      <c r="A214" s="463" t="s">
        <v>1054</v>
      </c>
      <c r="B214" s="470">
        <v>4625</v>
      </c>
      <c r="C214" s="551">
        <v>148302</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352715</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860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15434</v>
      </c>
      <c r="D263" s="576"/>
      <c r="E263" s="468"/>
      <c r="F263" s="576"/>
      <c r="G263" s="576"/>
      <c r="H263" s="468"/>
      <c r="I263" s="468"/>
      <c r="J263" s="468"/>
      <c r="K263" s="468"/>
    </row>
    <row r="264" spans="1:11" ht="12.75" customHeight="1" thickTop="1" thickBot="1" x14ac:dyDescent="0.25">
      <c r="A264" s="463" t="s">
        <v>377</v>
      </c>
      <c r="B264" s="470">
        <v>4992</v>
      </c>
      <c r="C264" s="575">
        <v>27742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573534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573534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9816184</v>
      </c>
      <c r="D268" s="1715">
        <f t="shared" si="12"/>
        <v>1218826</v>
      </c>
      <c r="E268" s="1715">
        <f t="shared" si="12"/>
        <v>17676</v>
      </c>
      <c r="F268" s="1715">
        <f t="shared" si="12"/>
        <v>552793</v>
      </c>
      <c r="G268" s="1715">
        <f t="shared" si="12"/>
        <v>454914</v>
      </c>
      <c r="H268" s="1715">
        <f t="shared" si="12"/>
        <v>532387</v>
      </c>
      <c r="I268" s="1715">
        <f t="shared" si="12"/>
        <v>100195</v>
      </c>
      <c r="J268" s="1715">
        <f t="shared" si="12"/>
        <v>122386</v>
      </c>
      <c r="K268" s="1702">
        <f t="shared" si="12"/>
        <v>40211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colorId="8" zoomScaleNormal="100" workbookViewId="0">
      <pane ySplit="2" topLeftCell="A60" activePane="bottomLeft" state="frozen"/>
      <selection pane="bottomLeft" activeCell="C71" sqref="C7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2" t="s">
        <v>297</v>
      </c>
      <c r="B3" s="217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3521804</v>
      </c>
      <c r="D5" s="466">
        <v>513094</v>
      </c>
      <c r="E5" s="466">
        <v>26958</v>
      </c>
      <c r="F5" s="466">
        <v>75807</v>
      </c>
      <c r="G5" s="466">
        <v>105791</v>
      </c>
      <c r="H5" s="466">
        <v>32877</v>
      </c>
      <c r="I5" s="467"/>
      <c r="J5" s="467"/>
      <c r="K5" s="1671">
        <f>SUM(C5:J5)</f>
        <v>4276331</v>
      </c>
      <c r="L5" s="466">
        <v>4366730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63042</v>
      </c>
      <c r="D7" s="467">
        <v>11938</v>
      </c>
      <c r="E7" s="467"/>
      <c r="F7" s="467">
        <v>1874</v>
      </c>
      <c r="G7" s="467"/>
      <c r="H7" s="467"/>
      <c r="I7" s="467"/>
      <c r="J7" s="467"/>
      <c r="K7" s="1671">
        <f t="shared" ref="K7:K32" si="0">SUM(C7:J7)</f>
        <v>76854</v>
      </c>
      <c r="L7" s="466">
        <v>85736</v>
      </c>
    </row>
    <row r="8" spans="1:14" x14ac:dyDescent="0.2">
      <c r="A8" s="1504" t="s">
        <v>164</v>
      </c>
      <c r="B8" s="614">
        <v>1200</v>
      </c>
      <c r="C8" s="466">
        <v>899135</v>
      </c>
      <c r="D8" s="466">
        <v>162668</v>
      </c>
      <c r="E8" s="466">
        <v>12802</v>
      </c>
      <c r="F8" s="466">
        <v>7060</v>
      </c>
      <c r="G8" s="466"/>
      <c r="H8" s="466">
        <v>1008</v>
      </c>
      <c r="I8" s="467"/>
      <c r="J8" s="467"/>
      <c r="K8" s="1671">
        <f t="shared" si="0"/>
        <v>1082673</v>
      </c>
      <c r="L8" s="466">
        <v>1117928</v>
      </c>
    </row>
    <row r="9" spans="1:14" x14ac:dyDescent="0.2">
      <c r="A9" s="1504" t="s">
        <v>721</v>
      </c>
      <c r="B9" s="614" t="s">
        <v>968</v>
      </c>
      <c r="C9" s="467">
        <v>39727</v>
      </c>
      <c r="D9" s="467">
        <v>14299</v>
      </c>
      <c r="E9" s="467"/>
      <c r="F9" s="467"/>
      <c r="G9" s="467"/>
      <c r="H9" s="467"/>
      <c r="I9" s="467"/>
      <c r="J9" s="467"/>
      <c r="K9" s="1671">
        <f t="shared" si="0"/>
        <v>54026</v>
      </c>
      <c r="L9" s="466">
        <v>57468</v>
      </c>
    </row>
    <row r="10" spans="1:14" x14ac:dyDescent="0.2">
      <c r="A10" s="1504" t="s">
        <v>722</v>
      </c>
      <c r="B10" s="614">
        <v>1250</v>
      </c>
      <c r="C10" s="466">
        <v>88810</v>
      </c>
      <c r="D10" s="466">
        <v>19330</v>
      </c>
      <c r="E10" s="466"/>
      <c r="F10" s="466">
        <v>6767</v>
      </c>
      <c r="G10" s="466"/>
      <c r="H10" s="466"/>
      <c r="I10" s="467"/>
      <c r="J10" s="467"/>
      <c r="K10" s="1671">
        <f t="shared" si="0"/>
        <v>114907</v>
      </c>
      <c r="L10" s="466">
        <v>101262</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164476</v>
      </c>
      <c r="D13" s="466">
        <v>14859</v>
      </c>
      <c r="E13" s="466">
        <v>519</v>
      </c>
      <c r="F13" s="466">
        <v>20646</v>
      </c>
      <c r="G13" s="466">
        <v>2625</v>
      </c>
      <c r="H13" s="466"/>
      <c r="I13" s="467"/>
      <c r="J13" s="467"/>
      <c r="K13" s="1671">
        <f t="shared" si="0"/>
        <v>203125</v>
      </c>
      <c r="L13" s="466">
        <v>196530</v>
      </c>
    </row>
    <row r="14" spans="1:14" x14ac:dyDescent="0.2">
      <c r="A14" s="1504" t="s">
        <v>963</v>
      </c>
      <c r="B14" s="614">
        <v>1500</v>
      </c>
      <c r="C14" s="466">
        <v>187502</v>
      </c>
      <c r="D14" s="466">
        <v>1350</v>
      </c>
      <c r="E14" s="466">
        <v>38292</v>
      </c>
      <c r="F14" s="466">
        <v>25849</v>
      </c>
      <c r="G14" s="466"/>
      <c r="H14" s="466">
        <v>7968</v>
      </c>
      <c r="I14" s="467"/>
      <c r="J14" s="467"/>
      <c r="K14" s="1671">
        <f t="shared" si="0"/>
        <v>260961</v>
      </c>
      <c r="L14" s="466">
        <v>306300</v>
      </c>
    </row>
    <row r="15" spans="1:14" x14ac:dyDescent="0.2">
      <c r="A15" s="1504" t="s">
        <v>964</v>
      </c>
      <c r="B15" s="614">
        <v>1600</v>
      </c>
      <c r="C15" s="466">
        <v>18179</v>
      </c>
      <c r="D15" s="466">
        <v>167</v>
      </c>
      <c r="E15" s="466"/>
      <c r="F15" s="466">
        <v>60</v>
      </c>
      <c r="G15" s="466"/>
      <c r="H15" s="466">
        <v>53</v>
      </c>
      <c r="I15" s="467"/>
      <c r="J15" s="467"/>
      <c r="K15" s="1671">
        <f t="shared" si="0"/>
        <v>18459</v>
      </c>
      <c r="L15" s="466">
        <v>13841</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68529</v>
      </c>
      <c r="D17" s="467">
        <v>13811</v>
      </c>
      <c r="E17" s="467">
        <v>46</v>
      </c>
      <c r="F17" s="467">
        <v>518</v>
      </c>
      <c r="G17" s="467"/>
      <c r="H17" s="467"/>
      <c r="I17" s="467"/>
      <c r="J17" s="467"/>
      <c r="K17" s="1671">
        <f t="shared" si="0"/>
        <v>82904</v>
      </c>
      <c r="L17" s="466">
        <v>86846</v>
      </c>
    </row>
    <row r="18" spans="1:12" x14ac:dyDescent="0.2">
      <c r="A18" s="1504" t="s">
        <v>1087</v>
      </c>
      <c r="B18" s="614">
        <v>1800</v>
      </c>
      <c r="C18" s="466">
        <v>178887</v>
      </c>
      <c r="D18" s="466">
        <v>6807</v>
      </c>
      <c r="E18" s="466">
        <v>712</v>
      </c>
      <c r="F18" s="466">
        <v>360</v>
      </c>
      <c r="G18" s="466"/>
      <c r="H18" s="466"/>
      <c r="I18" s="467"/>
      <c r="J18" s="467"/>
      <c r="K18" s="1671">
        <f t="shared" si="0"/>
        <v>186766</v>
      </c>
      <c r="L18" s="466">
        <v>200113</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76025</v>
      </c>
      <c r="I22" s="616"/>
      <c r="J22" s="477"/>
      <c r="K22" s="1671">
        <f t="shared" si="0"/>
        <v>76025</v>
      </c>
      <c r="L22" s="471">
        <v>80000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5230091</v>
      </c>
      <c r="D33" s="1670">
        <f t="shared" ref="D33:L33" si="1">SUM(D5:D32)</f>
        <v>758323</v>
      </c>
      <c r="E33" s="1670">
        <f t="shared" si="1"/>
        <v>79329</v>
      </c>
      <c r="F33" s="1670">
        <f t="shared" si="1"/>
        <v>138941</v>
      </c>
      <c r="G33" s="1670">
        <f t="shared" si="1"/>
        <v>108416</v>
      </c>
      <c r="H33" s="1670">
        <f t="shared" si="1"/>
        <v>117931</v>
      </c>
      <c r="I33" s="1670">
        <f t="shared" si="1"/>
        <v>0</v>
      </c>
      <c r="J33" s="1670">
        <f t="shared" si="1"/>
        <v>0</v>
      </c>
      <c r="K33" s="1670">
        <f t="shared" si="1"/>
        <v>6433031</v>
      </c>
      <c r="L33" s="1670">
        <f t="shared" si="1"/>
        <v>6612754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43181</v>
      </c>
      <c r="D36" s="481">
        <v>706</v>
      </c>
      <c r="E36" s="481">
        <v>38</v>
      </c>
      <c r="F36" s="481">
        <v>850</v>
      </c>
      <c r="G36" s="481"/>
      <c r="H36" s="481"/>
      <c r="I36" s="467"/>
      <c r="J36" s="467"/>
      <c r="K36" s="1671">
        <f t="shared" ref="K36:K41" si="2">SUM(C36:J36)</f>
        <v>44775</v>
      </c>
      <c r="L36" s="466">
        <v>45830</v>
      </c>
    </row>
    <row r="37" spans="1:14" x14ac:dyDescent="0.2">
      <c r="A37" s="1504" t="s">
        <v>1090</v>
      </c>
      <c r="B37" s="614">
        <v>2120</v>
      </c>
      <c r="C37" s="466">
        <v>205793</v>
      </c>
      <c r="D37" s="466">
        <v>30914</v>
      </c>
      <c r="E37" s="466">
        <v>724</v>
      </c>
      <c r="F37" s="466">
        <v>991</v>
      </c>
      <c r="G37" s="466"/>
      <c r="H37" s="466"/>
      <c r="I37" s="467"/>
      <c r="J37" s="467"/>
      <c r="K37" s="1671">
        <f t="shared" si="2"/>
        <v>238422</v>
      </c>
      <c r="L37" s="466">
        <v>243578</v>
      </c>
    </row>
    <row r="38" spans="1:14" x14ac:dyDescent="0.2">
      <c r="A38" s="1504" t="s">
        <v>198</v>
      </c>
      <c r="B38" s="614">
        <v>2130</v>
      </c>
      <c r="C38" s="466">
        <v>30181</v>
      </c>
      <c r="D38" s="466">
        <v>4414</v>
      </c>
      <c r="E38" s="466">
        <v>5954</v>
      </c>
      <c r="F38" s="466">
        <v>297</v>
      </c>
      <c r="G38" s="466"/>
      <c r="H38" s="466"/>
      <c r="I38" s="467"/>
      <c r="J38" s="467"/>
      <c r="K38" s="1671">
        <f t="shared" si="2"/>
        <v>40846</v>
      </c>
      <c r="L38" s="466">
        <v>64996</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111341</v>
      </c>
      <c r="D40" s="466">
        <v>9881</v>
      </c>
      <c r="E40" s="466">
        <v>89</v>
      </c>
      <c r="F40" s="466">
        <v>563</v>
      </c>
      <c r="G40" s="466"/>
      <c r="H40" s="466"/>
      <c r="I40" s="467"/>
      <c r="J40" s="467"/>
      <c r="K40" s="1671">
        <f t="shared" si="2"/>
        <v>121874</v>
      </c>
      <c r="L40" s="466">
        <v>124226</v>
      </c>
    </row>
    <row r="41" spans="1:14" x14ac:dyDescent="0.2">
      <c r="A41" s="1504" t="s">
        <v>1669</v>
      </c>
      <c r="B41" s="614">
        <v>2190</v>
      </c>
      <c r="C41" s="466">
        <v>5387</v>
      </c>
      <c r="D41" s="466"/>
      <c r="E41" s="466"/>
      <c r="F41" s="466"/>
      <c r="G41" s="466"/>
      <c r="H41" s="466"/>
      <c r="I41" s="467"/>
      <c r="J41" s="467"/>
      <c r="K41" s="1671">
        <f t="shared" si="2"/>
        <v>5387</v>
      </c>
      <c r="L41" s="466">
        <v>5800</v>
      </c>
    </row>
    <row r="42" spans="1:14" ht="12.75" customHeight="1" thickBot="1" x14ac:dyDescent="0.25">
      <c r="A42" s="1668" t="s">
        <v>560</v>
      </c>
      <c r="B42" s="1669" t="s">
        <v>716</v>
      </c>
      <c r="C42" s="1670">
        <f>SUM(C36:C41)</f>
        <v>395883</v>
      </c>
      <c r="D42" s="1670">
        <f t="shared" ref="D42:L42" si="3">SUM(D36:D41)</f>
        <v>45915</v>
      </c>
      <c r="E42" s="1670">
        <f t="shared" si="3"/>
        <v>6805</v>
      </c>
      <c r="F42" s="1670">
        <f t="shared" si="3"/>
        <v>2701</v>
      </c>
      <c r="G42" s="1670">
        <f t="shared" si="3"/>
        <v>0</v>
      </c>
      <c r="H42" s="1670">
        <f t="shared" si="3"/>
        <v>0</v>
      </c>
      <c r="I42" s="1670">
        <f t="shared" si="3"/>
        <v>0</v>
      </c>
      <c r="J42" s="1670">
        <f t="shared" si="3"/>
        <v>0</v>
      </c>
      <c r="K42" s="1670">
        <f t="shared" si="3"/>
        <v>451304</v>
      </c>
      <c r="L42" s="1670">
        <f t="shared" si="3"/>
        <v>484430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2860</v>
      </c>
      <c r="F44" s="481"/>
      <c r="G44" s="481"/>
      <c r="H44" s="481"/>
      <c r="I44" s="467"/>
      <c r="J44" s="467"/>
      <c r="K44" s="1672">
        <f>SUM(C44:J44)</f>
        <v>2860</v>
      </c>
      <c r="L44" s="481">
        <v>9021</v>
      </c>
    </row>
    <row r="45" spans="1:14" x14ac:dyDescent="0.2">
      <c r="A45" s="1504" t="s">
        <v>815</v>
      </c>
      <c r="B45" s="614">
        <v>2220</v>
      </c>
      <c r="C45" s="466">
        <v>134733</v>
      </c>
      <c r="D45" s="466">
        <v>18666</v>
      </c>
      <c r="E45" s="466">
        <v>1741</v>
      </c>
      <c r="F45" s="466">
        <v>15848</v>
      </c>
      <c r="G45" s="466"/>
      <c r="H45" s="466">
        <v>65</v>
      </c>
      <c r="I45" s="467"/>
      <c r="J45" s="467"/>
      <c r="K45" s="1672">
        <f>SUM(C45:J45)</f>
        <v>171053</v>
      </c>
      <c r="L45" s="466">
        <v>181133</v>
      </c>
    </row>
    <row r="46" spans="1:14" x14ac:dyDescent="0.2">
      <c r="A46" s="1504" t="s">
        <v>816</v>
      </c>
      <c r="B46" s="614">
        <v>2230</v>
      </c>
      <c r="C46" s="466"/>
      <c r="D46" s="466"/>
      <c r="E46" s="466">
        <v>6213</v>
      </c>
      <c r="F46" s="466"/>
      <c r="G46" s="466"/>
      <c r="H46" s="466"/>
      <c r="I46" s="467"/>
      <c r="J46" s="467"/>
      <c r="K46" s="1672">
        <f>SUM(C46:J46)</f>
        <v>6213</v>
      </c>
      <c r="L46" s="466">
        <v>4725</v>
      </c>
    </row>
    <row r="47" spans="1:14" ht="12.75" customHeight="1" thickBot="1" x14ac:dyDescent="0.25">
      <c r="A47" s="1668" t="s">
        <v>561</v>
      </c>
      <c r="B47" s="1669" t="s">
        <v>32</v>
      </c>
      <c r="C47" s="1670">
        <f>SUM(C44:C46)</f>
        <v>134733</v>
      </c>
      <c r="D47" s="1670">
        <f t="shared" ref="D47:K47" si="4">SUM(D44:D46)</f>
        <v>18666</v>
      </c>
      <c r="E47" s="1670">
        <f t="shared" si="4"/>
        <v>10814</v>
      </c>
      <c r="F47" s="1670">
        <f t="shared" si="4"/>
        <v>15848</v>
      </c>
      <c r="G47" s="1670">
        <f t="shared" si="4"/>
        <v>0</v>
      </c>
      <c r="H47" s="1670">
        <f t="shared" si="4"/>
        <v>65</v>
      </c>
      <c r="I47" s="1670">
        <f t="shared" si="4"/>
        <v>0</v>
      </c>
      <c r="J47" s="1670">
        <f t="shared" si="4"/>
        <v>0</v>
      </c>
      <c r="K47" s="1670">
        <f t="shared" si="4"/>
        <v>180126</v>
      </c>
      <c r="L47" s="1670">
        <f>SUM(L44:L46)</f>
        <v>194879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3800</v>
      </c>
      <c r="D49" s="481"/>
      <c r="E49" s="481">
        <v>96478</v>
      </c>
      <c r="F49" s="481">
        <v>8411</v>
      </c>
      <c r="G49" s="481"/>
      <c r="H49" s="481">
        <v>8843</v>
      </c>
      <c r="I49" s="467"/>
      <c r="J49" s="467"/>
      <c r="K49" s="1672">
        <f>SUM(C49:J49)</f>
        <v>117532</v>
      </c>
      <c r="L49" s="481">
        <v>135800</v>
      </c>
    </row>
    <row r="50" spans="1:14" x14ac:dyDescent="0.2">
      <c r="A50" s="1504" t="s">
        <v>818</v>
      </c>
      <c r="B50" s="614">
        <v>2320</v>
      </c>
      <c r="C50" s="466">
        <v>196441</v>
      </c>
      <c r="D50" s="466">
        <v>38336</v>
      </c>
      <c r="E50" s="466">
        <v>4973</v>
      </c>
      <c r="F50" s="466">
        <v>2260</v>
      </c>
      <c r="G50" s="466"/>
      <c r="H50" s="466">
        <v>1644</v>
      </c>
      <c r="I50" s="467"/>
      <c r="J50" s="467"/>
      <c r="K50" s="1672">
        <f>SUM(C50:J50)</f>
        <v>243654</v>
      </c>
      <c r="L50" s="466">
        <v>245085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200241</v>
      </c>
      <c r="D53" s="1670">
        <f t="shared" ref="D53:L53" si="5">SUM(D49:D52)</f>
        <v>38336</v>
      </c>
      <c r="E53" s="1670">
        <f t="shared" si="5"/>
        <v>101451</v>
      </c>
      <c r="F53" s="1670">
        <f t="shared" si="5"/>
        <v>10671</v>
      </c>
      <c r="G53" s="1670">
        <f t="shared" si="5"/>
        <v>0</v>
      </c>
      <c r="H53" s="1670">
        <f t="shared" si="5"/>
        <v>10487</v>
      </c>
      <c r="I53" s="1670">
        <f t="shared" si="5"/>
        <v>0</v>
      </c>
      <c r="J53" s="1670">
        <f t="shared" si="5"/>
        <v>0</v>
      </c>
      <c r="K53" s="1670">
        <f t="shared" si="5"/>
        <v>361186</v>
      </c>
      <c r="L53" s="1670">
        <f t="shared" si="5"/>
        <v>380885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383431</v>
      </c>
      <c r="D55" s="481">
        <v>94078</v>
      </c>
      <c r="E55" s="481">
        <v>19804</v>
      </c>
      <c r="F55" s="481">
        <v>13909</v>
      </c>
      <c r="G55" s="481"/>
      <c r="H55" s="481">
        <v>4389</v>
      </c>
      <c r="I55" s="467"/>
      <c r="J55" s="467"/>
      <c r="K55" s="1672">
        <f>SUM(C55:J55)</f>
        <v>515611</v>
      </c>
      <c r="L55" s="481">
        <v>542870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383431</v>
      </c>
      <c r="D57" s="1674">
        <f t="shared" ref="D57:K57" si="6">SUM(D55:D56)</f>
        <v>94078</v>
      </c>
      <c r="E57" s="1674">
        <f t="shared" si="6"/>
        <v>19804</v>
      </c>
      <c r="F57" s="1674">
        <f t="shared" si="6"/>
        <v>13909</v>
      </c>
      <c r="G57" s="1674">
        <f t="shared" si="6"/>
        <v>0</v>
      </c>
      <c r="H57" s="1674">
        <f t="shared" si="6"/>
        <v>4389</v>
      </c>
      <c r="I57" s="1674">
        <f t="shared" si="6"/>
        <v>0</v>
      </c>
      <c r="J57" s="1674">
        <f t="shared" si="6"/>
        <v>0</v>
      </c>
      <c r="K57" s="1674">
        <f t="shared" si="6"/>
        <v>515611</v>
      </c>
      <c r="L57" s="1670">
        <f>SUM(L55:L56)</f>
        <v>542870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60668</v>
      </c>
      <c r="D60" s="466">
        <v>8635</v>
      </c>
      <c r="E60" s="466">
        <v>18777</v>
      </c>
      <c r="F60" s="466">
        <v>1636</v>
      </c>
      <c r="G60" s="466"/>
      <c r="H60" s="466">
        <v>20</v>
      </c>
      <c r="I60" s="467"/>
      <c r="J60" s="467"/>
      <c r="K60" s="1672">
        <f t="shared" si="7"/>
        <v>89736</v>
      </c>
      <c r="L60" s="466">
        <v>74486</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v>91</v>
      </c>
      <c r="D62" s="466"/>
      <c r="E62" s="466"/>
      <c r="F62" s="466"/>
      <c r="G62" s="466"/>
      <c r="H62" s="466"/>
      <c r="I62" s="467"/>
      <c r="J62" s="467"/>
      <c r="K62" s="1672">
        <f t="shared" si="7"/>
        <v>91</v>
      </c>
      <c r="L62" s="466"/>
      <c r="M62" s="609"/>
      <c r="N62" s="609"/>
    </row>
    <row r="63" spans="1:14" s="609" customFormat="1" x14ac:dyDescent="0.2">
      <c r="A63" s="1504" t="s">
        <v>100</v>
      </c>
      <c r="B63" s="614">
        <v>2560</v>
      </c>
      <c r="C63" s="466">
        <v>112717</v>
      </c>
      <c r="D63" s="466">
        <v>32789</v>
      </c>
      <c r="E63" s="466">
        <v>7184</v>
      </c>
      <c r="F63" s="466">
        <v>151632</v>
      </c>
      <c r="G63" s="466">
        <v>24017</v>
      </c>
      <c r="H63" s="466">
        <v>296</v>
      </c>
      <c r="I63" s="467"/>
      <c r="J63" s="467"/>
      <c r="K63" s="1672">
        <f t="shared" si="7"/>
        <v>328635</v>
      </c>
      <c r="L63" s="466">
        <v>368375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173476</v>
      </c>
      <c r="D65" s="1670">
        <f t="shared" ref="D65:L65" si="8">SUM(D59:D64)</f>
        <v>41424</v>
      </c>
      <c r="E65" s="1670">
        <f t="shared" si="8"/>
        <v>25961</v>
      </c>
      <c r="F65" s="1670">
        <f t="shared" si="8"/>
        <v>153268</v>
      </c>
      <c r="G65" s="1670">
        <f t="shared" si="8"/>
        <v>24017</v>
      </c>
      <c r="H65" s="1670">
        <f t="shared" si="8"/>
        <v>316</v>
      </c>
      <c r="I65" s="1670">
        <f t="shared" si="8"/>
        <v>0</v>
      </c>
      <c r="J65" s="1670">
        <f t="shared" si="8"/>
        <v>0</v>
      </c>
      <c r="K65" s="1670">
        <f t="shared" si="8"/>
        <v>418462</v>
      </c>
      <c r="L65" s="1670">
        <f t="shared" si="8"/>
        <v>442861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v>455</v>
      </c>
      <c r="F71" s="466"/>
      <c r="G71" s="466"/>
      <c r="H71" s="466"/>
      <c r="I71" s="467"/>
      <c r="J71" s="467"/>
      <c r="K71" s="1672">
        <f>SUM(C71:J71)</f>
        <v>455</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455</v>
      </c>
      <c r="F72" s="1670">
        <f t="shared" si="9"/>
        <v>0</v>
      </c>
      <c r="G72" s="1670">
        <f t="shared" si="9"/>
        <v>0</v>
      </c>
      <c r="H72" s="1670">
        <f t="shared" si="9"/>
        <v>0</v>
      </c>
      <c r="I72" s="1670">
        <f t="shared" si="9"/>
        <v>0</v>
      </c>
      <c r="J72" s="1670">
        <f t="shared" si="9"/>
        <v>0</v>
      </c>
      <c r="K72" s="1670">
        <f t="shared" si="9"/>
        <v>455</v>
      </c>
      <c r="L72" s="1670">
        <f>SUM(L67:L71)</f>
        <v>0</v>
      </c>
      <c r="M72" s="609"/>
      <c r="N72" s="609"/>
    </row>
    <row r="73" spans="1:14" s="343" customFormat="1" ht="14.25" thickTop="1" thickBot="1" x14ac:dyDescent="0.25">
      <c r="A73" s="1510" t="s">
        <v>980</v>
      </c>
      <c r="B73" s="632" t="s">
        <v>574</v>
      </c>
      <c r="C73" s="573">
        <v>63048</v>
      </c>
      <c r="D73" s="573">
        <v>8634</v>
      </c>
      <c r="E73" s="573">
        <v>203739</v>
      </c>
      <c r="F73" s="573">
        <v>13117</v>
      </c>
      <c r="G73" s="573">
        <v>24513</v>
      </c>
      <c r="H73" s="573">
        <v>175275</v>
      </c>
      <c r="I73" s="531"/>
      <c r="J73" s="531"/>
      <c r="K73" s="1670">
        <f>SUM(C73:J73)</f>
        <v>488326</v>
      </c>
      <c r="L73" s="576">
        <v>605041</v>
      </c>
      <c r="M73" s="609"/>
      <c r="N73" s="609"/>
    </row>
    <row r="74" spans="1:14" ht="12.75" customHeight="1" thickTop="1" thickBot="1" x14ac:dyDescent="0.25">
      <c r="A74" s="1668" t="s">
        <v>811</v>
      </c>
      <c r="B74" s="1676">
        <v>2000</v>
      </c>
      <c r="C74" s="1677">
        <f>SUM(C42,C47,C53,C57,C65,C72,C73)</f>
        <v>1350812</v>
      </c>
      <c r="D74" s="1677">
        <f t="shared" ref="D74:K74" si="10">SUM(D42,D47,D53,D57,D65,D72,D73)</f>
        <v>247053</v>
      </c>
      <c r="E74" s="1677">
        <f t="shared" si="10"/>
        <v>369029</v>
      </c>
      <c r="F74" s="1677">
        <f t="shared" si="10"/>
        <v>209514</v>
      </c>
      <c r="G74" s="1677">
        <f t="shared" si="10"/>
        <v>48530</v>
      </c>
      <c r="H74" s="1677">
        <f t="shared" si="10"/>
        <v>190532</v>
      </c>
      <c r="I74" s="1677">
        <f t="shared" si="10"/>
        <v>0</v>
      </c>
      <c r="J74" s="1677">
        <f t="shared" si="10"/>
        <v>0</v>
      </c>
      <c r="K74" s="1677">
        <f t="shared" si="10"/>
        <v>2415470</v>
      </c>
      <c r="L74" s="1677">
        <f>SUM(L42,L47,L53,L57,L65,L72,L73)</f>
        <v>2650966</v>
      </c>
    </row>
    <row r="75" spans="1:14" s="259" customFormat="1" ht="15.75" customHeight="1" thickTop="1" thickBot="1" x14ac:dyDescent="0.25">
      <c r="A75" s="1610" t="s">
        <v>47</v>
      </c>
      <c r="B75" s="1611" t="s">
        <v>575</v>
      </c>
      <c r="C75" s="573">
        <v>1518</v>
      </c>
      <c r="D75" s="573">
        <v>179</v>
      </c>
      <c r="E75" s="573"/>
      <c r="F75" s="573"/>
      <c r="G75" s="573"/>
      <c r="H75" s="573"/>
      <c r="I75" s="531"/>
      <c r="J75" s="531"/>
      <c r="K75" s="1670">
        <f>SUM(C75:J75)</f>
        <v>1697</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247967</v>
      </c>
      <c r="F79" s="616"/>
      <c r="G79" s="616"/>
      <c r="H79" s="466"/>
      <c r="I79" s="477"/>
      <c r="J79" s="477"/>
      <c r="K79" s="1671">
        <f t="shared" si="11"/>
        <v>247967</v>
      </c>
      <c r="L79" s="466">
        <v>250000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1368</v>
      </c>
      <c r="F83" s="616"/>
      <c r="G83" s="616"/>
      <c r="H83" s="466"/>
      <c r="I83" s="477"/>
      <c r="J83" s="477"/>
      <c r="K83" s="1671">
        <f t="shared" si="11"/>
        <v>1368</v>
      </c>
      <c r="L83" s="466">
        <v>10500</v>
      </c>
    </row>
    <row r="84" spans="1:12" ht="13.5" thickBot="1" x14ac:dyDescent="0.25">
      <c r="A84" s="1668" t="s">
        <v>1485</v>
      </c>
      <c r="B84" s="1678">
        <v>4100</v>
      </c>
      <c r="C84" s="616"/>
      <c r="D84" s="616"/>
      <c r="E84" s="1670">
        <f>SUM(E78:E83)</f>
        <v>249335</v>
      </c>
      <c r="F84" s="616"/>
      <c r="G84" s="616"/>
      <c r="H84" s="1670">
        <f>SUM(H78:H83)</f>
        <v>0</v>
      </c>
      <c r="I84" s="477"/>
      <c r="J84" s="477"/>
      <c r="K84" s="1670">
        <f>SUM(K78:K83)</f>
        <v>249335</v>
      </c>
      <c r="L84" s="1670">
        <f>SUM(L78:L83)</f>
        <v>260500</v>
      </c>
    </row>
    <row r="85" spans="1:12" ht="12.75" customHeight="1" thickTop="1" thickBot="1" x14ac:dyDescent="0.25">
      <c r="A85" s="1511" t="s">
        <v>255</v>
      </c>
      <c r="B85" s="635">
        <v>4210</v>
      </c>
      <c r="C85" s="616"/>
      <c r="D85" s="616"/>
      <c r="E85" s="636"/>
      <c r="F85" s="616"/>
      <c r="G85" s="616"/>
      <c r="H85" s="535"/>
      <c r="I85" s="477"/>
      <c r="J85" s="477"/>
      <c r="K85" s="1677">
        <f>H85</f>
        <v>0</v>
      </c>
      <c r="L85" s="530">
        <v>2000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50000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172087</v>
      </c>
      <c r="I88" s="477"/>
      <c r="J88" s="477"/>
      <c r="K88" s="1677">
        <f t="shared" si="12"/>
        <v>172087</v>
      </c>
      <c r="L88" s="530">
        <v>190000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172087</v>
      </c>
      <c r="I92" s="477"/>
      <c r="J92" s="477"/>
      <c r="K92" s="1677">
        <f t="shared" si="12"/>
        <v>172087</v>
      </c>
      <c r="L92" s="1670">
        <f>SUM(L85:L91)</f>
        <v>242000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249335</v>
      </c>
      <c r="F102" s="616"/>
      <c r="G102" s="616"/>
      <c r="H102" s="1677">
        <f>SUM(H84,H92,H100,H101)</f>
        <v>172087</v>
      </c>
      <c r="I102" s="477"/>
      <c r="J102" s="477"/>
      <c r="K102" s="1677">
        <f>SUM(K84,K92,K100,K101)</f>
        <v>421422</v>
      </c>
      <c r="L102" s="1677">
        <f>SUM(L84,L92,L100,L101)</f>
        <v>502500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6582421</v>
      </c>
      <c r="D114" s="1670">
        <f t="shared" ref="D114:K114" si="13">SUM(D33,D74,D75,D102,D112,D113)</f>
        <v>1005555</v>
      </c>
      <c r="E114" s="1670">
        <f t="shared" si="13"/>
        <v>697693</v>
      </c>
      <c r="F114" s="1670">
        <f t="shared" si="13"/>
        <v>348455</v>
      </c>
      <c r="G114" s="1670">
        <f t="shared" si="13"/>
        <v>156946</v>
      </c>
      <c r="H114" s="1670">
        <f>SUM(H33,H74,H75,H102,H112,H113)</f>
        <v>480550</v>
      </c>
      <c r="I114" s="1670">
        <f t="shared" si="13"/>
        <v>0</v>
      </c>
      <c r="J114" s="1670">
        <f t="shared" si="13"/>
        <v>0</v>
      </c>
      <c r="K114" s="1670">
        <f t="shared" si="13"/>
        <v>9271620</v>
      </c>
      <c r="L114" s="1670">
        <f>SUM(L33,L74,L75,L102,L112,L113)</f>
        <v>9766220</v>
      </c>
    </row>
    <row r="115" spans="1:14" ht="13.5" thickTop="1" x14ac:dyDescent="0.2">
      <c r="A115" s="2164" t="s">
        <v>996</v>
      </c>
      <c r="B115" s="2165"/>
      <c r="C115" s="618"/>
      <c r="D115" s="618"/>
      <c r="E115" s="618"/>
      <c r="F115" s="618"/>
      <c r="G115" s="618"/>
      <c r="H115" s="618"/>
      <c r="I115" s="618"/>
      <c r="J115" s="618"/>
      <c r="K115" s="1684">
        <f>'Revenues 9-14'!C268-'Expenditures 15-22'!K114</f>
        <v>544564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9" t="s">
        <v>296</v>
      </c>
      <c r="B117" s="217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263964</v>
      </c>
      <c r="D124" s="466">
        <v>35868</v>
      </c>
      <c r="E124" s="466">
        <v>239833</v>
      </c>
      <c r="F124" s="466">
        <v>254591</v>
      </c>
      <c r="G124" s="466">
        <v>24527</v>
      </c>
      <c r="H124" s="466">
        <v>3169</v>
      </c>
      <c r="I124" s="467"/>
      <c r="J124" s="467"/>
      <c r="K124" s="1670">
        <f>SUM(C124:J124)</f>
        <v>821952</v>
      </c>
      <c r="L124" s="466">
        <v>923420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263964</v>
      </c>
      <c r="D127" s="1670">
        <f t="shared" ref="D127:L127" si="14">SUM(D122:D126)</f>
        <v>35868</v>
      </c>
      <c r="E127" s="1670">
        <f t="shared" si="14"/>
        <v>239833</v>
      </c>
      <c r="F127" s="1670">
        <f t="shared" si="14"/>
        <v>254591</v>
      </c>
      <c r="G127" s="1670">
        <f t="shared" si="14"/>
        <v>24527</v>
      </c>
      <c r="H127" s="1670">
        <f t="shared" si="14"/>
        <v>3169</v>
      </c>
      <c r="I127" s="1670">
        <f t="shared" si="14"/>
        <v>0</v>
      </c>
      <c r="J127" s="1670">
        <f t="shared" si="14"/>
        <v>0</v>
      </c>
      <c r="K127" s="1670">
        <f t="shared" si="14"/>
        <v>821952</v>
      </c>
      <c r="L127" s="1670">
        <f t="shared" si="14"/>
        <v>923420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263964</v>
      </c>
      <c r="D129" s="1677">
        <f t="shared" ref="D129:L129" si="15">SUM(D120,D127,D128)</f>
        <v>35868</v>
      </c>
      <c r="E129" s="1677">
        <f t="shared" si="15"/>
        <v>239833</v>
      </c>
      <c r="F129" s="1677">
        <f t="shared" si="15"/>
        <v>254591</v>
      </c>
      <c r="G129" s="1677">
        <f t="shared" si="15"/>
        <v>24527</v>
      </c>
      <c r="H129" s="1677">
        <f t="shared" si="15"/>
        <v>3169</v>
      </c>
      <c r="I129" s="1677">
        <f t="shared" si="15"/>
        <v>0</v>
      </c>
      <c r="J129" s="1677">
        <f t="shared" si="15"/>
        <v>0</v>
      </c>
      <c r="K129" s="1677">
        <f t="shared" si="15"/>
        <v>821952</v>
      </c>
      <c r="L129" s="1677">
        <f t="shared" si="15"/>
        <v>923420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1" t="s">
        <v>620</v>
      </c>
      <c r="B151" s="2161"/>
      <c r="C151" s="1670">
        <f>SUM(C129,C130,C139,C149,C150)</f>
        <v>263964</v>
      </c>
      <c r="D151" s="1670">
        <f t="shared" ref="D151:K151" si="16">SUM(D129,D130,D139,D149,D150)</f>
        <v>35868</v>
      </c>
      <c r="E151" s="1670">
        <f t="shared" si="16"/>
        <v>239833</v>
      </c>
      <c r="F151" s="1670">
        <f t="shared" si="16"/>
        <v>254591</v>
      </c>
      <c r="G151" s="1670">
        <f t="shared" si="16"/>
        <v>24527</v>
      </c>
      <c r="H151" s="1670">
        <f t="shared" si="16"/>
        <v>3169</v>
      </c>
      <c r="I151" s="1670">
        <f t="shared" si="16"/>
        <v>0</v>
      </c>
      <c r="J151" s="1670">
        <f t="shared" si="16"/>
        <v>0</v>
      </c>
      <c r="K151" s="1670">
        <f t="shared" si="16"/>
        <v>821952</v>
      </c>
      <c r="L151" s="1670">
        <f>SUM(L129,L130,L139,L149,L150)</f>
        <v>923420</v>
      </c>
    </row>
    <row r="152" spans="1:14" ht="12.75" customHeight="1" thickTop="1" x14ac:dyDescent="0.2">
      <c r="A152" s="2184" t="s">
        <v>1178</v>
      </c>
      <c r="B152" s="2185"/>
      <c r="C152" s="618"/>
      <c r="D152" s="618"/>
      <c r="E152" s="618"/>
      <c r="F152" s="618"/>
      <c r="G152" s="618"/>
      <c r="H152" s="618"/>
      <c r="I152" s="618"/>
      <c r="J152" s="616"/>
      <c r="K152" s="1684">
        <f>'Revenues 9-14'!D268-'Expenditures 15-22'!K151</f>
        <v>396874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9" t="s">
        <v>621</v>
      </c>
      <c r="B154" s="217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7526</v>
      </c>
      <c r="I169" s="616"/>
      <c r="J169" s="616"/>
      <c r="K169" s="1671">
        <f>SUM(C169:H169)</f>
        <v>7526</v>
      </c>
      <c r="L169" s="656">
        <v>10925</v>
      </c>
    </row>
    <row r="170" spans="1:14" ht="33.75" customHeight="1" x14ac:dyDescent="0.2">
      <c r="A170" s="669" t="s">
        <v>1670</v>
      </c>
      <c r="B170" s="671" t="s">
        <v>31</v>
      </c>
      <c r="C170" s="616"/>
      <c r="D170" s="616"/>
      <c r="E170" s="616"/>
      <c r="F170" s="616"/>
      <c r="G170" s="616"/>
      <c r="H170" s="569">
        <v>518000</v>
      </c>
      <c r="I170" s="616"/>
      <c r="J170" s="616"/>
      <c r="K170" s="1671">
        <f>SUM(C170:J170)</f>
        <v>518000</v>
      </c>
      <c r="L170" s="569">
        <v>518000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525526</v>
      </c>
      <c r="I172" s="638"/>
      <c r="J172" s="616"/>
      <c r="K172" s="1677">
        <f>SUM(K168,K169,K170,K171)</f>
        <v>525526</v>
      </c>
      <c r="L172" s="1677">
        <f>SUM(L168,L169,L170,L171)</f>
        <v>528925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525526</v>
      </c>
      <c r="I174" s="638"/>
      <c r="J174" s="616"/>
      <c r="K174" s="1677">
        <f>SUM(K160,K172,K173)</f>
        <v>525526</v>
      </c>
      <c r="L174" s="1677">
        <f>SUM(L160,L172,L173)</f>
        <v>528925</v>
      </c>
    </row>
    <row r="175" spans="1:14" ht="13.5" thickTop="1" x14ac:dyDescent="0.2">
      <c r="A175" s="2164" t="s">
        <v>996</v>
      </c>
      <c r="B175" s="2165"/>
      <c r="C175" s="616"/>
      <c r="D175" s="616"/>
      <c r="E175" s="616"/>
      <c r="F175" s="616"/>
      <c r="G175" s="616"/>
      <c r="H175" s="618"/>
      <c r="I175" s="616"/>
      <c r="J175" s="616"/>
      <c r="K175" s="1684">
        <f>'Revenues 9-14'!E268-'Expenditures 15-22'!K174</f>
        <v>-507850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216074</v>
      </c>
      <c r="D182" s="466">
        <v>12778</v>
      </c>
      <c r="E182" s="466">
        <v>213323</v>
      </c>
      <c r="F182" s="466">
        <v>43468</v>
      </c>
      <c r="G182" s="466">
        <v>24340</v>
      </c>
      <c r="H182" s="466">
        <v>21998</v>
      </c>
      <c r="I182" s="467"/>
      <c r="J182" s="467"/>
      <c r="K182" s="1671">
        <f>SUM(C182:J182)</f>
        <v>531981</v>
      </c>
      <c r="L182" s="466">
        <v>635960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216074</v>
      </c>
      <c r="D184" s="1677">
        <f t="shared" ref="D184:J184" si="17">SUM(D180,D182,D183)</f>
        <v>12778</v>
      </c>
      <c r="E184" s="1677">
        <f t="shared" si="17"/>
        <v>213323</v>
      </c>
      <c r="F184" s="1677">
        <f t="shared" si="17"/>
        <v>43468</v>
      </c>
      <c r="G184" s="1677">
        <f t="shared" si="17"/>
        <v>24340</v>
      </c>
      <c r="H184" s="1677">
        <f t="shared" si="17"/>
        <v>21998</v>
      </c>
      <c r="I184" s="1677">
        <f t="shared" si="17"/>
        <v>0</v>
      </c>
      <c r="J184" s="1677">
        <f t="shared" si="17"/>
        <v>0</v>
      </c>
      <c r="K184" s="1677">
        <f>SUM(K180,K182,K183)</f>
        <v>531981</v>
      </c>
      <c r="L184" s="1677">
        <f>SUM(L180, L182:L183)</f>
        <v>635960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216074</v>
      </c>
      <c r="D210" s="1670">
        <f>SUM(D184,D185)</f>
        <v>12778</v>
      </c>
      <c r="E210" s="1670">
        <f>SUM(E184,E185,E196)</f>
        <v>213323</v>
      </c>
      <c r="F210" s="1670">
        <f>SUM(F184,F185)</f>
        <v>43468</v>
      </c>
      <c r="G210" s="1670">
        <f>SUM(G184,G185)</f>
        <v>24340</v>
      </c>
      <c r="H210" s="1670">
        <f>SUM(H184,H185,H196,H208,H209)</f>
        <v>21998</v>
      </c>
      <c r="I210" s="1670">
        <f>SUM(I184,I185)</f>
        <v>0</v>
      </c>
      <c r="J210" s="1670">
        <f>SUM(J184,J185)</f>
        <v>0</v>
      </c>
      <c r="K210" s="1671">
        <f>SUM(K184,K185,K196,K208,K209)</f>
        <v>531981</v>
      </c>
      <c r="L210" s="1670">
        <f>SUM(L184,L185,L196,L208,L209)</f>
        <v>635960</v>
      </c>
    </row>
    <row r="211" spans="1:14" ht="13.5" thickTop="1" x14ac:dyDescent="0.2">
      <c r="A211" s="2164" t="s">
        <v>996</v>
      </c>
      <c r="B211" s="2165"/>
      <c r="C211" s="618"/>
      <c r="D211" s="618"/>
      <c r="E211" s="618"/>
      <c r="F211" s="618"/>
      <c r="G211" s="618"/>
      <c r="H211" s="618"/>
      <c r="I211" s="616"/>
      <c r="J211" s="616"/>
      <c r="K211" s="1684">
        <f>'Revenues 9-14'!F268-'Expenditures 15-22'!K210</f>
        <v>20812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6" t="s">
        <v>965</v>
      </c>
      <c r="B213" s="218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48604</v>
      </c>
      <c r="E215" s="616"/>
      <c r="F215" s="616"/>
      <c r="G215" s="616"/>
      <c r="H215" s="616"/>
      <c r="I215" s="616"/>
      <c r="J215" s="616"/>
      <c r="K215" s="1671">
        <f>D215</f>
        <v>48604</v>
      </c>
      <c r="L215" s="466">
        <v>50900</v>
      </c>
    </row>
    <row r="216" spans="1:14" x14ac:dyDescent="0.2">
      <c r="A216" s="1504" t="s">
        <v>163</v>
      </c>
      <c r="B216" s="614" t="s">
        <v>967</v>
      </c>
      <c r="C216" s="616"/>
      <c r="D216" s="467">
        <v>3406</v>
      </c>
      <c r="E216" s="616"/>
      <c r="F216" s="616"/>
      <c r="G216" s="616"/>
      <c r="H216" s="616"/>
      <c r="I216" s="616"/>
      <c r="J216" s="616"/>
      <c r="K216" s="1671">
        <f t="shared" ref="K216:K228" si="19">D216</f>
        <v>3406</v>
      </c>
      <c r="L216" s="466">
        <v>3774</v>
      </c>
    </row>
    <row r="217" spans="1:14" x14ac:dyDescent="0.2">
      <c r="A217" s="1504" t="s">
        <v>164</v>
      </c>
      <c r="B217" s="614">
        <v>1200</v>
      </c>
      <c r="C217" s="616"/>
      <c r="D217" s="466">
        <v>79138</v>
      </c>
      <c r="E217" s="616"/>
      <c r="F217" s="616"/>
      <c r="G217" s="616"/>
      <c r="H217" s="616"/>
      <c r="I217" s="616"/>
      <c r="J217" s="616"/>
      <c r="K217" s="1671">
        <f t="shared" si="19"/>
        <v>79138</v>
      </c>
      <c r="L217" s="466">
        <v>87250</v>
      </c>
    </row>
    <row r="218" spans="1:14" x14ac:dyDescent="0.2">
      <c r="A218" s="1504" t="s">
        <v>278</v>
      </c>
      <c r="B218" s="614" t="s">
        <v>968</v>
      </c>
      <c r="C218" s="616"/>
      <c r="D218" s="467">
        <v>2261</v>
      </c>
      <c r="E218" s="616"/>
      <c r="F218" s="616"/>
      <c r="G218" s="616"/>
      <c r="H218" s="616"/>
      <c r="I218" s="616"/>
      <c r="J218" s="616"/>
      <c r="K218" s="1671">
        <f t="shared" si="19"/>
        <v>2261</v>
      </c>
      <c r="L218" s="466">
        <v>1245</v>
      </c>
    </row>
    <row r="219" spans="1:14" x14ac:dyDescent="0.2">
      <c r="A219" s="1504" t="s">
        <v>279</v>
      </c>
      <c r="B219" s="614">
        <v>1250</v>
      </c>
      <c r="C219" s="616"/>
      <c r="D219" s="466">
        <v>1250</v>
      </c>
      <c r="E219" s="616"/>
      <c r="F219" s="616"/>
      <c r="G219" s="616"/>
      <c r="H219" s="616"/>
      <c r="I219" s="616"/>
      <c r="J219" s="616"/>
      <c r="K219" s="1671">
        <f t="shared" si="19"/>
        <v>1250</v>
      </c>
      <c r="L219" s="466">
        <v>1121</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2317</v>
      </c>
      <c r="E222" s="616"/>
      <c r="F222" s="616"/>
      <c r="G222" s="616"/>
      <c r="H222" s="616"/>
      <c r="I222" s="616"/>
      <c r="J222" s="616"/>
      <c r="K222" s="1671">
        <f t="shared" si="19"/>
        <v>2317</v>
      </c>
      <c r="L222" s="466">
        <v>2300</v>
      </c>
    </row>
    <row r="223" spans="1:14" x14ac:dyDescent="0.2">
      <c r="A223" s="1504" t="s">
        <v>963</v>
      </c>
      <c r="B223" s="614">
        <v>1500</v>
      </c>
      <c r="C223" s="616"/>
      <c r="D223" s="466">
        <v>10851</v>
      </c>
      <c r="E223" s="616"/>
      <c r="F223" s="616"/>
      <c r="G223" s="616"/>
      <c r="H223" s="616"/>
      <c r="I223" s="616"/>
      <c r="J223" s="616"/>
      <c r="K223" s="1671">
        <f t="shared" si="19"/>
        <v>10851</v>
      </c>
      <c r="L223" s="466">
        <v>10100</v>
      </c>
    </row>
    <row r="224" spans="1:14" x14ac:dyDescent="0.2">
      <c r="A224" s="1504" t="s">
        <v>964</v>
      </c>
      <c r="B224" s="614">
        <v>1600</v>
      </c>
      <c r="C224" s="616"/>
      <c r="D224" s="466">
        <v>1408</v>
      </c>
      <c r="E224" s="616"/>
      <c r="F224" s="616"/>
      <c r="G224" s="616"/>
      <c r="H224" s="616"/>
      <c r="I224" s="616"/>
      <c r="J224" s="616"/>
      <c r="K224" s="1671">
        <f t="shared" si="19"/>
        <v>1408</v>
      </c>
      <c r="L224" s="466">
        <v>1300</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921</v>
      </c>
      <c r="E226" s="616"/>
      <c r="F226" s="616"/>
      <c r="G226" s="616"/>
      <c r="H226" s="616"/>
      <c r="I226" s="616"/>
      <c r="J226" s="616"/>
      <c r="K226" s="1671">
        <f t="shared" si="19"/>
        <v>921</v>
      </c>
      <c r="L226" s="466">
        <v>1050</v>
      </c>
    </row>
    <row r="227" spans="1:12" x14ac:dyDescent="0.2">
      <c r="A227" s="1504" t="s">
        <v>1087</v>
      </c>
      <c r="B227" s="614">
        <v>1800</v>
      </c>
      <c r="C227" s="616"/>
      <c r="D227" s="466">
        <v>5580</v>
      </c>
      <c r="E227" s="616"/>
      <c r="F227" s="616"/>
      <c r="G227" s="616"/>
      <c r="H227" s="616"/>
      <c r="I227" s="616"/>
      <c r="J227" s="616"/>
      <c r="K227" s="1671">
        <f t="shared" si="19"/>
        <v>5580</v>
      </c>
      <c r="L227" s="466">
        <v>6200</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155736</v>
      </c>
      <c r="E229" s="616"/>
      <c r="F229" s="616"/>
      <c r="G229" s="616"/>
      <c r="H229" s="616"/>
      <c r="I229" s="616"/>
      <c r="J229" s="616"/>
      <c r="K229" s="1670">
        <f>SUM(K215:K228)</f>
        <v>155736</v>
      </c>
      <c r="L229" s="1670">
        <f>SUM(L215:L228)</f>
        <v>165240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626</v>
      </c>
      <c r="E232" s="616"/>
      <c r="F232" s="616"/>
      <c r="G232" s="616"/>
      <c r="H232" s="616"/>
      <c r="I232" s="616"/>
      <c r="J232" s="616"/>
      <c r="K232" s="1671">
        <f t="shared" ref="K232:K237" si="20">D232</f>
        <v>626</v>
      </c>
      <c r="L232" s="466">
        <v>700</v>
      </c>
    </row>
    <row r="233" spans="1:12" x14ac:dyDescent="0.2">
      <c r="A233" s="1504" t="s">
        <v>1090</v>
      </c>
      <c r="B233" s="614">
        <v>2120</v>
      </c>
      <c r="C233" s="616"/>
      <c r="D233" s="466">
        <v>2691</v>
      </c>
      <c r="E233" s="616"/>
      <c r="F233" s="616"/>
      <c r="G233" s="616"/>
      <c r="H233" s="616"/>
      <c r="I233" s="616"/>
      <c r="J233" s="616"/>
      <c r="K233" s="1671">
        <f t="shared" si="20"/>
        <v>2691</v>
      </c>
      <c r="L233" s="466">
        <v>3050</v>
      </c>
    </row>
    <row r="234" spans="1:12" x14ac:dyDescent="0.2">
      <c r="A234" s="1504" t="s">
        <v>198</v>
      </c>
      <c r="B234" s="614">
        <v>2130</v>
      </c>
      <c r="C234" s="616"/>
      <c r="D234" s="466">
        <v>3544</v>
      </c>
      <c r="E234" s="616"/>
      <c r="F234" s="616"/>
      <c r="G234" s="616"/>
      <c r="H234" s="616"/>
      <c r="I234" s="616"/>
      <c r="J234" s="616"/>
      <c r="K234" s="1671">
        <f t="shared" si="20"/>
        <v>3544</v>
      </c>
      <c r="L234" s="466">
        <v>6900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1557</v>
      </c>
      <c r="E236" s="616"/>
      <c r="F236" s="616"/>
      <c r="G236" s="616"/>
      <c r="H236" s="616"/>
      <c r="I236" s="616"/>
      <c r="J236" s="616"/>
      <c r="K236" s="1671">
        <f t="shared" si="20"/>
        <v>1557</v>
      </c>
      <c r="L236" s="466">
        <v>1700</v>
      </c>
    </row>
    <row r="237" spans="1:12" x14ac:dyDescent="0.2">
      <c r="A237" s="1504" t="s">
        <v>165</v>
      </c>
      <c r="B237" s="614">
        <v>2190</v>
      </c>
      <c r="C237" s="616"/>
      <c r="D237" s="466">
        <v>972</v>
      </c>
      <c r="E237" s="616"/>
      <c r="F237" s="616"/>
      <c r="G237" s="616"/>
      <c r="H237" s="616"/>
      <c r="I237" s="616"/>
      <c r="J237" s="616"/>
      <c r="K237" s="1671">
        <f t="shared" si="20"/>
        <v>972</v>
      </c>
      <c r="L237" s="466">
        <v>1200</v>
      </c>
    </row>
    <row r="238" spans="1:12" ht="12.75" customHeight="1" thickBot="1" x14ac:dyDescent="0.25">
      <c r="A238" s="1668" t="s">
        <v>560</v>
      </c>
      <c r="B238" s="1675" t="s">
        <v>716</v>
      </c>
      <c r="C238" s="616"/>
      <c r="D238" s="1670">
        <f>SUM(D232:D237)</f>
        <v>9390</v>
      </c>
      <c r="E238" s="616"/>
      <c r="F238" s="616"/>
      <c r="G238" s="616"/>
      <c r="H238" s="616"/>
      <c r="I238" s="616"/>
      <c r="J238" s="616"/>
      <c r="K238" s="1670">
        <f>SUM(K232:K237)</f>
        <v>9390</v>
      </c>
      <c r="L238" s="1670">
        <f>SUM(L232:L237)</f>
        <v>13550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9280</v>
      </c>
      <c r="E241" s="616"/>
      <c r="F241" s="616"/>
      <c r="G241" s="616"/>
      <c r="H241" s="616"/>
      <c r="I241" s="616"/>
      <c r="J241" s="616"/>
      <c r="K241" s="1672">
        <f>D241</f>
        <v>9280</v>
      </c>
      <c r="L241" s="466">
        <v>11150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9280</v>
      </c>
      <c r="E243" s="616"/>
      <c r="F243" s="616"/>
      <c r="G243" s="616"/>
      <c r="H243" s="616"/>
      <c r="I243" s="616"/>
      <c r="J243" s="616"/>
      <c r="K243" s="1670">
        <f>SUM(K240:K242)</f>
        <v>9280</v>
      </c>
      <c r="L243" s="1670">
        <f>SUM(L240:L242)</f>
        <v>11150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691</v>
      </c>
      <c r="E245" s="616"/>
      <c r="F245" s="616"/>
      <c r="G245" s="616"/>
      <c r="H245" s="616"/>
      <c r="I245" s="616"/>
      <c r="J245" s="616"/>
      <c r="K245" s="1672">
        <f>D245</f>
        <v>691</v>
      </c>
      <c r="L245" s="481">
        <v>785</v>
      </c>
    </row>
    <row r="246" spans="1:12" x14ac:dyDescent="0.2">
      <c r="A246" s="1504" t="s">
        <v>818</v>
      </c>
      <c r="B246" s="614">
        <v>2320</v>
      </c>
      <c r="C246" s="616"/>
      <c r="D246" s="466">
        <v>11047</v>
      </c>
      <c r="E246" s="616"/>
      <c r="F246" s="616"/>
      <c r="G246" s="616"/>
      <c r="H246" s="616"/>
      <c r="I246" s="616"/>
      <c r="J246" s="616"/>
      <c r="K246" s="1672">
        <f t="shared" ref="K246:K256" si="21">D246</f>
        <v>11047</v>
      </c>
      <c r="L246" s="466">
        <v>12400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11738</v>
      </c>
      <c r="E257" s="616"/>
      <c r="F257" s="616"/>
      <c r="G257" s="616"/>
      <c r="H257" s="616"/>
      <c r="I257" s="616"/>
      <c r="J257" s="616"/>
      <c r="K257" s="1670">
        <f>SUM(K245:K256)</f>
        <v>11738</v>
      </c>
      <c r="L257" s="1670">
        <f>SUM(L245:L256)</f>
        <v>13185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21779</v>
      </c>
      <c r="E259" s="616"/>
      <c r="F259" s="616"/>
      <c r="G259" s="616"/>
      <c r="H259" s="616"/>
      <c r="I259" s="616"/>
      <c r="J259" s="616"/>
      <c r="K259" s="1672">
        <f>D259</f>
        <v>21779</v>
      </c>
      <c r="L259" s="481">
        <v>25600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21779</v>
      </c>
      <c r="E261" s="616"/>
      <c r="F261" s="616"/>
      <c r="G261" s="616"/>
      <c r="H261" s="616"/>
      <c r="I261" s="616"/>
      <c r="J261" s="616"/>
      <c r="K261" s="1670">
        <f>SUM(K259:K260)</f>
        <v>21779</v>
      </c>
      <c r="L261" s="1670">
        <f>SUM(L259:L260)</f>
        <v>25600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10644</v>
      </c>
      <c r="E264" s="616"/>
      <c r="F264" s="616"/>
      <c r="G264" s="616"/>
      <c r="H264" s="616"/>
      <c r="I264" s="616"/>
      <c r="J264" s="616"/>
      <c r="K264" s="1672">
        <f t="shared" ref="K264:K269" si="22">D264</f>
        <v>10644</v>
      </c>
      <c r="L264" s="466">
        <v>11900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44734</v>
      </c>
      <c r="E266" s="616"/>
      <c r="F266" s="616"/>
      <c r="G266" s="616"/>
      <c r="H266" s="616"/>
      <c r="I266" s="616"/>
      <c r="J266" s="616"/>
      <c r="K266" s="1672">
        <f t="shared" si="22"/>
        <v>44734</v>
      </c>
      <c r="L266" s="466">
        <v>54605</v>
      </c>
    </row>
    <row r="267" spans="1:14" x14ac:dyDescent="0.2">
      <c r="A267" s="1504" t="s">
        <v>953</v>
      </c>
      <c r="B267" s="614">
        <v>2550</v>
      </c>
      <c r="C267" s="616"/>
      <c r="D267" s="466">
        <v>35263</v>
      </c>
      <c r="E267" s="616"/>
      <c r="F267" s="616"/>
      <c r="G267" s="616"/>
      <c r="H267" s="616"/>
      <c r="I267" s="616"/>
      <c r="J267" s="616"/>
      <c r="K267" s="1672">
        <f t="shared" si="22"/>
        <v>35263</v>
      </c>
      <c r="L267" s="466">
        <v>52805</v>
      </c>
    </row>
    <row r="268" spans="1:14" x14ac:dyDescent="0.2">
      <c r="A268" s="1504" t="s">
        <v>100</v>
      </c>
      <c r="B268" s="614">
        <v>2560</v>
      </c>
      <c r="C268" s="616"/>
      <c r="D268" s="466">
        <v>19131</v>
      </c>
      <c r="E268" s="616"/>
      <c r="F268" s="616"/>
      <c r="G268" s="616"/>
      <c r="H268" s="616"/>
      <c r="I268" s="616"/>
      <c r="J268" s="616"/>
      <c r="K268" s="1672">
        <f t="shared" si="22"/>
        <v>19131</v>
      </c>
      <c r="L268" s="466">
        <v>26400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109772</v>
      </c>
      <c r="E270" s="616"/>
      <c r="F270" s="616"/>
      <c r="G270" s="616"/>
      <c r="H270" s="616"/>
      <c r="I270" s="616"/>
      <c r="J270" s="616"/>
      <c r="K270" s="1670">
        <f>SUM(K263:K269)</f>
        <v>109772</v>
      </c>
      <c r="L270" s="1670">
        <f>SUM(L263:L269)</f>
        <v>145710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11223</v>
      </c>
      <c r="E278" s="616"/>
      <c r="F278" s="616"/>
      <c r="G278" s="616"/>
      <c r="H278" s="616"/>
      <c r="I278" s="616"/>
      <c r="J278" s="616"/>
      <c r="K278" s="1685">
        <f>D278</f>
        <v>11223</v>
      </c>
      <c r="L278" s="656">
        <v>12450</v>
      </c>
    </row>
    <row r="279" spans="1:12" ht="12.75" customHeight="1" thickBot="1" x14ac:dyDescent="0.25">
      <c r="A279" s="1698" t="s">
        <v>811</v>
      </c>
      <c r="B279" s="1681">
        <v>2000</v>
      </c>
      <c r="C279" s="616"/>
      <c r="D279" s="1677">
        <f>SUM(D238,D243,D257,D261,D270,D277,D278)</f>
        <v>173182</v>
      </c>
      <c r="E279" s="616"/>
      <c r="F279" s="616"/>
      <c r="G279" s="616"/>
      <c r="H279" s="616"/>
      <c r="I279" s="616"/>
      <c r="J279" s="616"/>
      <c r="K279" s="1677">
        <f>SUM(K238,K243,K257,K261,K270,K277,K278)</f>
        <v>173182</v>
      </c>
      <c r="L279" s="1677">
        <f>SUM(L238,L243,L257,L261,L270,L277,L278)</f>
        <v>221645</v>
      </c>
    </row>
    <row r="280" spans="1:12" ht="15.75" customHeight="1" thickTop="1" thickBot="1" x14ac:dyDescent="0.25">
      <c r="A280" s="1624" t="s">
        <v>875</v>
      </c>
      <c r="B280" s="1613">
        <v>3000</v>
      </c>
      <c r="C280" s="616"/>
      <c r="D280" s="576">
        <v>22</v>
      </c>
      <c r="E280" s="616"/>
      <c r="F280" s="616"/>
      <c r="G280" s="616"/>
      <c r="H280" s="616"/>
      <c r="I280" s="616"/>
      <c r="J280" s="616"/>
      <c r="K280" s="1679">
        <f>D280</f>
        <v>22</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2" t="s">
        <v>505</v>
      </c>
      <c r="B295" s="2183"/>
      <c r="C295" s="616"/>
      <c r="D295" s="1670">
        <f>SUM(D229,D279,D280,D285)</f>
        <v>328940</v>
      </c>
      <c r="E295" s="616"/>
      <c r="F295" s="616"/>
      <c r="G295" s="616"/>
      <c r="H295" s="1670">
        <f>H293</f>
        <v>0</v>
      </c>
      <c r="I295" s="616"/>
      <c r="J295" s="616"/>
      <c r="K295" s="1670">
        <f>SUM(K229,K279,K280,K285,K293,K294)</f>
        <v>328940</v>
      </c>
      <c r="L295" s="1670">
        <f>SUM(L229,L279,L280,L285,L293,L294)</f>
        <v>386885</v>
      </c>
    </row>
    <row r="296" spans="1:14" ht="13.5" thickTop="1" x14ac:dyDescent="0.2">
      <c r="A296" s="2164" t="s">
        <v>996</v>
      </c>
      <c r="B296" s="2165"/>
      <c r="C296" s="616"/>
      <c r="D296" s="618"/>
      <c r="E296" s="616"/>
      <c r="F296" s="616"/>
      <c r="G296" s="616"/>
      <c r="H296" s="687"/>
      <c r="I296" s="616"/>
      <c r="J296" s="616"/>
      <c r="K296" s="1684">
        <f>'Revenues 9-14'!G268-'Expenditures 15-22'!K295</f>
        <v>125974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4" t="s">
        <v>143</v>
      </c>
      <c r="B298" s="216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1000</v>
      </c>
      <c r="F301" s="466"/>
      <c r="G301" s="466">
        <v>1444214</v>
      </c>
      <c r="H301" s="466"/>
      <c r="I301" s="467"/>
      <c r="J301" s="467"/>
      <c r="K301" s="1671">
        <f>SUM(C301:J301)</f>
        <v>1445214</v>
      </c>
      <c r="L301" s="467">
        <v>1575000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1000</v>
      </c>
      <c r="F303" s="1677">
        <f t="shared" si="23"/>
        <v>0</v>
      </c>
      <c r="G303" s="1677">
        <f t="shared" si="23"/>
        <v>1444214</v>
      </c>
      <c r="H303" s="1677">
        <f t="shared" si="23"/>
        <v>0</v>
      </c>
      <c r="I303" s="1677">
        <f t="shared" si="23"/>
        <v>0</v>
      </c>
      <c r="J303" s="1677">
        <f t="shared" si="23"/>
        <v>0</v>
      </c>
      <c r="K303" s="1677">
        <f t="shared" si="23"/>
        <v>1445214</v>
      </c>
      <c r="L303" s="1677">
        <f t="shared" si="23"/>
        <v>1575000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9" t="s">
        <v>277</v>
      </c>
      <c r="B312" s="2180"/>
      <c r="C312" s="1670">
        <f>SUM(C303)</f>
        <v>0</v>
      </c>
      <c r="D312" s="1670">
        <f>SUM(D303)</f>
        <v>0</v>
      </c>
      <c r="E312" s="1670">
        <f>SUM(E303,E310)</f>
        <v>1000</v>
      </c>
      <c r="F312" s="1670">
        <f>SUM(F303)</f>
        <v>0</v>
      </c>
      <c r="G312" s="1670">
        <f>SUM(G303)</f>
        <v>1444214</v>
      </c>
      <c r="H312" s="1670">
        <f>SUM(H303,H310)</f>
        <v>0</v>
      </c>
      <c r="I312" s="1670">
        <f>SUM(I303)</f>
        <v>0</v>
      </c>
      <c r="J312" s="1670">
        <f>SUM(J303)</f>
        <v>0</v>
      </c>
      <c r="K312" s="1670">
        <f>SUM(K303,K310,K311)</f>
        <v>1445214</v>
      </c>
      <c r="L312" s="1670">
        <f>SUM(L303,L310,L311)</f>
        <v>1575000</v>
      </c>
      <c r="M312" s="665"/>
      <c r="N312" s="665"/>
    </row>
    <row r="313" spans="1:14" ht="13.5" thickTop="1" x14ac:dyDescent="0.2">
      <c r="A313" s="2175" t="s">
        <v>996</v>
      </c>
      <c r="B313" s="2176"/>
      <c r="C313" s="626"/>
      <c r="D313" s="626"/>
      <c r="E313" s="626"/>
      <c r="F313" s="626"/>
      <c r="G313" s="626"/>
      <c r="H313" s="626"/>
      <c r="I313" s="626"/>
      <c r="J313" s="626"/>
      <c r="K313" s="1685">
        <f>'Revenues 9-14'!H268-'Expenditures 15-22'!K312</f>
        <v>-912827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8" t="s">
        <v>149</v>
      </c>
      <c r="B315" s="218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0" t="s">
        <v>898</v>
      </c>
      <c r="B317" s="218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48974</v>
      </c>
      <c r="F320" s="467"/>
      <c r="G320" s="467"/>
      <c r="H320" s="467"/>
      <c r="I320" s="467"/>
      <c r="J320" s="467"/>
      <c r="K320" s="1671">
        <f t="shared" ref="K320:K327" si="24">SUM(C320:J320)</f>
        <v>48974</v>
      </c>
      <c r="L320" s="467">
        <v>50000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10000</v>
      </c>
      <c r="M321" s="665"/>
      <c r="N321" s="665"/>
    </row>
    <row r="322" spans="1:14" s="674" customFormat="1" x14ac:dyDescent="0.2">
      <c r="A322" s="1519" t="s">
        <v>238</v>
      </c>
      <c r="B322" s="697" t="s">
        <v>284</v>
      </c>
      <c r="C322" s="467"/>
      <c r="D322" s="467"/>
      <c r="E322" s="467">
        <v>874</v>
      </c>
      <c r="F322" s="467"/>
      <c r="G322" s="467"/>
      <c r="H322" s="467"/>
      <c r="I322" s="467"/>
      <c r="J322" s="467"/>
      <c r="K322" s="1671">
        <f t="shared" si="24"/>
        <v>874</v>
      </c>
      <c r="L322" s="467">
        <v>7000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49848</v>
      </c>
      <c r="F330" s="1670">
        <f t="shared" si="25"/>
        <v>0</v>
      </c>
      <c r="G330" s="1670">
        <f t="shared" si="25"/>
        <v>0</v>
      </c>
      <c r="H330" s="1670">
        <f t="shared" si="25"/>
        <v>0</v>
      </c>
      <c r="I330" s="1670">
        <f t="shared" si="25"/>
        <v>0</v>
      </c>
      <c r="J330" s="1670">
        <f t="shared" si="25"/>
        <v>0</v>
      </c>
      <c r="K330" s="1670">
        <f>SUM(K319:K329)</f>
        <v>49848</v>
      </c>
      <c r="L330" s="1670">
        <f>SUM(L319:L329)</f>
        <v>72000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49848</v>
      </c>
      <c r="F342" s="1670">
        <f>SUM(F330)</f>
        <v>0</v>
      </c>
      <c r="G342" s="1670">
        <f>SUM(G330)</f>
        <v>0</v>
      </c>
      <c r="H342" s="1670">
        <f>SUM(H330,H334,H340)</f>
        <v>0</v>
      </c>
      <c r="I342" s="1670">
        <f>SUM(I330)</f>
        <v>0</v>
      </c>
      <c r="J342" s="1670">
        <f>SUM(J330)</f>
        <v>0</v>
      </c>
      <c r="K342" s="1670">
        <f>SUM(K330,K334,K340)</f>
        <v>49848</v>
      </c>
      <c r="L342" s="1677">
        <f>SUM(L330,L340,L341)</f>
        <v>72000</v>
      </c>
    </row>
    <row r="343" spans="1:14" ht="12.75" customHeight="1" thickTop="1" x14ac:dyDescent="0.2">
      <c r="A343" s="2177" t="s">
        <v>996</v>
      </c>
      <c r="B343" s="2178"/>
      <c r="C343" s="616"/>
      <c r="D343" s="616"/>
      <c r="E343" s="616"/>
      <c r="F343" s="616"/>
      <c r="G343" s="616"/>
      <c r="H343" s="616"/>
      <c r="I343" s="616"/>
      <c r="J343" s="616"/>
      <c r="K343" s="1684">
        <f>'Revenues 9-14'!J268-'Expenditures 15-22'!K342</f>
        <v>72538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7" t="s">
        <v>966</v>
      </c>
      <c r="B345" s="216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v>414</v>
      </c>
      <c r="G348" s="466"/>
      <c r="H348" s="466"/>
      <c r="I348" s="467"/>
      <c r="J348" s="467"/>
      <c r="K348" s="1671">
        <f>SUM(C348:J348)</f>
        <v>414</v>
      </c>
      <c r="L348" s="466">
        <v>41000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414</v>
      </c>
      <c r="G350" s="1670">
        <f t="shared" si="26"/>
        <v>0</v>
      </c>
      <c r="H350" s="1670">
        <f t="shared" si="26"/>
        <v>0</v>
      </c>
      <c r="I350" s="1670">
        <f t="shared" si="26"/>
        <v>0</v>
      </c>
      <c r="J350" s="1670">
        <f t="shared" si="26"/>
        <v>0</v>
      </c>
      <c r="K350" s="1670">
        <f t="shared" si="26"/>
        <v>414</v>
      </c>
      <c r="L350" s="1670">
        <f t="shared" si="26"/>
        <v>41000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414</v>
      </c>
      <c r="G352" s="1670">
        <f t="shared" si="27"/>
        <v>0</v>
      </c>
      <c r="H352" s="1670">
        <f t="shared" si="27"/>
        <v>0</v>
      </c>
      <c r="I352" s="1670">
        <f t="shared" si="27"/>
        <v>0</v>
      </c>
      <c r="J352" s="1670">
        <f t="shared" si="27"/>
        <v>0</v>
      </c>
      <c r="K352" s="1670">
        <f t="shared" si="27"/>
        <v>414</v>
      </c>
      <c r="L352" s="1670">
        <f t="shared" si="27"/>
        <v>41000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414</v>
      </c>
      <c r="G367" s="1670">
        <f t="shared" si="28"/>
        <v>0</v>
      </c>
      <c r="H367" s="1670">
        <f t="shared" si="28"/>
        <v>0</v>
      </c>
      <c r="I367" s="1670">
        <f t="shared" si="28"/>
        <v>0</v>
      </c>
      <c r="J367" s="1670">
        <f t="shared" si="28"/>
        <v>0</v>
      </c>
      <c r="K367" s="1670">
        <f t="shared" si="28"/>
        <v>414</v>
      </c>
      <c r="L367" s="1670">
        <f t="shared" si="28"/>
        <v>41000</v>
      </c>
    </row>
    <row r="368" spans="1:14" ht="13.5" thickTop="1" x14ac:dyDescent="0.2">
      <c r="A368" s="2164" t="s">
        <v>996</v>
      </c>
      <c r="B368" s="2165"/>
      <c r="C368" s="654"/>
      <c r="D368" s="654"/>
      <c r="E368" s="626"/>
      <c r="F368" s="626"/>
      <c r="G368" s="626"/>
      <c r="H368" s="626"/>
      <c r="I368" s="626"/>
      <c r="J368" s="623"/>
      <c r="K368" s="1671">
        <f>'Revenues 9-14'!K268-'Expenditures 15-22'!K367</f>
        <v>39797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topLeftCell="A2" colorId="8" zoomScale="110" zoomScaleNormal="110" workbookViewId="0">
      <selection activeCell="C6" sqref="C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1" t="s">
        <v>1802</v>
      </c>
      <c r="B2" s="1528" t="s">
        <v>1951</v>
      </c>
      <c r="C2" s="714" t="s">
        <v>1952</v>
      </c>
      <c r="D2" s="714" t="s">
        <v>1953</v>
      </c>
      <c r="E2" s="714" t="s">
        <v>1954</v>
      </c>
      <c r="F2" s="714" t="s">
        <v>1955</v>
      </c>
    </row>
    <row r="3" spans="1:6" ht="12" customHeight="1" x14ac:dyDescent="0.2">
      <c r="A3" s="2192"/>
      <c r="B3" s="1525"/>
      <c r="C3" s="1526"/>
      <c r="D3" s="1527" t="s">
        <v>256</v>
      </c>
      <c r="E3" s="1526"/>
      <c r="F3" s="1527" t="s">
        <v>257</v>
      </c>
    </row>
    <row r="4" spans="1:6" ht="13.7" customHeight="1" x14ac:dyDescent="0.2">
      <c r="A4" s="715" t="s">
        <v>1155</v>
      </c>
      <c r="B4" s="1749">
        <f>'Revenues 9-14'!C5</f>
        <v>7649837</v>
      </c>
      <c r="C4" s="1524">
        <v>1511475</v>
      </c>
      <c r="D4" s="1752">
        <f>B4-C4</f>
        <v>6138362</v>
      </c>
      <c r="E4" s="1524">
        <v>7709028</v>
      </c>
      <c r="F4" s="1752">
        <f>E4-C4</f>
        <v>6197553</v>
      </c>
    </row>
    <row r="5" spans="1:6" ht="13.7" customHeight="1" x14ac:dyDescent="0.2">
      <c r="A5" s="715" t="s">
        <v>870</v>
      </c>
      <c r="B5" s="1750">
        <f>'Revenues 9-14'!D5</f>
        <v>1037503</v>
      </c>
      <c r="C5" s="585">
        <v>238357</v>
      </c>
      <c r="D5" s="1753">
        <f t="shared" ref="D5:D18" si="0">B5-C5</f>
        <v>799146</v>
      </c>
      <c r="E5" s="585">
        <v>1215705</v>
      </c>
      <c r="F5" s="1753">
        <f>E5-C5</f>
        <v>977348</v>
      </c>
    </row>
    <row r="6" spans="1:6" ht="13.7" customHeight="1" x14ac:dyDescent="0.2">
      <c r="A6" s="715" t="s">
        <v>411</v>
      </c>
      <c r="B6" s="1750">
        <f>'Revenues 9-14'!E5</f>
        <v>17641</v>
      </c>
      <c r="C6" s="585">
        <v>3155</v>
      </c>
      <c r="D6" s="1753">
        <f t="shared" si="0"/>
        <v>14486</v>
      </c>
      <c r="E6" s="585">
        <v>16094</v>
      </c>
      <c r="F6" s="1753">
        <f t="shared" ref="F6:F18" si="1">E6-C6</f>
        <v>12939</v>
      </c>
    </row>
    <row r="7" spans="1:6" ht="13.7" customHeight="1" x14ac:dyDescent="0.2">
      <c r="A7" s="715" t="s">
        <v>155</v>
      </c>
      <c r="B7" s="1750">
        <f>'Revenues 9-14'!F5</f>
        <v>397523</v>
      </c>
      <c r="C7" s="585">
        <v>79456</v>
      </c>
      <c r="D7" s="1753">
        <f t="shared" si="0"/>
        <v>318067</v>
      </c>
      <c r="E7" s="585">
        <v>405256</v>
      </c>
      <c r="F7" s="1753">
        <f t="shared" si="1"/>
        <v>325800</v>
      </c>
    </row>
    <row r="8" spans="1:6" ht="13.7" customHeight="1" x14ac:dyDescent="0.2">
      <c r="A8" s="715" t="s">
        <v>1179</v>
      </c>
      <c r="B8" s="1750">
        <f>'Revenues 9-14'!G5</f>
        <v>171637</v>
      </c>
      <c r="C8" s="585">
        <v>35659</v>
      </c>
      <c r="D8" s="1753">
        <f t="shared" si="0"/>
        <v>135978</v>
      </c>
      <c r="E8" s="585">
        <v>181879</v>
      </c>
      <c r="F8" s="1753">
        <f t="shared" si="1"/>
        <v>146220</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89235</v>
      </c>
      <c r="C10" s="585">
        <v>9695</v>
      </c>
      <c r="D10" s="1753">
        <f t="shared" si="0"/>
        <v>79540</v>
      </c>
      <c r="E10" s="585">
        <v>49452</v>
      </c>
      <c r="F10" s="1753">
        <f t="shared" si="1"/>
        <v>39757</v>
      </c>
    </row>
    <row r="11" spans="1:6" x14ac:dyDescent="0.2">
      <c r="A11" s="715" t="s">
        <v>409</v>
      </c>
      <c r="B11" s="1750">
        <f>'Revenues 9-14'!J5</f>
        <v>115398</v>
      </c>
      <c r="C11" s="585">
        <v>27131</v>
      </c>
      <c r="D11" s="1753">
        <f t="shared" si="0"/>
        <v>88267</v>
      </c>
      <c r="E11" s="585">
        <v>138377</v>
      </c>
      <c r="F11" s="1753">
        <f t="shared" si="1"/>
        <v>111246</v>
      </c>
    </row>
    <row r="12" spans="1:6" ht="13.7" customHeight="1" x14ac:dyDescent="0.2">
      <c r="A12" s="715" t="s">
        <v>157</v>
      </c>
      <c r="B12" s="1750">
        <f>'Revenues 9-14'!K5</f>
        <v>39270</v>
      </c>
      <c r="C12" s="585">
        <v>19383</v>
      </c>
      <c r="D12" s="1753">
        <f t="shared" si="0"/>
        <v>19887</v>
      </c>
      <c r="E12" s="585">
        <v>98861</v>
      </c>
      <c r="F12" s="1753">
        <f t="shared" si="1"/>
        <v>79478</v>
      </c>
    </row>
    <row r="13" spans="1:6" ht="13.7" customHeight="1" x14ac:dyDescent="0.2">
      <c r="A13" s="715" t="s">
        <v>936</v>
      </c>
      <c r="B13" s="1750">
        <f>SUM('Revenues 9-14'!C6:D6)</f>
        <v>6158</v>
      </c>
      <c r="C13" s="585">
        <v>1208</v>
      </c>
      <c r="D13" s="1753">
        <f t="shared" si="0"/>
        <v>4950</v>
      </c>
      <c r="E13" s="585">
        <v>6158</v>
      </c>
      <c r="F13" s="1753">
        <f t="shared" si="1"/>
        <v>4950</v>
      </c>
    </row>
    <row r="14" spans="1:6" ht="13.7" customHeight="1" x14ac:dyDescent="0.2">
      <c r="A14" s="715" t="s">
        <v>410</v>
      </c>
      <c r="B14" s="1750">
        <f>SUM('Revenues 9-14'!C7:D7,'Revenues 9-14'!F7:H7)</f>
        <v>376169</v>
      </c>
      <c r="C14" s="585">
        <v>75581</v>
      </c>
      <c r="D14" s="1753">
        <f t="shared" si="0"/>
        <v>300588</v>
      </c>
      <c r="E14" s="585">
        <v>385488</v>
      </c>
      <c r="F14" s="1753">
        <f t="shared" si="1"/>
        <v>309907</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221466</v>
      </c>
      <c r="C16" s="585">
        <v>46514</v>
      </c>
      <c r="D16" s="1753">
        <f t="shared" si="0"/>
        <v>174952</v>
      </c>
      <c r="E16" s="585">
        <v>237238</v>
      </c>
      <c r="F16" s="1753">
        <f t="shared" si="1"/>
        <v>190724</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10121837</v>
      </c>
      <c r="C19" s="1751">
        <f>SUM(C4:C18)</f>
        <v>2047614</v>
      </c>
      <c r="D19" s="1751">
        <f>SUM(D4:D18)</f>
        <v>8074223</v>
      </c>
      <c r="E19" s="1751">
        <f>SUM(E4:E18)</f>
        <v>10443536</v>
      </c>
      <c r="F19" s="1751">
        <f>SUM(F4:F18)</f>
        <v>8395922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topLeftCell="A25"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629</v>
      </c>
      <c r="B1" s="2211"/>
      <c r="C1" s="721"/>
    </row>
    <row r="2" spans="1:7" ht="33.75" x14ac:dyDescent="0.2">
      <c r="A2" s="2218" t="s">
        <v>1802</v>
      </c>
      <c r="B2" s="2219"/>
      <c r="C2" s="1884" t="s">
        <v>1956</v>
      </c>
      <c r="D2" s="723" t="s">
        <v>1957</v>
      </c>
      <c r="E2" s="723" t="s">
        <v>1958</v>
      </c>
      <c r="F2" s="1884" t="s">
        <v>1959</v>
      </c>
    </row>
    <row r="3" spans="1:7" ht="15.75" customHeight="1" x14ac:dyDescent="0.2">
      <c r="A3" s="2220" t="s">
        <v>1114</v>
      </c>
      <c r="B3" s="2221"/>
      <c r="C3" s="2214"/>
      <c r="D3" s="2215"/>
      <c r="E3" s="2215"/>
      <c r="F3" s="2216"/>
    </row>
    <row r="4" spans="1:7" ht="12.75" customHeight="1" thickBot="1" x14ac:dyDescent="0.25">
      <c r="A4" s="2208" t="s">
        <v>630</v>
      </c>
      <c r="B4" s="2209"/>
      <c r="C4" s="581"/>
      <c r="D4" s="581"/>
      <c r="E4" s="581"/>
      <c r="F4" s="1755">
        <f>SUM(C4+D4)-E4</f>
        <v>0</v>
      </c>
    </row>
    <row r="5" spans="1:7" ht="15.75" customHeight="1" thickTop="1" x14ac:dyDescent="0.2">
      <c r="A5" s="2212" t="s">
        <v>1110</v>
      </c>
      <c r="B5" s="2207"/>
      <c r="C5" s="2201"/>
      <c r="D5" s="2202"/>
      <c r="E5" s="2202"/>
      <c r="F5" s="220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4" t="s">
        <v>631</v>
      </c>
      <c r="B15" s="2205"/>
      <c r="C15" s="1755">
        <f>SUM(C6:C14)</f>
        <v>0</v>
      </c>
      <c r="D15" s="1755">
        <f>SUM(D6:D14)</f>
        <v>0</v>
      </c>
      <c r="E15" s="1755">
        <f>SUM(E6:E14)</f>
        <v>0</v>
      </c>
      <c r="F15" s="1755">
        <f>SUM(F6:F14)</f>
        <v>0</v>
      </c>
      <c r="G15" s="552"/>
    </row>
    <row r="16" spans="1:7" s="202" customFormat="1" ht="15.75" customHeight="1" thickTop="1" x14ac:dyDescent="0.2">
      <c r="A16" s="2217" t="s">
        <v>1111</v>
      </c>
      <c r="B16" s="2207"/>
      <c r="C16" s="2201"/>
      <c r="D16" s="2202"/>
      <c r="E16" s="2202"/>
      <c r="F16" s="2203"/>
    </row>
    <row r="17" spans="1:11" ht="12.75" customHeight="1" thickBot="1" x14ac:dyDescent="0.25">
      <c r="A17" s="2199" t="s">
        <v>64</v>
      </c>
      <c r="B17" s="2200"/>
      <c r="C17" s="726"/>
      <c r="D17" s="585"/>
      <c r="E17" s="726"/>
      <c r="F17" s="1755">
        <f>SUM(C17+D17)-E17</f>
        <v>0</v>
      </c>
    </row>
    <row r="18" spans="1:11" ht="12.75" customHeight="1" thickTop="1" thickBot="1" x14ac:dyDescent="0.25">
      <c r="A18" s="2199" t="s">
        <v>6</v>
      </c>
      <c r="B18" s="2200"/>
      <c r="C18" s="726"/>
      <c r="D18" s="585"/>
      <c r="E18" s="726"/>
      <c r="F18" s="1755">
        <f>SUM(C18+D18)-E18</f>
        <v>0</v>
      </c>
    </row>
    <row r="19" spans="1:11" ht="12.75" customHeight="1" thickTop="1" thickBot="1" x14ac:dyDescent="0.25">
      <c r="A19" s="2199" t="s">
        <v>388</v>
      </c>
      <c r="B19" s="2200"/>
      <c r="C19" s="726"/>
      <c r="D19" s="585"/>
      <c r="E19" s="726"/>
      <c r="F19" s="1755">
        <f>SUM(C19+D19)-E19</f>
        <v>0</v>
      </c>
    </row>
    <row r="20" spans="1:11" ht="12.75" customHeight="1" thickTop="1" thickBot="1" x14ac:dyDescent="0.25">
      <c r="A20" s="2199" t="s">
        <v>448</v>
      </c>
      <c r="B20" s="2200"/>
      <c r="C20" s="726"/>
      <c r="D20" s="585"/>
      <c r="E20" s="726"/>
      <c r="F20" s="1755">
        <f>SUM(C20+D20)-E20</f>
        <v>0</v>
      </c>
    </row>
    <row r="21" spans="1:11" ht="14.25" thickTop="1" thickBot="1" x14ac:dyDescent="0.25">
      <c r="A21" s="2204" t="s">
        <v>632</v>
      </c>
      <c r="B21" s="2205"/>
      <c r="C21" s="1755">
        <f>SUM(C17:C20)</f>
        <v>0</v>
      </c>
      <c r="D21" s="1755">
        <f>SUM(D17:D20)</f>
        <v>0</v>
      </c>
      <c r="E21" s="1755">
        <f>SUM(E17:E20)</f>
        <v>0</v>
      </c>
      <c r="F21" s="1755">
        <f>SUM(F17:F20)</f>
        <v>0</v>
      </c>
      <c r="G21" s="552"/>
    </row>
    <row r="22" spans="1:11" ht="15.75" customHeight="1" thickTop="1" x14ac:dyDescent="0.2">
      <c r="A22" s="2206" t="s">
        <v>1112</v>
      </c>
      <c r="B22" s="2207"/>
      <c r="C22" s="2201"/>
      <c r="D22" s="2202"/>
      <c r="E22" s="2202"/>
      <c r="F22" s="2203"/>
    </row>
    <row r="23" spans="1:11" ht="13.5" thickBot="1" x14ac:dyDescent="0.25">
      <c r="A23" s="2208" t="s">
        <v>633</v>
      </c>
      <c r="B23" s="2209"/>
      <c r="C23" s="581"/>
      <c r="D23" s="581"/>
      <c r="E23" s="581"/>
      <c r="F23" s="1755">
        <f>SUM(C23+D23)-E23</f>
        <v>0</v>
      </c>
      <c r="G23" s="552"/>
    </row>
    <row r="24" spans="1:11" ht="15.75" customHeight="1" thickTop="1" x14ac:dyDescent="0.2">
      <c r="A24" s="2206" t="s">
        <v>1113</v>
      </c>
      <c r="B24" s="2207"/>
      <c r="C24" s="2201"/>
      <c r="D24" s="2202"/>
      <c r="E24" s="2202"/>
      <c r="F24" s="2203"/>
    </row>
    <row r="25" spans="1:11" ht="13.5" thickBot="1" x14ac:dyDescent="0.25">
      <c r="A25" s="2208" t="s">
        <v>634</v>
      </c>
      <c r="B25" s="2209"/>
      <c r="C25" s="581"/>
      <c r="D25" s="581"/>
      <c r="E25" s="581"/>
      <c r="F25" s="1755">
        <f>SUM(C25+D25)-E25</f>
        <v>0</v>
      </c>
      <c r="G25" s="552"/>
    </row>
    <row r="26" spans="1:11" ht="15.75" customHeight="1" thickTop="1" x14ac:dyDescent="0.2">
      <c r="A26" s="2212" t="s">
        <v>657</v>
      </c>
      <c r="B26" s="2207"/>
      <c r="C26" s="727"/>
      <c r="D26" s="727"/>
      <c r="E26" s="727"/>
      <c r="F26" s="728"/>
    </row>
    <row r="27" spans="1:11" ht="13.5" thickBot="1" x14ac:dyDescent="0.25">
      <c r="A27" s="2204" t="s">
        <v>1070</v>
      </c>
      <c r="B27" s="2205"/>
      <c r="C27" s="585"/>
      <c r="D27" s="585"/>
      <c r="E27" s="585"/>
      <c r="F27" s="1755">
        <f>SUM(C27+D27)-E27</f>
        <v>0</v>
      </c>
      <c r="G27" s="552"/>
    </row>
    <row r="28" spans="1:11" ht="7.5" customHeight="1" thickTop="1" x14ac:dyDescent="0.2">
      <c r="A28" s="593"/>
    </row>
    <row r="29" spans="1:11" ht="23.25" customHeight="1" x14ac:dyDescent="0.2">
      <c r="A29" s="2210" t="s">
        <v>582</v>
      </c>
      <c r="B29" s="221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2099</v>
      </c>
      <c r="B31" s="733">
        <v>37773</v>
      </c>
      <c r="C31" s="734">
        <v>1340000</v>
      </c>
      <c r="D31" s="735">
        <v>4</v>
      </c>
      <c r="E31" s="734">
        <v>500000</v>
      </c>
      <c r="F31" s="734"/>
      <c r="G31" s="734"/>
      <c r="H31" s="734">
        <v>500000</v>
      </c>
      <c r="I31" s="1756">
        <f>((E31+F31)-H31)+G31</f>
        <v>0</v>
      </c>
      <c r="J31" s="734">
        <v>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2100</v>
      </c>
      <c r="B33" s="733">
        <v>42654</v>
      </c>
      <c r="C33" s="734">
        <v>350000</v>
      </c>
      <c r="D33" s="735">
        <v>1</v>
      </c>
      <c r="E33" s="734">
        <v>341000</v>
      </c>
      <c r="F33" s="734"/>
      <c r="G33" s="734"/>
      <c r="H33" s="734">
        <v>9000</v>
      </c>
      <c r="I33" s="1756">
        <f t="shared" ref="I33:I48" si="1">((E33+F33)-H33)+G33</f>
        <v>332000</v>
      </c>
      <c r="J33" s="734">
        <v>330314</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t="s">
        <v>2101</v>
      </c>
      <c r="B35" s="733">
        <v>42654</v>
      </c>
      <c r="C35" s="738">
        <v>345000</v>
      </c>
      <c r="D35" s="735">
        <v>1</v>
      </c>
      <c r="E35" s="738">
        <v>336000</v>
      </c>
      <c r="F35" s="738"/>
      <c r="G35" s="738"/>
      <c r="H35" s="738">
        <v>9000</v>
      </c>
      <c r="I35" s="1756">
        <f t="shared" si="1"/>
        <v>327000</v>
      </c>
      <c r="J35" s="738">
        <v>327000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2035000</v>
      </c>
      <c r="D49" s="745"/>
      <c r="E49" s="1756">
        <f t="shared" ref="E49:J49" si="2">SUM(E31:E48)</f>
        <v>1177000</v>
      </c>
      <c r="F49" s="1756">
        <f t="shared" si="2"/>
        <v>0</v>
      </c>
      <c r="G49" s="1756">
        <f t="shared" si="2"/>
        <v>0</v>
      </c>
      <c r="H49" s="1756">
        <f t="shared" si="2"/>
        <v>518000</v>
      </c>
      <c r="I49" s="1756">
        <f t="shared" si="2"/>
        <v>659000</v>
      </c>
      <c r="J49" s="1756">
        <f t="shared" si="2"/>
        <v>657314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3" t="s">
        <v>584</v>
      </c>
      <c r="C52" s="2194"/>
      <c r="D52" s="2194"/>
      <c r="E52" s="749" t="s">
        <v>845</v>
      </c>
      <c r="F52" s="2195"/>
      <c r="G52" s="2196"/>
      <c r="H52" s="736"/>
      <c r="I52" s="736"/>
      <c r="J52" s="746"/>
    </row>
    <row r="53" spans="1:11" ht="11.25" customHeight="1" x14ac:dyDescent="0.2">
      <c r="A53" s="750" t="s">
        <v>913</v>
      </c>
      <c r="B53" s="751" t="s">
        <v>951</v>
      </c>
      <c r="C53" s="746"/>
      <c r="D53" s="737"/>
      <c r="E53" s="749" t="s">
        <v>497</v>
      </c>
      <c r="F53" s="2197"/>
      <c r="G53" s="2198"/>
      <c r="H53" s="736"/>
      <c r="I53" s="736"/>
      <c r="J53" s="746"/>
    </row>
    <row r="54" spans="1:11" ht="11.25" customHeight="1" x14ac:dyDescent="0.2">
      <c r="A54" s="752" t="s">
        <v>914</v>
      </c>
      <c r="B54" s="747" t="s">
        <v>952</v>
      </c>
      <c r="C54" s="746"/>
      <c r="D54" s="737"/>
      <c r="E54" s="749" t="s">
        <v>498</v>
      </c>
      <c r="F54" s="2197"/>
      <c r="G54" s="219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colorId="8" zoomScale="110" zoomScaleNormal="110" workbookViewId="0">
      <selection activeCell="K10" sqref="K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2" t="s">
        <v>856</v>
      </c>
      <c r="B1" s="2223"/>
      <c r="C1" s="2223"/>
      <c r="D1" s="2223"/>
      <c r="E1" s="2223"/>
      <c r="F1" s="2223"/>
      <c r="G1" s="2224"/>
      <c r="H1" s="1530"/>
      <c r="I1" s="760"/>
      <c r="J1" s="433"/>
    </row>
    <row r="2" spans="1:11" ht="26.25" x14ac:dyDescent="0.2">
      <c r="A2" s="2241" t="s">
        <v>1677</v>
      </c>
      <c r="B2" s="2242"/>
      <c r="C2" s="2242"/>
      <c r="D2" s="2242"/>
      <c r="E2" s="2243"/>
      <c r="F2" s="761" t="s">
        <v>904</v>
      </c>
      <c r="G2" s="762" t="s">
        <v>1674</v>
      </c>
      <c r="H2" s="762" t="s">
        <v>410</v>
      </c>
      <c r="I2" s="762" t="s">
        <v>1158</v>
      </c>
      <c r="J2" s="762" t="s">
        <v>1812</v>
      </c>
      <c r="K2" s="762" t="s">
        <v>138</v>
      </c>
    </row>
    <row r="3" spans="1:11" x14ac:dyDescent="0.2">
      <c r="A3" s="2244" t="s">
        <v>1964</v>
      </c>
      <c r="B3" s="2245"/>
      <c r="C3" s="2245"/>
      <c r="D3" s="2245"/>
      <c r="E3" s="2246"/>
      <c r="F3" s="763"/>
      <c r="G3" s="764"/>
      <c r="H3" s="764"/>
      <c r="I3" s="764"/>
      <c r="J3" s="765">
        <v>1014485</v>
      </c>
      <c r="K3" s="765"/>
    </row>
    <row r="4" spans="1:11" x14ac:dyDescent="0.2">
      <c r="A4" s="2247" t="s">
        <v>369</v>
      </c>
      <c r="B4" s="2248"/>
      <c r="C4" s="2248"/>
      <c r="D4" s="2248"/>
      <c r="E4" s="2194"/>
      <c r="F4" s="766"/>
      <c r="G4" s="767"/>
      <c r="H4" s="768"/>
      <c r="I4" s="767"/>
      <c r="J4" s="769"/>
      <c r="K4" s="769"/>
    </row>
    <row r="5" spans="1:11" x14ac:dyDescent="0.2">
      <c r="A5" s="2225" t="s">
        <v>1069</v>
      </c>
      <c r="B5" s="2226"/>
      <c r="C5" s="2226"/>
      <c r="D5" s="2226"/>
      <c r="E5" s="2227"/>
      <c r="F5" s="770" t="s">
        <v>848</v>
      </c>
      <c r="G5" s="771"/>
      <c r="H5" s="764">
        <v>376169</v>
      </c>
      <c r="I5" s="772"/>
      <c r="J5" s="773"/>
      <c r="K5" s="773"/>
    </row>
    <row r="6" spans="1:11" x14ac:dyDescent="0.2">
      <c r="A6" s="774" t="s">
        <v>720</v>
      </c>
      <c r="B6" s="775"/>
      <c r="C6" s="775"/>
      <c r="D6" s="775"/>
      <c r="E6" s="776"/>
      <c r="F6" s="777" t="s">
        <v>849</v>
      </c>
      <c r="G6" s="764"/>
      <c r="H6" s="764"/>
      <c r="I6" s="764"/>
      <c r="J6" s="765">
        <v>25382</v>
      </c>
      <c r="K6" s="765"/>
    </row>
    <row r="7" spans="1:11" x14ac:dyDescent="0.2">
      <c r="A7" s="778" t="s">
        <v>246</v>
      </c>
      <c r="B7" s="779"/>
      <c r="C7" s="779"/>
      <c r="D7" s="779"/>
      <c r="E7" s="780"/>
      <c r="F7" s="770" t="s">
        <v>850</v>
      </c>
      <c r="G7" s="767"/>
      <c r="H7" s="767"/>
      <c r="I7" s="767"/>
      <c r="J7" s="781"/>
      <c r="K7" s="765">
        <v>3675</v>
      </c>
    </row>
    <row r="8" spans="1:11" x14ac:dyDescent="0.2">
      <c r="A8" s="778" t="s">
        <v>345</v>
      </c>
      <c r="B8" s="779"/>
      <c r="C8" s="779"/>
      <c r="D8" s="779"/>
      <c r="E8" s="780"/>
      <c r="F8" s="770" t="s">
        <v>851</v>
      </c>
      <c r="G8" s="782"/>
      <c r="H8" s="782"/>
      <c r="I8" s="782"/>
      <c r="J8" s="765">
        <v>505505</v>
      </c>
      <c r="K8" s="769"/>
    </row>
    <row r="9" spans="1:11" x14ac:dyDescent="0.2">
      <c r="A9" s="778" t="s">
        <v>138</v>
      </c>
      <c r="B9" s="779"/>
      <c r="C9" s="779"/>
      <c r="D9" s="779"/>
      <c r="E9" s="780"/>
      <c r="F9" s="777" t="s">
        <v>853</v>
      </c>
      <c r="G9" s="782"/>
      <c r="H9" s="771"/>
      <c r="I9" s="771"/>
      <c r="J9" s="781"/>
      <c r="K9" s="765">
        <v>10940</v>
      </c>
    </row>
    <row r="10" spans="1:11" x14ac:dyDescent="0.2">
      <c r="A10" s="2225" t="s">
        <v>1813</v>
      </c>
      <c r="B10" s="2226"/>
      <c r="C10" s="2226"/>
      <c r="D10" s="2226"/>
      <c r="E10" s="2228"/>
      <c r="F10" s="783" t="s">
        <v>862</v>
      </c>
      <c r="G10" s="782"/>
      <c r="H10" s="784"/>
      <c r="I10" s="764"/>
      <c r="J10" s="765"/>
      <c r="K10" s="765"/>
    </row>
    <row r="11" spans="1:11" x14ac:dyDescent="0.2">
      <c r="A11" s="2225" t="s">
        <v>160</v>
      </c>
      <c r="B11" s="2226"/>
      <c r="C11" s="2226"/>
      <c r="D11" s="2226"/>
      <c r="E11" s="2227"/>
      <c r="F11" s="770" t="s">
        <v>852</v>
      </c>
      <c r="G11" s="771"/>
      <c r="H11" s="764"/>
      <c r="I11" s="764"/>
      <c r="J11" s="765"/>
      <c r="K11" s="773"/>
    </row>
    <row r="12" spans="1:11" ht="13.5" thickBot="1" x14ac:dyDescent="0.25">
      <c r="A12" s="2252" t="s">
        <v>905</v>
      </c>
      <c r="B12" s="2253"/>
      <c r="C12" s="2253"/>
      <c r="D12" s="2253"/>
      <c r="E12" s="2254"/>
      <c r="F12" s="1757"/>
      <c r="G12" s="1758">
        <f>SUM(G5:G11)</f>
        <v>0</v>
      </c>
      <c r="H12" s="1758">
        <f>SUM(H5:H11)</f>
        <v>376169</v>
      </c>
      <c r="I12" s="1758">
        <f>SUM(I5:I11)</f>
        <v>0</v>
      </c>
      <c r="J12" s="1758">
        <f>SUM(J5:J11)</f>
        <v>530887</v>
      </c>
      <c r="K12" s="1758">
        <f>SUM(K5:K11)</f>
        <v>14615</v>
      </c>
    </row>
    <row r="13" spans="1:11" ht="13.5" thickTop="1" x14ac:dyDescent="0.2">
      <c r="A13" s="2249" t="s">
        <v>370</v>
      </c>
      <c r="B13" s="2250"/>
      <c r="C13" s="2250"/>
      <c r="D13" s="2250"/>
      <c r="E13" s="2251"/>
      <c r="F13" s="785"/>
      <c r="G13" s="786"/>
      <c r="H13" s="787"/>
      <c r="I13" s="788"/>
      <c r="J13" s="788"/>
      <c r="K13" s="788"/>
    </row>
    <row r="14" spans="1:11" x14ac:dyDescent="0.2">
      <c r="A14" s="2232" t="s">
        <v>456</v>
      </c>
      <c r="B14" s="2232"/>
      <c r="C14" s="2232"/>
      <c r="D14" s="2232"/>
      <c r="E14" s="2233"/>
      <c r="F14" s="789" t="s">
        <v>854</v>
      </c>
      <c r="G14" s="782"/>
      <c r="H14" s="764">
        <v>376169</v>
      </c>
      <c r="I14" s="771"/>
      <c r="J14" s="773"/>
      <c r="K14" s="765">
        <v>14615</v>
      </c>
    </row>
    <row r="15" spans="1:11" x14ac:dyDescent="0.2">
      <c r="A15" s="2226" t="s">
        <v>4</v>
      </c>
      <c r="B15" s="2226"/>
      <c r="C15" s="2226"/>
      <c r="D15" s="2226"/>
      <c r="E15" s="2227"/>
      <c r="F15" s="789" t="s">
        <v>855</v>
      </c>
      <c r="G15" s="771"/>
      <c r="H15" s="764"/>
      <c r="I15" s="764"/>
      <c r="J15" s="765">
        <v>1037846</v>
      </c>
      <c r="K15" s="765"/>
    </row>
    <row r="16" spans="1:11" x14ac:dyDescent="0.2">
      <c r="A16" s="2226" t="s">
        <v>298</v>
      </c>
      <c r="B16" s="2226"/>
      <c r="C16" s="2226"/>
      <c r="D16" s="2226"/>
      <c r="E16" s="2227"/>
      <c r="F16" s="789" t="s">
        <v>923</v>
      </c>
      <c r="G16" s="772"/>
      <c r="H16" s="767"/>
      <c r="I16" s="767"/>
      <c r="J16" s="769"/>
      <c r="K16" s="769"/>
    </row>
    <row r="17" spans="1:11" x14ac:dyDescent="0.2">
      <c r="A17" s="2257" t="s">
        <v>935</v>
      </c>
      <c r="B17" s="2257"/>
      <c r="C17" s="2257"/>
      <c r="D17" s="2257"/>
      <c r="E17" s="2258"/>
      <c r="F17" s="790"/>
      <c r="G17" s="791"/>
      <c r="H17" s="792"/>
      <c r="I17" s="792"/>
      <c r="J17" s="793"/>
      <c r="K17" s="794"/>
    </row>
    <row r="18" spans="1:11" x14ac:dyDescent="0.2">
      <c r="A18" s="2236" t="s">
        <v>368</v>
      </c>
      <c r="B18" s="2237"/>
      <c r="C18" s="2237"/>
      <c r="D18" s="2237"/>
      <c r="E18" s="2238"/>
      <c r="F18" s="789" t="s">
        <v>932</v>
      </c>
      <c r="G18" s="782"/>
      <c r="H18" s="782"/>
      <c r="I18" s="782"/>
      <c r="J18" s="765">
        <v>7526</v>
      </c>
      <c r="K18" s="795"/>
    </row>
    <row r="19" spans="1:11" ht="21.75" customHeight="1" x14ac:dyDescent="0.2">
      <c r="A19" s="2234" t="s">
        <v>1809</v>
      </c>
      <c r="B19" s="2234"/>
      <c r="C19" s="2234"/>
      <c r="D19" s="2234"/>
      <c r="E19" s="2235"/>
      <c r="F19" s="789" t="s">
        <v>933</v>
      </c>
      <c r="G19" s="782"/>
      <c r="H19" s="782"/>
      <c r="I19" s="782"/>
      <c r="J19" s="765">
        <v>500000</v>
      </c>
      <c r="K19" s="795"/>
    </row>
    <row r="20" spans="1:11" x14ac:dyDescent="0.2">
      <c r="A20" s="2236" t="s">
        <v>1814</v>
      </c>
      <c r="B20" s="2237"/>
      <c r="C20" s="2237"/>
      <c r="D20" s="2237"/>
      <c r="E20" s="2238"/>
      <c r="F20" s="789" t="s">
        <v>934</v>
      </c>
      <c r="G20" s="782"/>
      <c r="H20" s="782"/>
      <c r="I20" s="782"/>
      <c r="J20" s="765"/>
      <c r="K20" s="795"/>
    </row>
    <row r="21" spans="1:11" ht="13.5" thickBot="1" x14ac:dyDescent="0.25">
      <c r="A21" s="2255" t="s">
        <v>638</v>
      </c>
      <c r="B21" s="2255"/>
      <c r="C21" s="2255"/>
      <c r="D21" s="2255"/>
      <c r="E21" s="2255"/>
      <c r="F21" s="1759"/>
      <c r="G21" s="792"/>
      <c r="H21" s="796"/>
      <c r="I21" s="796"/>
      <c r="J21" s="1760">
        <f>SUM(J18:J20)</f>
        <v>507526</v>
      </c>
      <c r="K21" s="793"/>
    </row>
    <row r="22" spans="1:11" ht="13.5" thickTop="1" x14ac:dyDescent="0.2">
      <c r="A22" s="2226" t="s">
        <v>1815</v>
      </c>
      <c r="B22" s="2226"/>
      <c r="C22" s="2226"/>
      <c r="D22" s="2226"/>
      <c r="E22" s="2227"/>
      <c r="F22" s="789" t="s">
        <v>862</v>
      </c>
      <c r="G22" s="782"/>
      <c r="H22" s="764"/>
      <c r="I22" s="764"/>
      <c r="J22" s="797"/>
      <c r="K22" s="765"/>
    </row>
    <row r="23" spans="1:11" ht="13.5" thickBot="1" x14ac:dyDescent="0.25">
      <c r="A23" s="2256" t="s">
        <v>906</v>
      </c>
      <c r="B23" s="2255"/>
      <c r="C23" s="2255"/>
      <c r="D23" s="2255"/>
      <c r="E23" s="2255"/>
      <c r="F23" s="1761"/>
      <c r="G23" s="1758">
        <f>SUM(G14:G16,G21,G22)</f>
        <v>0</v>
      </c>
      <c r="H23" s="1758">
        <f>SUM(H14:H16,H21,H22)</f>
        <v>376169</v>
      </c>
      <c r="I23" s="1758">
        <f>SUM(I14:I16,I21,I22)</f>
        <v>0</v>
      </c>
      <c r="J23" s="1758">
        <f>SUM(J14:J16,J21,J22)</f>
        <v>1545372</v>
      </c>
      <c r="K23" s="1758">
        <f>SUM(K14:K16,K21,K22)</f>
        <v>14615</v>
      </c>
    </row>
    <row r="24" spans="1:11" ht="14.25" thickTop="1" thickBot="1" x14ac:dyDescent="0.25">
      <c r="A24" s="2256" t="s">
        <v>1965</v>
      </c>
      <c r="B24" s="2255"/>
      <c r="C24" s="2255"/>
      <c r="D24" s="2255"/>
      <c r="E24" s="225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9"/>
      <c r="I31" s="2230"/>
      <c r="J31" s="2230"/>
      <c r="K31" s="2230"/>
    </row>
    <row r="32" spans="1:11" x14ac:dyDescent="0.2">
      <c r="A32" s="809"/>
      <c r="B32" s="237"/>
      <c r="C32" s="237"/>
      <c r="D32" s="237"/>
      <c r="E32" s="805"/>
      <c r="F32" s="811" t="s">
        <v>540</v>
      </c>
      <c r="G32" s="764"/>
      <c r="H32" s="2231"/>
      <c r="I32" s="2230"/>
      <c r="J32" s="2230"/>
      <c r="K32" s="2230"/>
    </row>
    <row r="33" spans="1:11" ht="1.5" customHeight="1" x14ac:dyDescent="0.2">
      <c r="A33" s="812" t="s">
        <v>1169</v>
      </c>
      <c r="B33" s="364"/>
      <c r="C33" s="364"/>
      <c r="D33" s="364"/>
      <c r="E33" s="364"/>
      <c r="F33" s="364"/>
      <c r="G33" s="813"/>
      <c r="H33" s="2231"/>
      <c r="I33" s="2230"/>
      <c r="J33" s="2230"/>
      <c r="K33" s="223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6" t="s">
        <v>541</v>
      </c>
      <c r="B41" s="2239"/>
      <c r="C41" s="2239"/>
      <c r="D41" s="2239"/>
      <c r="E41" s="2239"/>
      <c r="F41" s="224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topLeftCell="A4"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1909</v>
      </c>
      <c r="B1" s="2262"/>
      <c r="C1" s="2263"/>
      <c r="D1" s="826"/>
      <c r="E1" s="827"/>
      <c r="F1" s="827"/>
      <c r="G1" s="828"/>
      <c r="H1" s="829"/>
      <c r="I1" s="830"/>
      <c r="J1" s="2259"/>
      <c r="K1" s="2260"/>
      <c r="L1" s="226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222759</v>
      </c>
      <c r="D5" s="841">
        <v>1500</v>
      </c>
      <c r="E5" s="841"/>
      <c r="F5" s="1760">
        <f>(C5+D5)-E5</f>
        <v>224259</v>
      </c>
      <c r="G5" s="837"/>
      <c r="H5" s="842"/>
      <c r="I5" s="842"/>
      <c r="J5" s="842"/>
      <c r="K5" s="793"/>
      <c r="L5" s="1769">
        <f>F5-K5</f>
        <v>224259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7381635</v>
      </c>
      <c r="D8" s="844">
        <v>1342174</v>
      </c>
      <c r="E8" s="844"/>
      <c r="F8" s="1760">
        <f>(C8+D8)-E8</f>
        <v>8723809</v>
      </c>
      <c r="G8" s="843">
        <v>50</v>
      </c>
      <c r="H8" s="765">
        <v>4687214</v>
      </c>
      <c r="I8" s="765">
        <v>137546</v>
      </c>
      <c r="J8" s="765"/>
      <c r="K8" s="1769">
        <f>(H8+I8)-J8</f>
        <v>4824760</v>
      </c>
      <c r="L8" s="1769">
        <f>F8-K8</f>
        <v>3899049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573102</v>
      </c>
      <c r="D10" s="846">
        <v>120939</v>
      </c>
      <c r="E10" s="846"/>
      <c r="F10" s="1764">
        <f>(C10+D10)-E10</f>
        <v>694041</v>
      </c>
      <c r="G10" s="843">
        <v>20</v>
      </c>
      <c r="H10" s="847">
        <v>373767</v>
      </c>
      <c r="I10" s="847">
        <v>31910</v>
      </c>
      <c r="J10" s="847"/>
      <c r="K10" s="1769">
        <f>(H10+I10)-J10</f>
        <v>405677</v>
      </c>
      <c r="L10" s="1769">
        <f>F10-K10</f>
        <v>288364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1856126</v>
      </c>
      <c r="D12" s="844">
        <f>137776+23298</f>
        <v>161074</v>
      </c>
      <c r="E12" s="844">
        <v>107165</v>
      </c>
      <c r="F12" s="1760">
        <f>(C12+D12)-E12</f>
        <v>1910035</v>
      </c>
      <c r="G12" s="843">
        <v>10</v>
      </c>
      <c r="H12" s="765">
        <v>843784</v>
      </c>
      <c r="I12" s="765">
        <f>179374+8915</f>
        <v>188289</v>
      </c>
      <c r="J12" s="765">
        <v>107165</v>
      </c>
      <c r="K12" s="1769">
        <f>(H12+I12)-J12</f>
        <v>924908</v>
      </c>
      <c r="L12" s="1769">
        <f>F12-K12</f>
        <v>985127</v>
      </c>
    </row>
    <row r="13" spans="1:14" ht="14.25" thickTop="1" thickBot="1" x14ac:dyDescent="0.25">
      <c r="A13" s="848" t="s">
        <v>1122</v>
      </c>
      <c r="B13" s="840">
        <v>252</v>
      </c>
      <c r="C13" s="844">
        <v>512721</v>
      </c>
      <c r="D13" s="844">
        <v>46270</v>
      </c>
      <c r="E13" s="844">
        <v>457063</v>
      </c>
      <c r="F13" s="1760">
        <f>(C13+D13)-E13</f>
        <v>101928</v>
      </c>
      <c r="G13" s="843">
        <v>5</v>
      </c>
      <c r="H13" s="765">
        <v>74724</v>
      </c>
      <c r="I13" s="765">
        <v>9637</v>
      </c>
      <c r="J13" s="765">
        <v>46992</v>
      </c>
      <c r="K13" s="1769">
        <f>(H13+I13)-J13</f>
        <v>37369</v>
      </c>
      <c r="L13" s="1769">
        <f>F13-K13</f>
        <v>64559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10546343</v>
      </c>
      <c r="D16" s="1760">
        <f>SUM(D3,D5:D6,D8:D10,D12:D15)</f>
        <v>1671957</v>
      </c>
      <c r="E16" s="1760">
        <f>SUM(E3,E5:E6,E8:E10,E12:E15)</f>
        <v>564228</v>
      </c>
      <c r="F16" s="1760">
        <f>SUM(F3,F5:F6,F8:F10,F12:F15)</f>
        <v>11654072</v>
      </c>
      <c r="G16" s="843"/>
      <c r="H16" s="1760">
        <f>SUM(H3,H6,H8:H10,H12:H14,)</f>
        <v>5979489</v>
      </c>
      <c r="I16" s="1760">
        <f>SUM(I3,I6,I8:I10,I12:I14,)</f>
        <v>367382</v>
      </c>
      <c r="J16" s="1760">
        <f>SUM(J3,J6,J8:J10,J12:J14,)</f>
        <v>154157</v>
      </c>
      <c r="K16" s="1760">
        <f>(H16+I16)-J16</f>
        <v>6192714</v>
      </c>
      <c r="L16" s="1760">
        <f>F16-K16</f>
        <v>5461358</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367382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2"/>
  <sheetViews>
    <sheetView showGridLines="0" defaultGridColor="0" colorId="8" zoomScale="110" zoomScaleNormal="110" workbookViewId="0">
      <pane ySplit="5" topLeftCell="A75" activePane="bottomLeft" state="frozen"/>
      <selection activeCell="A47" sqref="A47"/>
      <selection pane="bottomLeft" activeCell="I174" sqref="I17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7" t="s">
        <v>1975</v>
      </c>
      <c r="B1" s="2268"/>
      <c r="C1" s="2268"/>
      <c r="D1" s="2268"/>
      <c r="E1" s="2268"/>
      <c r="F1" s="2269"/>
      <c r="G1" s="855"/>
    </row>
    <row r="2" spans="1:7" ht="15" customHeight="1" thickBot="1" x14ac:dyDescent="0.25">
      <c r="A2" s="2270" t="s">
        <v>477</v>
      </c>
      <c r="B2" s="2271"/>
      <c r="C2" s="2271"/>
      <c r="D2" s="2271"/>
      <c r="E2" s="2271"/>
      <c r="F2" s="227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3"/>
      <c r="B5" s="2274"/>
      <c r="C5" s="2274"/>
      <c r="D5" s="2274"/>
      <c r="E5" s="2274"/>
      <c r="F5" s="2274"/>
    </row>
    <row r="6" spans="1:7" ht="13.5" customHeight="1" thickBot="1" x14ac:dyDescent="0.25">
      <c r="A6" s="2264" t="s">
        <v>1104</v>
      </c>
      <c r="B6" s="2265"/>
      <c r="C6" s="2265"/>
      <c r="D6" s="2265"/>
      <c r="E6" s="2265"/>
      <c r="F6" s="226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9271620</v>
      </c>
      <c r="G8" s="865"/>
    </row>
    <row r="9" spans="1:7" x14ac:dyDescent="0.2">
      <c r="A9" s="869" t="s">
        <v>460</v>
      </c>
      <c r="B9" s="870" t="s">
        <v>1877</v>
      </c>
      <c r="C9" s="871"/>
      <c r="D9" s="869" t="s">
        <v>501</v>
      </c>
      <c r="E9" s="868"/>
      <c r="F9" s="1909">
        <f>'Expenditures 15-22'!K151</f>
        <v>821952</v>
      </c>
      <c r="G9" s="872"/>
    </row>
    <row r="10" spans="1:7" x14ac:dyDescent="0.2">
      <c r="A10" s="869" t="s">
        <v>499</v>
      </c>
      <c r="B10" s="870" t="s">
        <v>1878</v>
      </c>
      <c r="C10" s="871"/>
      <c r="D10" s="869" t="s">
        <v>501</v>
      </c>
      <c r="E10" s="868"/>
      <c r="F10" s="1909">
        <f>'Expenditures 15-22'!K174</f>
        <v>525526</v>
      </c>
      <c r="G10" s="872"/>
    </row>
    <row r="11" spans="1:7" x14ac:dyDescent="0.2">
      <c r="A11" s="869" t="s">
        <v>461</v>
      </c>
      <c r="B11" s="870" t="s">
        <v>1879</v>
      </c>
      <c r="C11" s="871"/>
      <c r="D11" s="869" t="s">
        <v>501</v>
      </c>
      <c r="E11" s="868"/>
      <c r="F11" s="1909">
        <f>'Expenditures 15-22'!K210</f>
        <v>531981</v>
      </c>
      <c r="G11" s="872"/>
    </row>
    <row r="12" spans="1:7" x14ac:dyDescent="0.2">
      <c r="A12" s="869" t="s">
        <v>462</v>
      </c>
      <c r="B12" s="870" t="s">
        <v>1880</v>
      </c>
      <c r="C12" s="871"/>
      <c r="D12" s="869" t="s">
        <v>501</v>
      </c>
      <c r="E12" s="868"/>
      <c r="F12" s="1909">
        <f>'Expenditures 15-22'!K295</f>
        <v>328940</v>
      </c>
      <c r="G12" s="872"/>
    </row>
    <row r="13" spans="1:7" x14ac:dyDescent="0.2">
      <c r="A13" s="869" t="s">
        <v>106</v>
      </c>
      <c r="B13" s="870" t="s">
        <v>1881</v>
      </c>
      <c r="C13" s="871"/>
      <c r="D13" s="869" t="s">
        <v>501</v>
      </c>
      <c r="E13" s="868"/>
      <c r="F13" s="1909">
        <f>'Expenditures 15-22'!K342</f>
        <v>49848</v>
      </c>
      <c r="G13" s="873"/>
    </row>
    <row r="14" spans="1:7" ht="12" customHeight="1" thickBot="1" x14ac:dyDescent="0.25">
      <c r="A14" s="1770"/>
      <c r="B14" s="1771"/>
      <c r="C14" s="1772"/>
      <c r="D14" s="1773" t="s">
        <v>501</v>
      </c>
      <c r="E14" s="1774" t="s">
        <v>958</v>
      </c>
      <c r="F14" s="1775">
        <f>SUM(F8:F13)</f>
        <v>11529867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76854</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54026</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18459</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76025</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1697</v>
      </c>
      <c r="G52" s="865"/>
    </row>
    <row r="53" spans="1:7" x14ac:dyDescent="0.2">
      <c r="A53" s="869" t="s">
        <v>459</v>
      </c>
      <c r="B53" s="869" t="s">
        <v>1475</v>
      </c>
      <c r="C53" s="889">
        <f>'Expenditures 15-22'!B102</f>
        <v>4000</v>
      </c>
      <c r="D53" s="888" t="str">
        <f>'Expenditures 15-22'!A102</f>
        <v>Total Payments to Other Govt Units</v>
      </c>
      <c r="E53" s="868"/>
      <c r="F53" s="1913">
        <f>'Expenditures 15-22'!K102</f>
        <v>421422</v>
      </c>
      <c r="G53" s="865"/>
    </row>
    <row r="54" spans="1:7" x14ac:dyDescent="0.2">
      <c r="A54" s="869" t="s">
        <v>459</v>
      </c>
      <c r="B54" s="869" t="s">
        <v>1476</v>
      </c>
      <c r="C54" s="889" t="s">
        <v>982</v>
      </c>
      <c r="D54" s="885" t="s">
        <v>1095</v>
      </c>
      <c r="E54" s="868"/>
      <c r="F54" s="1913">
        <f>'Expenditures 15-22'!G114</f>
        <v>156946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24527</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518000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24340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3406</v>
      </c>
      <c r="G67" s="865"/>
    </row>
    <row r="68" spans="1:8" x14ac:dyDescent="0.2">
      <c r="A68" s="869" t="s">
        <v>462</v>
      </c>
      <c r="B68" s="869" t="s">
        <v>1479</v>
      </c>
      <c r="C68" s="886" t="str">
        <f>'Expenditures 15-22'!B218</f>
        <v>1225</v>
      </c>
      <c r="D68" s="892" t="str">
        <f>'Expenditures 15-22'!A218</f>
        <v>Special Education Programs - Pre-K</v>
      </c>
      <c r="E68" s="868"/>
      <c r="F68" s="1913">
        <f>'Expenditures 15-22'!K218</f>
        <v>2261</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1408</v>
      </c>
      <c r="G71" s="865"/>
    </row>
    <row r="72" spans="1:8" x14ac:dyDescent="0.2">
      <c r="A72" s="869" t="s">
        <v>462</v>
      </c>
      <c r="B72" s="869" t="s">
        <v>1896</v>
      </c>
      <c r="C72" s="886">
        <f>'Expenditures 15-22'!B280</f>
        <v>3000</v>
      </c>
      <c r="D72" s="876" t="s">
        <v>449</v>
      </c>
      <c r="E72" s="868"/>
      <c r="F72" s="1913">
        <f>'Expenditures 15-22'!K280</f>
        <v>22</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1379393</v>
      </c>
      <c r="G76" s="865"/>
    </row>
    <row r="77" spans="1:8" s="893" customFormat="1" ht="12" customHeight="1" thickTop="1" thickBot="1" x14ac:dyDescent="0.25">
      <c r="A77" s="1779"/>
      <c r="B77" s="1776"/>
      <c r="C77" s="1772"/>
      <c r="D77" s="1777" t="s">
        <v>1900</v>
      </c>
      <c r="E77" s="1774"/>
      <c r="F77" s="1780">
        <f>(F14-F76)</f>
        <v>10150474</v>
      </c>
      <c r="G77" s="869"/>
    </row>
    <row r="78" spans="1:8" s="893" customFormat="1" ht="12" customHeight="1" thickTop="1" x14ac:dyDescent="0.2">
      <c r="A78" s="1781"/>
      <c r="B78" s="1776"/>
      <c r="C78" s="1772"/>
      <c r="D78" s="1777" t="s">
        <v>2062</v>
      </c>
      <c r="E78" s="1774"/>
      <c r="F78" s="898">
        <v>737.3</v>
      </c>
      <c r="G78" s="899"/>
      <c r="H78" s="869"/>
    </row>
    <row r="79" spans="1:8" s="893" customFormat="1" ht="12" customHeight="1" thickBot="1" x14ac:dyDescent="0.25">
      <c r="A79" s="1782"/>
      <c r="B79" s="1776"/>
      <c r="C79" s="1772"/>
      <c r="D79" s="1777" t="s">
        <v>1901</v>
      </c>
      <c r="E79" s="1774" t="s">
        <v>958</v>
      </c>
      <c r="F79" s="1783">
        <f>IF(F78&gt;0,F77/F78," Complete Line 78")</f>
        <v>13767.088023870881</v>
      </c>
      <c r="G79" s="869"/>
    </row>
    <row r="80" spans="1:8" s="893" customFormat="1" ht="8.25" customHeight="1" thickTop="1" x14ac:dyDescent="0.2">
      <c r="A80" s="900"/>
      <c r="B80" s="869"/>
      <c r="C80" s="871"/>
      <c r="D80" s="901"/>
      <c r="E80" s="868"/>
      <c r="F80" s="902"/>
      <c r="G80" s="869"/>
    </row>
    <row r="81" spans="1:7" s="893" customFormat="1" ht="12" thickBot="1" x14ac:dyDescent="0.25">
      <c r="A81" s="2264" t="s">
        <v>1105</v>
      </c>
      <c r="B81" s="2265"/>
      <c r="C81" s="2265"/>
      <c r="D81" s="2265"/>
      <c r="E81" s="2265"/>
      <c r="F81" s="226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175</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133536</v>
      </c>
      <c r="G94" s="912"/>
    </row>
    <row r="95" spans="1:7" x14ac:dyDescent="0.2">
      <c r="A95" s="908" t="s">
        <v>140</v>
      </c>
      <c r="B95" s="908" t="s">
        <v>175</v>
      </c>
      <c r="C95" s="910">
        <v>1700</v>
      </c>
      <c r="D95" s="918" t="str">
        <f>'Revenues 9-14'!A82</f>
        <v>Total District/School Activity Income</v>
      </c>
      <c r="E95" s="906"/>
      <c r="F95" s="1789">
        <f>SUM('Revenues 9-14'!C82,'Revenues 9-14'!D82)</f>
        <v>26355</v>
      </c>
      <c r="G95" s="912"/>
    </row>
    <row r="96" spans="1:7" x14ac:dyDescent="0.2">
      <c r="A96" s="908" t="s">
        <v>459</v>
      </c>
      <c r="B96" s="908" t="s">
        <v>176</v>
      </c>
      <c r="C96" s="910">
        <f>'Revenues 9-14'!B84</f>
        <v>1811</v>
      </c>
      <c r="D96" s="911" t="str">
        <f>'Revenues 9-14'!A84</f>
        <v>Rentals - Regular Textbooks</v>
      </c>
      <c r="E96" s="906"/>
      <c r="F96" s="1789">
        <f>'Revenues 9-14'!C84</f>
        <v>38219</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3859</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1100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2482</v>
      </c>
      <c r="G104" s="912"/>
    </row>
    <row r="105" spans="1:7" x14ac:dyDescent="0.2">
      <c r="A105" s="908" t="s">
        <v>503</v>
      </c>
      <c r="B105" s="908" t="s">
        <v>2003</v>
      </c>
      <c r="C105" s="913">
        <v>3100</v>
      </c>
      <c r="D105" s="919" t="str">
        <f>'Revenues 9-14'!A132</f>
        <v>Total Special Education</v>
      </c>
      <c r="E105" s="906"/>
      <c r="F105" s="1789">
        <f>SUM('Revenues 9-14'!C132:D132,'Revenues 9-14'!F132)</f>
        <v>55863</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21119</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1982</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10940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149870</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1614</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139086</v>
      </c>
      <c r="G125" s="930"/>
    </row>
    <row r="126" spans="1:7" x14ac:dyDescent="0.2">
      <c r="A126" s="927" t="s">
        <v>668</v>
      </c>
      <c r="B126" s="927" t="s">
        <v>2024</v>
      </c>
      <c r="C126" s="932">
        <v>4300</v>
      </c>
      <c r="D126" s="933" t="str">
        <f>'Revenues 9-14'!A204</f>
        <v>Total Title I</v>
      </c>
      <c r="E126" s="906"/>
      <c r="F126" s="1789">
        <f>SUM('Revenues 9-14'!C204,'Revenues 9-14'!D204,'Revenues 9-14'!F204,'Revenues 9-14'!G204)</f>
        <v>37697</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198586</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148302</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860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15434</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27742</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282385</v>
      </c>
      <c r="G171" s="927"/>
    </row>
    <row r="172" spans="1:7" x14ac:dyDescent="0.2">
      <c r="A172" s="1918" t="s">
        <v>664</v>
      </c>
      <c r="B172" s="1919" t="s">
        <v>1920</v>
      </c>
      <c r="C172" s="1920">
        <v>3300</v>
      </c>
      <c r="D172" s="1921" t="s">
        <v>1923</v>
      </c>
      <c r="E172" s="906"/>
      <c r="F172" s="1906">
        <v>28823</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1326029</v>
      </c>
    </row>
    <row r="175" spans="1:7" ht="12" customHeight="1" x14ac:dyDescent="0.2">
      <c r="A175" s="1770"/>
      <c r="B175" s="1784"/>
      <c r="C175" s="1785"/>
      <c r="D175" s="1786" t="s">
        <v>2057</v>
      </c>
      <c r="E175" s="1787"/>
      <c r="F175" s="1789">
        <f>'PCTC-OEPP 27-28'!F77-F174</f>
        <v>8824445</v>
      </c>
    </row>
    <row r="176" spans="1:7" ht="12" customHeight="1" x14ac:dyDescent="0.2">
      <c r="A176" s="1770"/>
      <c r="B176" s="1784"/>
      <c r="C176" s="1785"/>
      <c r="D176" s="1786" t="s">
        <v>1817</v>
      </c>
      <c r="E176" s="1787"/>
      <c r="F176" s="1789">
        <f>'Cap Outlay Deprec 26'!I18</f>
        <v>367382</v>
      </c>
    </row>
    <row r="177" spans="1:7" ht="12" customHeight="1" x14ac:dyDescent="0.2">
      <c r="A177" s="1770"/>
      <c r="B177" s="1784"/>
      <c r="C177" s="1785"/>
      <c r="D177" s="1786" t="s">
        <v>2058</v>
      </c>
      <c r="E177" s="1787"/>
      <c r="F177" s="1789">
        <f>F175+F176</f>
        <v>9191827</v>
      </c>
    </row>
    <row r="178" spans="1:7" ht="12" customHeight="1" x14ac:dyDescent="0.2">
      <c r="A178" s="1770"/>
      <c r="B178" s="1790"/>
      <c r="C178" s="1785"/>
      <c r="D178" s="1786" t="str">
        <f>D78</f>
        <v>9 Month ADA from District Average Daily Attendance/Prior General State Aid Inquiry 2018-2019</v>
      </c>
      <c r="E178" s="1787"/>
      <c r="F178" s="1791">
        <f>'PCTC-OEPP 27-28'!F78</f>
        <v>737.3</v>
      </c>
      <c r="G178" s="930"/>
    </row>
    <row r="179" spans="1:7" ht="12" customHeight="1" thickBot="1" x14ac:dyDescent="0.25">
      <c r="A179" s="1770"/>
      <c r="B179" s="1790"/>
      <c r="C179" s="1785"/>
      <c r="D179" s="1786" t="s">
        <v>2059</v>
      </c>
      <c r="E179" s="1787" t="s">
        <v>1545</v>
      </c>
      <c r="F179" s="1792">
        <f>F177/F178</f>
        <v>12466.875084768752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41"/>
  <sheetViews>
    <sheetView showGridLines="0" topLeftCell="A10" zoomScaleNormal="100" workbookViewId="0">
      <selection activeCell="A20" sqref="A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8" t="s">
        <v>1818</v>
      </c>
      <c r="B4" s="2279"/>
      <c r="C4" s="2279"/>
      <c r="D4" s="2279"/>
      <c r="E4" s="2279"/>
      <c r="F4" s="2279"/>
      <c r="G4" s="2280"/>
    </row>
    <row r="5" spans="1:7" x14ac:dyDescent="0.25">
      <c r="A5" s="2281"/>
      <c r="B5" s="2282"/>
      <c r="C5" s="2282"/>
      <c r="D5" s="2282"/>
      <c r="E5" s="2282"/>
      <c r="F5" s="2282"/>
      <c r="G5" s="2283"/>
    </row>
    <row r="6" spans="1:7" ht="18.75" x14ac:dyDescent="0.25">
      <c r="A6" s="1534" t="s">
        <v>1819</v>
      </c>
      <c r="B6" s="1535"/>
      <c r="C6" s="1535"/>
      <c r="D6" s="1535"/>
      <c r="E6" s="1535"/>
      <c r="F6" s="1535"/>
      <c r="G6" s="1536"/>
    </row>
    <row r="7" spans="1:7" ht="30.75" customHeight="1" x14ac:dyDescent="0.25">
      <c r="A7" s="2284" t="s">
        <v>1932</v>
      </c>
      <c r="B7" s="2285"/>
      <c r="C7" s="2285"/>
      <c r="D7" s="2285"/>
      <c r="E7" s="2285"/>
      <c r="F7" s="2285"/>
      <c r="G7" s="2286"/>
    </row>
    <row r="8" spans="1:7" ht="15.75" customHeight="1" x14ac:dyDescent="0.25">
      <c r="A8" s="2287" t="s">
        <v>1907</v>
      </c>
      <c r="B8" s="2288"/>
      <c r="C8" s="2288"/>
      <c r="D8" s="2288"/>
      <c r="E8" s="2288"/>
      <c r="F8" s="2288"/>
      <c r="G8" s="2289"/>
    </row>
    <row r="9" spans="1:7" ht="35.25" customHeight="1" x14ac:dyDescent="0.25">
      <c r="A9" s="2284" t="s">
        <v>1935</v>
      </c>
      <c r="B9" s="2285"/>
      <c r="C9" s="2285"/>
      <c r="D9" s="2285"/>
      <c r="E9" s="2285"/>
      <c r="F9" s="2285"/>
      <c r="G9" s="2286"/>
    </row>
    <row r="10" spans="1:7" ht="15" customHeight="1" x14ac:dyDescent="0.25">
      <c r="A10" s="1537" t="s">
        <v>1820</v>
      </c>
      <c r="B10" s="1538"/>
      <c r="C10" s="1538"/>
      <c r="D10" s="1538"/>
      <c r="E10" s="1538"/>
      <c r="F10" s="1538"/>
      <c r="G10" s="1539"/>
    </row>
    <row r="11" spans="1:7" ht="17.25" customHeight="1" x14ac:dyDescent="0.25">
      <c r="A11" s="2284" t="s">
        <v>1934</v>
      </c>
      <c r="B11" s="2285"/>
      <c r="C11" s="2285"/>
      <c r="D11" s="2285"/>
      <c r="E11" s="2285"/>
      <c r="F11" s="2285"/>
      <c r="G11" s="2286"/>
    </row>
    <row r="12" spans="1:7" ht="15" customHeight="1" x14ac:dyDescent="0.25">
      <c r="A12" s="1537" t="s">
        <v>1825</v>
      </c>
      <c r="B12" s="1538"/>
      <c r="C12" s="1538"/>
      <c r="D12" s="1538"/>
      <c r="E12" s="1538"/>
      <c r="F12" s="1538"/>
      <c r="G12" s="1539"/>
    </row>
    <row r="13" spans="1:7" ht="32.25" customHeight="1" x14ac:dyDescent="0.25">
      <c r="A13" s="2275" t="s">
        <v>1976</v>
      </c>
      <c r="B13" s="2276"/>
      <c r="C13" s="2276"/>
      <c r="D13" s="2276"/>
      <c r="E13" s="2276"/>
      <c r="F13" s="2276"/>
      <c r="G13" s="227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5" t="s">
        <v>2116</v>
      </c>
      <c r="B17" s="1937" t="s">
        <v>2083</v>
      </c>
      <c r="C17" s="1938" t="s">
        <v>2084</v>
      </c>
      <c r="D17" s="1844">
        <v>28842</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3842</v>
      </c>
      <c r="H17" s="1647"/>
    </row>
    <row r="18" spans="1:8" x14ac:dyDescent="0.25">
      <c r="A18" s="1945" t="s">
        <v>2117</v>
      </c>
      <c r="B18" s="1937" t="s">
        <v>2085</v>
      </c>
      <c r="C18" s="1946" t="s">
        <v>2118</v>
      </c>
      <c r="D18" s="1844">
        <v>184633</v>
      </c>
      <c r="E18" s="1540">
        <f t="shared" ref="E18:E140" si="2">IF(D18&lt;=25000,D18,IF(D18&gt;25000,25000,0))</f>
        <v>25000</v>
      </c>
      <c r="F18" s="1932">
        <f t="shared" si="1"/>
        <v>25000</v>
      </c>
      <c r="G18" s="1793">
        <f t="shared" ref="G18:G140" si="3">IF(F18=0,0,D18-F18)</f>
        <v>159633</v>
      </c>
    </row>
    <row r="19" spans="1:8" x14ac:dyDescent="0.25">
      <c r="A19" s="1945" t="s">
        <v>2119</v>
      </c>
      <c r="B19" s="1937" t="s">
        <v>2086</v>
      </c>
      <c r="C19" s="1938" t="s">
        <v>2087</v>
      </c>
      <c r="D19" s="1844">
        <v>93182</v>
      </c>
      <c r="E19" s="1540">
        <f t="shared" si="2"/>
        <v>25000</v>
      </c>
      <c r="F19" s="1932">
        <f t="shared" si="1"/>
        <v>25000</v>
      </c>
      <c r="G19" s="1793">
        <f t="shared" si="3"/>
        <v>68182</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306657</v>
      </c>
      <c r="E141" s="1541">
        <f t="shared" si="0"/>
        <v>25000</v>
      </c>
      <c r="F141" s="1933">
        <f>SUM(F17:F140)</f>
        <v>75000</v>
      </c>
      <c r="G141" s="1795">
        <f>SUM(G17:G140)</f>
        <v>231657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0" t="s">
        <v>1679</v>
      </c>
      <c r="B5" s="2291"/>
      <c r="C5" s="2291"/>
      <c r="D5" s="2291"/>
      <c r="E5" s="2291"/>
      <c r="F5" s="2291"/>
      <c r="G5" s="229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139056</v>
      </c>
      <c r="F10" s="974"/>
      <c r="G10" s="975"/>
      <c r="H10" s="162"/>
      <c r="I10" s="162"/>
    </row>
    <row r="11" spans="1:9" s="668" customFormat="1" ht="22.5" customHeight="1" x14ac:dyDescent="0.2">
      <c r="A11" s="2295" t="s">
        <v>1977</v>
      </c>
      <c r="B11" s="2296"/>
      <c r="C11" s="2296"/>
      <c r="D11" s="2297"/>
      <c r="E11" s="977">
        <v>31192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v>227</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6480351</v>
      </c>
      <c r="F19" s="1799"/>
      <c r="G19" s="1801">
        <f>'Expenditures 15-22'!K33-SUM('Expenditures 15-22'!G33,'Expenditures 15-22'!I33)+'Expenditures 15-22'!D229</f>
        <v>6480351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460694</v>
      </c>
      <c r="F21" s="1802"/>
      <c r="G21" s="1805">
        <f>'Expenditures 15-22'!K42-SUM('Expenditures 15-22'!G42,'Expenditures 15-22'!I42)+'Expenditures 15-22'!K120-SUM('Expenditures 15-22'!G120,'Expenditures 15-22'!I120)+'Expenditures 15-22'!K180-SUM('Expenditures 15-22'!G180,'Expenditures 15-22'!I180)+'Expenditures 15-22'!D238</f>
        <v>460694</v>
      </c>
      <c r="H21" s="987"/>
      <c r="I21" s="162"/>
    </row>
    <row r="22" spans="1:9" s="668" customFormat="1" ht="12" customHeight="1" x14ac:dyDescent="0.2">
      <c r="A22" s="994" t="s">
        <v>564</v>
      </c>
      <c r="B22" s="995"/>
      <c r="C22" s="993">
        <v>2200</v>
      </c>
      <c r="D22" s="1802"/>
      <c r="E22" s="1804">
        <f>'Expenditures 15-22'!K47-SUM('Expenditures 15-22'!G47,'Expenditures 15-22'!I47)+'Expenditures 15-22'!D243</f>
        <v>189406</v>
      </c>
      <c r="F22" s="1802"/>
      <c r="G22" s="1805">
        <f>'Expenditures 15-22'!K47-SUM('Expenditures 15-22'!G47,'Expenditures 15-22'!I47)+'Expenditures 15-22'!D243</f>
        <v>189406</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422772</v>
      </c>
      <c r="F23" s="1802"/>
      <c r="G23" s="1804">
        <f>'Expenditures 15-22'!K53-SUM('Expenditures 15-22'!G53,'Expenditures 15-22'!I53)+'Expenditures 15-22'!D257+'Expenditures 15-22'!K330-SUM('Expenditures 15-22'!G330,'Expenditures 15-22'!I330)</f>
        <v>422772</v>
      </c>
      <c r="H23" s="987"/>
      <c r="I23" s="162"/>
    </row>
    <row r="24" spans="1:9" s="668" customFormat="1" ht="12" customHeight="1" x14ac:dyDescent="0.2">
      <c r="A24" s="994" t="s">
        <v>566</v>
      </c>
      <c r="B24" s="995"/>
      <c r="C24" s="993">
        <v>2400</v>
      </c>
      <c r="D24" s="1802"/>
      <c r="E24" s="1804">
        <f>'Expenditures 15-22'!K57-SUM('Expenditures 15-22'!G57,'Expenditures 15-22'!I57)+'Expenditures 15-22'!D261</f>
        <v>537390</v>
      </c>
      <c r="F24" s="1802"/>
      <c r="G24" s="1805">
        <f>'Expenditures 15-22'!K57-SUM('Expenditures 15-22'!G57,'Expenditures 15-22'!I57)+'Expenditures 15-22'!D261</f>
        <v>537390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100380</v>
      </c>
      <c r="E27" s="1804">
        <f>E8</f>
        <v>0</v>
      </c>
      <c r="F27" s="1804">
        <f>'Expenditures 15-22'!K60-SUM('Expenditures 15-22'!G60,'Expenditures 15-22'!I60)+'Expenditures 15-22'!D264-E8</f>
        <v>100380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842159</v>
      </c>
      <c r="F28" s="1806">
        <f>'Expenditures 15-22'!K61-SUM('Expenditures 15-22'!G61,'Expenditures 15-22'!I61)+'Expenditures 15-22'!K124-SUM('Expenditures 15-22'!G124,'Expenditures 15-22'!I124)+'Expenditures 15-22'!D266-E9</f>
        <v>842159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542995</v>
      </c>
      <c r="F29" s="1802"/>
      <c r="G29" s="1805">
        <f>'Expenditures 15-22'!K62-SUM('Expenditures 15-22'!G62,'Expenditures 15-22'!I62)+'Expenditures 15-22'!K125-SUM('Expenditures 15-22'!G125,'Expenditures 15-22'!I125)+'Expenditures 15-22'!K182-SUM('Expenditures 15-22'!G182,'Expenditures 15-22'!I182)+'Expenditures 15-22'!D267</f>
        <v>542995</v>
      </c>
      <c r="H29" s="985"/>
    </row>
    <row r="30" spans="1:9" ht="12" customHeight="1" x14ac:dyDescent="0.2">
      <c r="A30" s="994" t="s">
        <v>100</v>
      </c>
      <c r="B30" s="997"/>
      <c r="C30" s="993">
        <v>2560</v>
      </c>
      <c r="D30" s="1802"/>
      <c r="E30" s="1804">
        <f>'Expenditures 15-22'!K63-SUM('Expenditures 15-22'!G63,'Expenditures 15-22'!I63)+'Expenditures 15-22'!D268-E10</f>
        <v>184693</v>
      </c>
      <c r="F30" s="1802"/>
      <c r="G30" s="1804">
        <f>'Expenditures 15-22'!K63-SUM('Expenditures 15-22'!G63,'Expenditures 15-22'!I63)+'Expenditures 15-22'!D268-E10</f>
        <v>184693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228</v>
      </c>
      <c r="E37" s="1804">
        <f>E14</f>
        <v>227</v>
      </c>
      <c r="F37" s="1804">
        <f>'Expenditures 15-22'!K71-SUM('Expenditures 15-22'!G71,'Expenditures 15-22'!I71)+'Expenditures 15-22'!D276-E14</f>
        <v>228</v>
      </c>
      <c r="G37" s="1804">
        <f>E14</f>
        <v>227</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475036</v>
      </c>
      <c r="F38" s="1802"/>
      <c r="G38" s="1804">
        <f>'Expenditures 15-22'!K73-SUM('Expenditures 15-22'!G73,'Expenditures 15-22'!I73)+'Expenditures 15-22'!K128-SUM('Expenditures 15-22'!G128,'Expenditures 15-22'!I128)+'Expenditures 15-22'!K183-SUM('Expenditures 15-22'!G183,'Expenditures 15-22'!I183)+'Expenditures 15-22'!D278</f>
        <v>475036</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1719</v>
      </c>
      <c r="F39" s="1802"/>
      <c r="G39" s="1804">
        <f>'Expenditures 15-22'!K75-SUM('Expenditures 15-22'!G75,'Expenditures 15-22'!I75)+'Expenditures 15-22'!K130-SUM('Expenditures 15-22'!G130,'Expenditures 15-22'!I130)+'Expenditures 15-22'!K185-SUM('Expenditures 15-22'!G185,'Expenditures 15-22'!I185)+'Expenditures 15-22'!D280</f>
        <v>1719</v>
      </c>
    </row>
    <row r="40" spans="1:7" ht="12" customHeight="1" x14ac:dyDescent="0.2">
      <c r="A40" s="990" t="s">
        <v>1823</v>
      </c>
      <c r="B40" s="991"/>
      <c r="C40" s="993"/>
      <c r="D40" s="1802"/>
      <c r="E40" s="1806">
        <f>-'Contracts Paid in CY 29'!G141</f>
        <v>-231657</v>
      </c>
      <c r="F40" s="1802"/>
      <c r="G40" s="1806">
        <f>-'Contracts Paid in CY 29'!G141</f>
        <v>-231657</v>
      </c>
    </row>
    <row r="41" spans="1:7" ht="12" customHeight="1" x14ac:dyDescent="0.2">
      <c r="A41" s="998" t="s">
        <v>156</v>
      </c>
      <c r="B41" s="999"/>
      <c r="C41" s="1000"/>
      <c r="D41" s="1806">
        <f>SUM(D19:D39)</f>
        <v>100608</v>
      </c>
      <c r="E41" s="1806">
        <f>SUM(E19:E40)</f>
        <v>9905785</v>
      </c>
      <c r="F41" s="1806">
        <f>SUM(F19:F39)</f>
        <v>942767</v>
      </c>
      <c r="G41" s="1806">
        <f>SUM(G19:G40)</f>
        <v>9063626</v>
      </c>
    </row>
    <row r="42" spans="1:7" x14ac:dyDescent="0.2">
      <c r="A42" s="987"/>
      <c r="B42" s="162"/>
      <c r="C42" s="1001"/>
      <c r="D42" s="2293" t="s">
        <v>522</v>
      </c>
      <c r="E42" s="2294"/>
      <c r="F42" s="1002" t="s">
        <v>523</v>
      </c>
      <c r="G42" s="1003"/>
    </row>
    <row r="43" spans="1:7" ht="12" customHeight="1" x14ac:dyDescent="0.2">
      <c r="A43" s="987"/>
      <c r="B43" s="162"/>
      <c r="C43" s="1001"/>
      <c r="D43" s="1807" t="s">
        <v>473</v>
      </c>
      <c r="E43" s="1808">
        <f>D41</f>
        <v>100608</v>
      </c>
      <c r="F43" s="1807" t="s">
        <v>473</v>
      </c>
      <c r="G43" s="1808">
        <f>F41</f>
        <v>942767</v>
      </c>
    </row>
    <row r="44" spans="1:7" ht="12" customHeight="1" x14ac:dyDescent="0.2">
      <c r="A44" s="987"/>
      <c r="B44" s="162"/>
      <c r="C44" s="1001"/>
      <c r="D44" s="1807" t="s">
        <v>474</v>
      </c>
      <c r="E44" s="1808">
        <f>E41</f>
        <v>9905785</v>
      </c>
      <c r="F44" s="1807" t="s">
        <v>474</v>
      </c>
      <c r="G44" s="1808">
        <f>G41</f>
        <v>9063626</v>
      </c>
    </row>
    <row r="45" spans="1:7" ht="12" customHeight="1" x14ac:dyDescent="0.2">
      <c r="A45" s="987"/>
      <c r="B45" s="162"/>
      <c r="C45" s="162"/>
      <c r="D45" s="1809" t="s">
        <v>1006</v>
      </c>
      <c r="E45" s="1810">
        <f>(E43/E44)</f>
        <v>1.0156489364548089E-2</v>
      </c>
      <c r="F45" s="1809" t="s">
        <v>1006</v>
      </c>
      <c r="G45" s="1810">
        <f>(G43/G44)</f>
        <v>0.10401653819343384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8" activePane="bottomLeft" state="frozen"/>
      <selection activeCell="A47" sqref="A47"/>
      <selection pane="bottomLeft" activeCell="D29" sqref="D2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2" t="s">
        <v>1379</v>
      </c>
      <c r="B1" s="2312"/>
      <c r="C1" s="2312"/>
      <c r="D1" s="2312"/>
      <c r="E1" s="2312"/>
      <c r="F1" s="231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13" t="s">
        <v>1546</v>
      </c>
      <c r="B5" s="2314"/>
      <c r="C5" s="2315"/>
      <c r="D5" s="2315"/>
      <c r="E5" s="2315"/>
      <c r="F5" s="2315"/>
    </row>
    <row r="6" spans="1:10" ht="12" customHeight="1" x14ac:dyDescent="0.25">
      <c r="A6" s="1850"/>
      <c r="B6" s="1851"/>
      <c r="C6" s="2316" t="str">
        <f>COVER!A17</f>
        <v>Galena USD 120</v>
      </c>
      <c r="D6" s="2316"/>
      <c r="E6" s="2316"/>
      <c r="F6" s="1852"/>
    </row>
    <row r="7" spans="1:10" ht="11.25" customHeight="1" thickBot="1" x14ac:dyDescent="0.3">
      <c r="A7" s="1850"/>
      <c r="B7" s="1851"/>
      <c r="C7" s="2317">
        <f>COVER!A13</f>
        <v>8043120022</v>
      </c>
      <c r="D7" s="2317"/>
      <c r="E7" s="231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t="s">
        <v>2073</v>
      </c>
      <c r="D11" s="1865" t="s">
        <v>2073</v>
      </c>
      <c r="E11" s="1866" t="s">
        <v>2073</v>
      </c>
      <c r="F11" s="1867" t="s">
        <v>2089</v>
      </c>
      <c r="H11" s="1878">
        <f>IF(C11="X",5,0)</f>
        <v>5</v>
      </c>
      <c r="I11" s="1878">
        <f>IF(D11="X",5,0)</f>
        <v>5</v>
      </c>
      <c r="J11" s="1878">
        <f>IF(E11="X",5,0)</f>
        <v>5</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2073</v>
      </c>
      <c r="D19" s="1865" t="s">
        <v>2073</v>
      </c>
      <c r="E19" s="1868" t="s">
        <v>2073</v>
      </c>
      <c r="F19" s="1867" t="s">
        <v>2090</v>
      </c>
      <c r="H19" s="1878">
        <f t="shared" si="0"/>
        <v>5</v>
      </c>
      <c r="I19" s="1878">
        <f t="shared" si="1"/>
        <v>5</v>
      </c>
      <c r="J19" s="1878">
        <f t="shared" si="2"/>
        <v>5</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t="s">
        <v>2073</v>
      </c>
      <c r="D21" s="1865" t="s">
        <v>2073</v>
      </c>
      <c r="E21" s="1868" t="s">
        <v>2073</v>
      </c>
      <c r="F21" s="1867" t="s">
        <v>2091</v>
      </c>
      <c r="H21" s="1878">
        <f t="shared" si="0"/>
        <v>5</v>
      </c>
      <c r="I21" s="1878">
        <f t="shared" si="1"/>
        <v>5</v>
      </c>
      <c r="J21" s="1878">
        <f t="shared" si="2"/>
        <v>5</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t="s">
        <v>2073</v>
      </c>
      <c r="D23" s="1865" t="s">
        <v>2073</v>
      </c>
      <c r="E23" s="1868" t="s">
        <v>2073</v>
      </c>
      <c r="F23" s="1867" t="s">
        <v>2120</v>
      </c>
      <c r="H23" s="1878">
        <f t="shared" si="0"/>
        <v>5</v>
      </c>
      <c r="I23" s="1878">
        <f t="shared" si="1"/>
        <v>5</v>
      </c>
      <c r="J23" s="1878">
        <f t="shared" si="2"/>
        <v>5</v>
      </c>
    </row>
    <row r="24" spans="1:12" ht="12" customHeight="1" x14ac:dyDescent="0.2">
      <c r="A24" s="1863" t="s">
        <v>1532</v>
      </c>
      <c r="B24" s="1864"/>
      <c r="C24" s="1865" t="s">
        <v>2073</v>
      </c>
      <c r="D24" s="1865" t="s">
        <v>2073</v>
      </c>
      <c r="E24" s="1868" t="s">
        <v>2073</v>
      </c>
      <c r="F24" s="1867" t="s">
        <v>2092</v>
      </c>
      <c r="H24" s="1878">
        <f t="shared" si="0"/>
        <v>5</v>
      </c>
      <c r="I24" s="1878">
        <f t="shared" si="1"/>
        <v>5</v>
      </c>
      <c r="J24" s="1878">
        <f t="shared" si="2"/>
        <v>5</v>
      </c>
    </row>
    <row r="25" spans="1:12" ht="12" customHeight="1" x14ac:dyDescent="0.2">
      <c r="A25" s="1863" t="s">
        <v>1533</v>
      </c>
      <c r="B25" s="1864"/>
      <c r="C25" s="1865" t="s">
        <v>2073</v>
      </c>
      <c r="D25" s="1865" t="s">
        <v>2073</v>
      </c>
      <c r="E25" s="1868" t="s">
        <v>2073</v>
      </c>
      <c r="F25" s="1867" t="s">
        <v>2093</v>
      </c>
      <c r="H25" s="1878">
        <f t="shared" si="0"/>
        <v>5</v>
      </c>
      <c r="I25" s="1878">
        <f t="shared" si="1"/>
        <v>5</v>
      </c>
      <c r="J25" s="1878">
        <f t="shared" si="2"/>
        <v>5</v>
      </c>
    </row>
    <row r="26" spans="1:12" ht="12" customHeight="1" x14ac:dyDescent="0.2">
      <c r="A26" s="1863" t="s">
        <v>1534</v>
      </c>
      <c r="B26" s="1864"/>
      <c r="C26" s="1865" t="s">
        <v>2073</v>
      </c>
      <c r="D26" s="1865" t="s">
        <v>2073</v>
      </c>
      <c r="E26" s="1868" t="s">
        <v>2073</v>
      </c>
      <c r="F26" s="1867" t="s">
        <v>2094</v>
      </c>
      <c r="H26" s="1878">
        <f t="shared" si="0"/>
        <v>5</v>
      </c>
      <c r="I26" s="1878">
        <f t="shared" si="1"/>
        <v>5</v>
      </c>
      <c r="J26" s="1878">
        <f t="shared" si="2"/>
        <v>5</v>
      </c>
    </row>
    <row r="27" spans="1:12" ht="18.75" x14ac:dyDescent="0.2">
      <c r="A27" s="1863" t="s">
        <v>1535</v>
      </c>
      <c r="B27" s="1864"/>
      <c r="C27" s="1865" t="s">
        <v>2073</v>
      </c>
      <c r="D27" s="1865" t="s">
        <v>2073</v>
      </c>
      <c r="E27" s="1868" t="s">
        <v>2073</v>
      </c>
      <c r="F27" s="1867" t="s">
        <v>2095</v>
      </c>
      <c r="H27" s="1878">
        <f t="shared" si="0"/>
        <v>5</v>
      </c>
      <c r="I27" s="1878">
        <f t="shared" si="1"/>
        <v>5</v>
      </c>
      <c r="J27" s="1878">
        <f t="shared" si="2"/>
        <v>5</v>
      </c>
    </row>
    <row r="28" spans="1:12" ht="12" customHeight="1" x14ac:dyDescent="0.2">
      <c r="A28" s="1863" t="s">
        <v>1536</v>
      </c>
      <c r="B28" s="1864"/>
      <c r="C28" s="1865" t="s">
        <v>2073</v>
      </c>
      <c r="D28" s="1865" t="s">
        <v>2073</v>
      </c>
      <c r="E28" s="1868" t="s">
        <v>2073</v>
      </c>
      <c r="F28" s="1867" t="s">
        <v>2098</v>
      </c>
      <c r="H28" s="1878">
        <f t="shared" si="0"/>
        <v>5</v>
      </c>
      <c r="I28" s="1878">
        <f t="shared" si="1"/>
        <v>5</v>
      </c>
      <c r="J28" s="1878">
        <f t="shared" si="2"/>
        <v>5</v>
      </c>
    </row>
    <row r="29" spans="1:12" ht="12" customHeight="1" x14ac:dyDescent="0.2">
      <c r="A29" s="1863" t="s">
        <v>1537</v>
      </c>
      <c r="B29" s="1864"/>
      <c r="C29" s="1865" t="s">
        <v>2073</v>
      </c>
      <c r="D29" s="1865" t="s">
        <v>2073</v>
      </c>
      <c r="E29" s="1868" t="s">
        <v>2073</v>
      </c>
      <c r="F29" s="1867" t="s">
        <v>2121</v>
      </c>
      <c r="H29" s="1878">
        <f t="shared" si="0"/>
        <v>5</v>
      </c>
      <c r="I29" s="1878">
        <f t="shared" si="1"/>
        <v>5</v>
      </c>
      <c r="J29" s="1878">
        <f t="shared" si="2"/>
        <v>5</v>
      </c>
    </row>
    <row r="30" spans="1:12" ht="12" customHeight="1" x14ac:dyDescent="0.2">
      <c r="A30" s="1863" t="s">
        <v>1538</v>
      </c>
      <c r="B30" s="1864"/>
      <c r="C30" s="1865" t="s">
        <v>2073</v>
      </c>
      <c r="D30" s="1865" t="s">
        <v>2073</v>
      </c>
      <c r="E30" s="1868" t="s">
        <v>2073</v>
      </c>
      <c r="F30" s="1867" t="s">
        <v>2096</v>
      </c>
      <c r="H30" s="1878">
        <f t="shared" si="0"/>
        <v>5</v>
      </c>
      <c r="I30" s="1878">
        <f t="shared" si="1"/>
        <v>5</v>
      </c>
      <c r="J30" s="1878">
        <f t="shared" si="2"/>
        <v>5</v>
      </c>
    </row>
    <row r="31" spans="1:12" ht="12" customHeight="1" x14ac:dyDescent="0.2">
      <c r="A31" s="1863" t="s">
        <v>1539</v>
      </c>
      <c r="B31" s="1864"/>
      <c r="C31" s="1865" t="s">
        <v>2073</v>
      </c>
      <c r="D31" s="1865" t="s">
        <v>2073</v>
      </c>
      <c r="E31" s="1868" t="s">
        <v>2073</v>
      </c>
      <c r="F31" s="1867" t="s">
        <v>2097</v>
      </c>
      <c r="H31" s="1878">
        <f t="shared" si="0"/>
        <v>5</v>
      </c>
      <c r="I31" s="1878">
        <f t="shared" si="1"/>
        <v>5</v>
      </c>
      <c r="J31" s="1878">
        <f t="shared" si="2"/>
        <v>5</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60</v>
      </c>
      <c r="I34" s="1878">
        <f>SUM(I11:I32)</f>
        <v>60</v>
      </c>
      <c r="J34" s="1878">
        <f>SUM(J11:J32)</f>
        <v>60</v>
      </c>
      <c r="K34" s="1878">
        <f>SUM(H34:J34)</f>
        <v>180</v>
      </c>
    </row>
    <row r="35" spans="1:11" ht="12" customHeight="1" x14ac:dyDescent="0.2">
      <c r="A35" s="1871" t="s">
        <v>1392</v>
      </c>
      <c r="B35" s="1872"/>
      <c r="C35" s="2318"/>
      <c r="D35" s="2318"/>
      <c r="E35" s="2318"/>
      <c r="F35" s="2319"/>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04"/>
      <c r="B38" s="2305"/>
      <c r="C38" s="2305"/>
      <c r="D38" s="2305"/>
      <c r="E38" s="2305"/>
      <c r="F38" s="2306"/>
    </row>
    <row r="39" spans="1:11" ht="4.5" hidden="1" customHeight="1" x14ac:dyDescent="0.2">
      <c r="A39" s="1873"/>
      <c r="B39" s="1873"/>
      <c r="C39" s="1873"/>
      <c r="D39" s="1873"/>
      <c r="E39" s="1873"/>
      <c r="F39" s="1873"/>
    </row>
    <row r="40" spans="1:11" s="1870" customFormat="1" ht="12" customHeight="1" x14ac:dyDescent="0.25">
      <c r="A40" s="1874" t="s">
        <v>1391</v>
      </c>
      <c r="B40" s="1875"/>
      <c r="C40" s="2307"/>
      <c r="D40" s="2307"/>
      <c r="E40" s="2307"/>
      <c r="F40" s="2308"/>
      <c r="H40" s="1879"/>
      <c r="I40" s="1879"/>
      <c r="J40" s="1879"/>
      <c r="K40" s="1879"/>
    </row>
    <row r="41" spans="1:11" s="1870" customFormat="1" ht="12" customHeight="1" x14ac:dyDescent="0.25">
      <c r="A41" s="2309"/>
      <c r="B41" s="2310"/>
      <c r="C41" s="2310"/>
      <c r="D41" s="2310"/>
      <c r="E41" s="2310"/>
      <c r="F41" s="2311"/>
      <c r="H41" s="1879"/>
      <c r="I41" s="1879"/>
      <c r="J41" s="1879"/>
      <c r="K41" s="1879"/>
    </row>
    <row r="42" spans="1:11" s="1870" customFormat="1" ht="12" customHeight="1" x14ac:dyDescent="0.25">
      <c r="A42" s="2309"/>
      <c r="B42" s="2310"/>
      <c r="C42" s="2310"/>
      <c r="D42" s="2310"/>
      <c r="E42" s="2310"/>
      <c r="F42" s="2311"/>
      <c r="H42" s="1879"/>
      <c r="I42" s="1879"/>
      <c r="J42" s="1879"/>
      <c r="K42" s="1879"/>
    </row>
    <row r="43" spans="1:11" s="1870" customFormat="1" ht="15" x14ac:dyDescent="0.25">
      <c r="A43" s="2298"/>
      <c r="B43" s="2299"/>
      <c r="C43" s="2299"/>
      <c r="D43" s="2299"/>
      <c r="E43" s="2299"/>
      <c r="F43" s="2300"/>
      <c r="H43" s="1879"/>
      <c r="I43" s="1879"/>
      <c r="J43" s="1879"/>
      <c r="K43" s="1879"/>
    </row>
    <row r="44" spans="1:11" s="1870" customFormat="1" ht="12" hidden="1" customHeight="1" x14ac:dyDescent="0.25">
      <c r="A44" s="2298"/>
      <c r="B44" s="2299"/>
      <c r="C44" s="2299"/>
      <c r="D44" s="2299"/>
      <c r="E44" s="2299"/>
      <c r="F44" s="230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5" t="str">
        <f>COVER!A17</f>
        <v>Galena USD 120</v>
      </c>
      <c r="J6" s="2326"/>
      <c r="Q6" s="1664"/>
    </row>
    <row r="7" spans="1:17" x14ac:dyDescent="0.2">
      <c r="A7" s="2327" t="s">
        <v>869</v>
      </c>
      <c r="B7" s="2328"/>
      <c r="C7" s="2328"/>
      <c r="D7" s="2328"/>
      <c r="E7" s="2329"/>
      <c r="F7" s="1017"/>
      <c r="G7" s="1009"/>
      <c r="H7" s="1016" t="s">
        <v>372</v>
      </c>
      <c r="I7" s="2330">
        <f>COVER!A13</f>
        <v>8043120022</v>
      </c>
      <c r="J7" s="233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1" t="s">
        <v>481</v>
      </c>
      <c r="B11" s="2332"/>
      <c r="C11" s="233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243654</v>
      </c>
      <c r="F12" s="1039"/>
      <c r="G12" s="1811">
        <f t="shared" ref="G12:G18" si="0">SUM(E12:F12)</f>
        <v>243654</v>
      </c>
      <c r="H12" s="1040">
        <v>246820</v>
      </c>
      <c r="I12" s="1039"/>
      <c r="J12" s="1811">
        <f t="shared" ref="J12:J18" si="1">SUM(H12:I12)</f>
        <v>246820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4" t="s">
        <v>7</v>
      </c>
      <c r="C18" s="2335"/>
      <c r="D18" s="233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243654</v>
      </c>
      <c r="F19" s="1813">
        <f t="shared" si="2"/>
        <v>0</v>
      </c>
      <c r="G19" s="1813">
        <f t="shared" si="2"/>
        <v>243654</v>
      </c>
      <c r="H19" s="1813">
        <f t="shared" si="2"/>
        <v>246820</v>
      </c>
      <c r="I19" s="1813">
        <f t="shared" si="2"/>
        <v>0</v>
      </c>
      <c r="J19" s="1813">
        <f t="shared" si="2"/>
        <v>246820</v>
      </c>
    </row>
    <row r="20" spans="1:10" ht="13.5" thickTop="1" x14ac:dyDescent="0.2">
      <c r="A20" s="1035">
        <v>9</v>
      </c>
      <c r="B20" s="2337" t="s">
        <v>1981</v>
      </c>
      <c r="C20" s="2337"/>
      <c r="D20" s="2338"/>
      <c r="E20" s="1046"/>
      <c r="F20" s="1046"/>
      <c r="G20" s="1046"/>
      <c r="H20" s="1046"/>
      <c r="I20" s="1046"/>
      <c r="J20" s="1814">
        <f>IF(AND(G19&gt;0,J19&gt;0),(((J19-G19)/G19)),"Enter Budget Data")</f>
        <v>1.2993835520861549E-2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43"/>
      <c r="D26" s="2343"/>
      <c r="E26" s="1050"/>
      <c r="F26" s="2342"/>
      <c r="G26" s="2342"/>
    </row>
    <row r="27" spans="1:10" x14ac:dyDescent="0.2">
      <c r="B27" s="1047"/>
      <c r="C27" s="1051" t="s">
        <v>1033</v>
      </c>
      <c r="D27" s="1052"/>
      <c r="E27" s="1053"/>
      <c r="F27" s="2339" t="s">
        <v>1509</v>
      </c>
      <c r="G27" s="2339"/>
    </row>
    <row r="28" spans="1:10" ht="28.5" customHeight="1" x14ac:dyDescent="0.2">
      <c r="B28" s="1047"/>
      <c r="C28" s="2341"/>
      <c r="D28" s="2341"/>
      <c r="E28" s="1054"/>
      <c r="F28" s="2341"/>
      <c r="G28" s="2341"/>
    </row>
    <row r="29" spans="1:10" x14ac:dyDescent="0.2">
      <c r="B29" s="1047"/>
      <c r="C29" s="1055" t="s">
        <v>1561</v>
      </c>
      <c r="E29" s="1056"/>
      <c r="F29" s="2340" t="s">
        <v>1510</v>
      </c>
      <c r="G29" s="234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2"/>
    </row>
    <row r="36" spans="1:10" ht="13.5" customHeight="1" x14ac:dyDescent="0.2">
      <c r="B36" s="1061"/>
      <c r="C36" s="2324" t="s">
        <v>1983</v>
      </c>
      <c r="D36" s="2323"/>
      <c r="E36" s="2323"/>
      <c r="F36" s="2323"/>
      <c r="G36" s="2323"/>
      <c r="H36" s="2323"/>
      <c r="I36" s="2323"/>
      <c r="J36" s="1063"/>
    </row>
    <row r="37" spans="1:10" ht="22.5" customHeight="1" x14ac:dyDescent="0.2">
      <c r="C37" s="2323"/>
      <c r="D37" s="2323"/>
      <c r="E37" s="2323"/>
      <c r="F37" s="2323"/>
      <c r="G37" s="2323"/>
      <c r="H37" s="2323"/>
      <c r="I37" s="2323"/>
      <c r="J37" s="1063"/>
    </row>
    <row r="38" spans="1:10" ht="7.5" customHeight="1" x14ac:dyDescent="0.2">
      <c r="C38" s="1062"/>
      <c r="D38" s="1064"/>
      <c r="E38" s="1065"/>
      <c r="F38" s="1066"/>
      <c r="G38" s="1065"/>
    </row>
    <row r="39" spans="1:10" ht="13.5" customHeight="1" x14ac:dyDescent="0.2">
      <c r="B39" s="1061"/>
      <c r="C39" s="2320" t="s">
        <v>882</v>
      </c>
      <c r="D39" s="2321"/>
      <c r="E39" s="2321"/>
      <c r="F39" s="2321"/>
      <c r="G39" s="2321"/>
      <c r="H39" s="2321"/>
      <c r="I39" s="232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G63"/>
  <sheetViews>
    <sheetView showGridLines="0" topLeftCell="A19" zoomScale="110" zoomScaleNormal="110" workbookViewId="0">
      <selection activeCell="E26" sqref="E26"/>
    </sheetView>
  </sheetViews>
  <sheetFormatPr defaultRowHeight="12.75" x14ac:dyDescent="0.2"/>
  <cols>
    <col min="1" max="1" width="3" style="329" customWidth="1"/>
    <col min="2" max="5" width="11.7109375" style="329" customWidth="1"/>
    <col min="6" max="6" width="32.7109375" style="329" customWidth="1"/>
    <col min="7" max="7" width="11.7109375" style="1941" customWidth="1"/>
    <col min="8" max="16384" width="9.140625" style="329"/>
  </cols>
  <sheetData>
    <row r="2" spans="1:7" x14ac:dyDescent="0.2">
      <c r="A2" s="389" t="s">
        <v>258</v>
      </c>
    </row>
    <row r="3" spans="1:7" x14ac:dyDescent="0.2">
      <c r="A3" s="329" t="s">
        <v>259</v>
      </c>
    </row>
    <row r="5" spans="1:7" x14ac:dyDescent="0.2">
      <c r="A5" s="1068"/>
      <c r="B5" s="1940" t="s">
        <v>2102</v>
      </c>
      <c r="C5" s="1940" t="s">
        <v>2103</v>
      </c>
      <c r="D5" s="1940" t="s">
        <v>1077</v>
      </c>
      <c r="E5" s="1940" t="s">
        <v>2104</v>
      </c>
      <c r="F5" s="1940" t="s">
        <v>481</v>
      </c>
      <c r="G5" s="1942" t="s">
        <v>865</v>
      </c>
    </row>
    <row r="6" spans="1:7" x14ac:dyDescent="0.2">
      <c r="A6" s="1068"/>
      <c r="B6" s="1939"/>
      <c r="C6" s="1939"/>
      <c r="D6" s="1939"/>
      <c r="E6" s="1939"/>
      <c r="F6" s="1939"/>
      <c r="G6" s="1943"/>
    </row>
    <row r="7" spans="1:7" ht="13.5" thickBot="1" x14ac:dyDescent="0.25">
      <c r="A7" s="1068"/>
      <c r="B7" s="1939">
        <v>1614</v>
      </c>
      <c r="C7" s="1939">
        <v>10</v>
      </c>
      <c r="D7" s="1939">
        <v>10</v>
      </c>
      <c r="E7" s="1939">
        <v>72</v>
      </c>
      <c r="F7" s="329" t="s">
        <v>2105</v>
      </c>
      <c r="G7" s="1944">
        <v>13062</v>
      </c>
    </row>
    <row r="8" spans="1:7" ht="13.5" thickTop="1" x14ac:dyDescent="0.2">
      <c r="A8" s="1068"/>
      <c r="B8" s="1939"/>
      <c r="C8" s="1939"/>
      <c r="D8" s="1939"/>
      <c r="E8" s="1939"/>
    </row>
    <row r="9" spans="1:7" ht="13.5" thickBot="1" x14ac:dyDescent="0.25">
      <c r="A9" s="1068"/>
      <c r="B9" s="1939">
        <v>1790</v>
      </c>
      <c r="C9" s="1939">
        <v>10</v>
      </c>
      <c r="D9" s="1939">
        <v>10</v>
      </c>
      <c r="E9" s="1939">
        <v>81</v>
      </c>
      <c r="F9" s="329" t="s">
        <v>2106</v>
      </c>
      <c r="G9" s="1944">
        <v>4770</v>
      </c>
    </row>
    <row r="10" spans="1:7" ht="13.5" thickTop="1" x14ac:dyDescent="0.2">
      <c r="A10" s="1069"/>
      <c r="B10" s="1939"/>
      <c r="C10" s="1939"/>
      <c r="D10" s="1939"/>
      <c r="E10" s="1939"/>
    </row>
    <row r="11" spans="1:7" ht="13.5" thickBot="1" x14ac:dyDescent="0.25">
      <c r="A11" s="1069"/>
      <c r="B11" s="1939">
        <v>1829</v>
      </c>
      <c r="C11" s="1939">
        <v>10</v>
      </c>
      <c r="D11" s="1939">
        <v>10</v>
      </c>
      <c r="E11" s="1939">
        <v>91</v>
      </c>
      <c r="F11" s="329" t="s">
        <v>2107</v>
      </c>
      <c r="G11" s="1944">
        <v>3859</v>
      </c>
    </row>
    <row r="12" spans="1:7" ht="13.5" thickTop="1" x14ac:dyDescent="0.2">
      <c r="A12" s="1069"/>
      <c r="B12" s="1939"/>
      <c r="C12" s="1939"/>
      <c r="D12" s="1939"/>
      <c r="E12" s="1939"/>
    </row>
    <row r="13" spans="1:7" ht="13.5" thickBot="1" x14ac:dyDescent="0.25">
      <c r="A13" s="1069"/>
      <c r="B13" s="1939">
        <v>1993</v>
      </c>
      <c r="C13" s="1939">
        <v>10</v>
      </c>
      <c r="D13" s="1939">
        <v>10</v>
      </c>
      <c r="E13" s="1939">
        <v>106</v>
      </c>
      <c r="F13" s="329" t="s">
        <v>2108</v>
      </c>
      <c r="G13" s="1944">
        <v>2482</v>
      </c>
    </row>
    <row r="14" spans="1:7" ht="13.5" thickTop="1" x14ac:dyDescent="0.2">
      <c r="A14" s="1069"/>
      <c r="B14" s="1939"/>
      <c r="C14" s="1939"/>
      <c r="D14" s="1939"/>
      <c r="E14" s="1939"/>
    </row>
    <row r="15" spans="1:7" x14ac:dyDescent="0.2">
      <c r="A15" s="1069"/>
      <c r="B15" s="1939">
        <v>1999</v>
      </c>
      <c r="C15" s="1939">
        <v>10</v>
      </c>
      <c r="D15" s="1939">
        <v>10</v>
      </c>
      <c r="E15" s="1939">
        <v>107</v>
      </c>
      <c r="F15" s="329" t="s">
        <v>2123</v>
      </c>
      <c r="G15" s="1941">
        <v>229</v>
      </c>
    </row>
    <row r="16" spans="1:7" x14ac:dyDescent="0.2">
      <c r="A16" s="1069"/>
      <c r="B16" s="1939"/>
      <c r="C16" s="1939"/>
      <c r="D16" s="1939"/>
      <c r="E16" s="1939"/>
      <c r="F16" s="329" t="s">
        <v>2122</v>
      </c>
      <c r="G16" s="1948">
        <v>16649</v>
      </c>
    </row>
    <row r="17" spans="1:7" ht="13.5" thickBot="1" x14ac:dyDescent="0.25">
      <c r="A17" s="1069"/>
      <c r="B17" s="1939"/>
      <c r="C17" s="1939"/>
      <c r="D17" s="1939"/>
      <c r="E17" s="1939"/>
      <c r="G17" s="1947">
        <f>SUM(G15+G16)</f>
        <v>16878</v>
      </c>
    </row>
    <row r="18" spans="1:7" ht="13.5" thickTop="1" x14ac:dyDescent="0.2">
      <c r="A18" s="1069"/>
      <c r="B18" s="1939"/>
      <c r="C18" s="1939"/>
      <c r="D18" s="1939"/>
      <c r="E18" s="1939"/>
    </row>
    <row r="19" spans="1:7" x14ac:dyDescent="0.2">
      <c r="A19" s="1069"/>
      <c r="B19" s="1939">
        <v>1999</v>
      </c>
      <c r="C19" s="1939">
        <v>10</v>
      </c>
      <c r="D19" s="1939">
        <v>20</v>
      </c>
      <c r="E19" s="1939">
        <v>107</v>
      </c>
      <c r="F19" s="329" t="s">
        <v>2115</v>
      </c>
      <c r="G19" s="1941">
        <v>4135</v>
      </c>
    </row>
    <row r="20" spans="1:7" x14ac:dyDescent="0.2">
      <c r="A20" s="1069"/>
      <c r="B20" s="1939"/>
      <c r="C20" s="1939"/>
      <c r="D20" s="1939"/>
      <c r="E20" s="1939"/>
      <c r="F20" s="329" t="s">
        <v>2124</v>
      </c>
      <c r="G20" s="1948">
        <v>1533</v>
      </c>
    </row>
    <row r="21" spans="1:7" ht="13.5" thickBot="1" x14ac:dyDescent="0.25">
      <c r="A21" s="1069"/>
      <c r="B21" s="1939"/>
      <c r="C21" s="1939"/>
      <c r="D21" s="1939"/>
      <c r="E21" s="1939"/>
      <c r="G21" s="1947">
        <f>SUM(G19+G20)</f>
        <v>5668</v>
      </c>
    </row>
    <row r="22" spans="1:7" ht="13.5" thickTop="1" x14ac:dyDescent="0.2">
      <c r="A22" s="1069"/>
      <c r="B22" s="1939"/>
      <c r="C22" s="1939"/>
      <c r="D22" s="1939"/>
      <c r="E22" s="1939"/>
    </row>
    <row r="23" spans="1:7" ht="13.5" thickBot="1" x14ac:dyDescent="0.25">
      <c r="A23" s="1069"/>
      <c r="B23" s="1939">
        <v>1999</v>
      </c>
      <c r="C23" s="1939">
        <v>10</v>
      </c>
      <c r="D23" s="1939">
        <v>60</v>
      </c>
      <c r="E23" s="1939">
        <v>107</v>
      </c>
      <c r="F23" s="329" t="s">
        <v>2125</v>
      </c>
      <c r="G23" s="1944">
        <v>1500</v>
      </c>
    </row>
    <row r="24" spans="1:7" ht="13.5" thickTop="1" x14ac:dyDescent="0.2">
      <c r="A24" s="1069"/>
      <c r="B24" s="1939"/>
      <c r="C24" s="1939"/>
      <c r="D24" s="1939"/>
      <c r="E24" s="1939"/>
    </row>
    <row r="25" spans="1:7" ht="13.5" thickBot="1" x14ac:dyDescent="0.25">
      <c r="A25" s="1069"/>
      <c r="B25" s="1939">
        <v>3999</v>
      </c>
      <c r="C25" s="1939">
        <v>12</v>
      </c>
      <c r="D25" s="1939">
        <v>10</v>
      </c>
      <c r="E25" s="1939">
        <v>168</v>
      </c>
      <c r="F25" s="329" t="s">
        <v>2109</v>
      </c>
      <c r="G25" s="1944">
        <v>1614</v>
      </c>
    </row>
    <row r="26" spans="1:7" ht="13.5" thickTop="1" x14ac:dyDescent="0.2">
      <c r="A26" s="1069"/>
      <c r="B26" s="1939"/>
      <c r="C26" s="1939"/>
      <c r="D26" s="1939"/>
      <c r="E26" s="1939"/>
    </row>
    <row r="27" spans="1:7" ht="13.5" thickBot="1" x14ac:dyDescent="0.25">
      <c r="A27" s="1069"/>
      <c r="B27" s="1939">
        <v>2190</v>
      </c>
      <c r="C27" s="1939">
        <v>15</v>
      </c>
      <c r="D27" s="1939">
        <v>10</v>
      </c>
      <c r="E27" s="1939">
        <v>41</v>
      </c>
      <c r="F27" s="329" t="s">
        <v>2110</v>
      </c>
      <c r="G27" s="1944">
        <v>5387</v>
      </c>
    </row>
    <row r="28" spans="1:7" ht="13.5" thickTop="1" x14ac:dyDescent="0.2">
      <c r="A28" s="1069"/>
      <c r="B28" s="1939"/>
      <c r="C28" s="1939"/>
      <c r="D28" s="1939"/>
      <c r="E28" s="1939"/>
    </row>
    <row r="29" spans="1:7" ht="13.5" thickBot="1" x14ac:dyDescent="0.25">
      <c r="A29" s="1069"/>
      <c r="B29" s="1939">
        <v>2900</v>
      </c>
      <c r="C29" s="1939">
        <v>16</v>
      </c>
      <c r="D29" s="1939">
        <v>10</v>
      </c>
      <c r="E29" s="1939">
        <v>73</v>
      </c>
      <c r="F29" s="329" t="s">
        <v>2114</v>
      </c>
      <c r="G29" s="1944">
        <v>488326</v>
      </c>
    </row>
    <row r="30" spans="1:7" ht="13.5" thickTop="1" x14ac:dyDescent="0.2">
      <c r="A30" s="1069"/>
      <c r="B30" s="1939"/>
      <c r="C30" s="1939"/>
      <c r="D30" s="1939"/>
      <c r="E30" s="1939"/>
    </row>
    <row r="31" spans="1:7" ht="13.5" thickBot="1" x14ac:dyDescent="0.25">
      <c r="A31" s="1069"/>
      <c r="B31" s="1939">
        <v>4190</v>
      </c>
      <c r="C31" s="1939">
        <v>16</v>
      </c>
      <c r="D31" s="1939">
        <v>10</v>
      </c>
      <c r="E31" s="1939">
        <v>83</v>
      </c>
      <c r="F31" s="329" t="s">
        <v>2111</v>
      </c>
      <c r="G31" s="1944">
        <v>1368</v>
      </c>
    </row>
    <row r="32" spans="1:7" ht="13.5" thickTop="1" x14ac:dyDescent="0.2">
      <c r="A32" s="1069"/>
      <c r="B32" s="1939"/>
      <c r="C32" s="1939"/>
      <c r="D32" s="1939"/>
      <c r="E32" s="1939"/>
    </row>
    <row r="33" spans="1:7" ht="13.5" thickBot="1" x14ac:dyDescent="0.25">
      <c r="A33" s="1069"/>
      <c r="B33" s="1939">
        <v>2190</v>
      </c>
      <c r="C33" s="1939">
        <v>19</v>
      </c>
      <c r="D33" s="1939">
        <v>50</v>
      </c>
      <c r="E33" s="1939">
        <v>237</v>
      </c>
      <c r="F33" s="329" t="s">
        <v>2112</v>
      </c>
      <c r="G33" s="1944">
        <v>972</v>
      </c>
    </row>
    <row r="34" spans="1:7" ht="13.5" thickTop="1" x14ac:dyDescent="0.2">
      <c r="A34" s="1069"/>
      <c r="B34" s="1939"/>
      <c r="C34" s="1939"/>
      <c r="D34" s="1939"/>
      <c r="E34" s="1939"/>
    </row>
    <row r="35" spans="1:7" ht="13.5" thickBot="1" x14ac:dyDescent="0.25">
      <c r="A35" s="1069"/>
      <c r="B35" s="1939">
        <v>2900</v>
      </c>
      <c r="C35" s="1939">
        <v>20</v>
      </c>
      <c r="D35" s="1939">
        <v>50</v>
      </c>
      <c r="E35" s="1939">
        <v>278</v>
      </c>
      <c r="F35" s="329" t="s">
        <v>2113</v>
      </c>
      <c r="G35" s="1944">
        <v>11223</v>
      </c>
    </row>
    <row r="36" spans="1:7" ht="13.5" thickTop="1" x14ac:dyDescent="0.2">
      <c r="A36" s="1069"/>
    </row>
    <row r="37" spans="1:7" x14ac:dyDescent="0.2">
      <c r="A37" s="1069"/>
    </row>
    <row r="38" spans="1:7" x14ac:dyDescent="0.2">
      <c r="A38" s="1069"/>
    </row>
    <row r="39" spans="1:7" x14ac:dyDescent="0.2">
      <c r="A39" s="1069"/>
    </row>
    <row r="40" spans="1:7" x14ac:dyDescent="0.2">
      <c r="A40" s="1069"/>
    </row>
    <row r="41" spans="1:7" x14ac:dyDescent="0.2">
      <c r="A41" s="1069"/>
    </row>
    <row r="42" spans="1:7" x14ac:dyDescent="0.2">
      <c r="A42" s="1069"/>
    </row>
    <row r="43" spans="1:7" x14ac:dyDescent="0.2">
      <c r="A43" s="1069"/>
    </row>
    <row r="44" spans="1:7" x14ac:dyDescent="0.2">
      <c r="A44" s="1069"/>
    </row>
    <row r="45" spans="1:7" x14ac:dyDescent="0.2">
      <c r="A45" s="1069"/>
    </row>
    <row r="46" spans="1:7" x14ac:dyDescent="0.2">
      <c r="A46" s="1069"/>
    </row>
    <row r="47" spans="1:7" x14ac:dyDescent="0.2">
      <c r="A47" s="1069"/>
    </row>
    <row r="48" spans="1:7"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Galena USD 120</v>
      </c>
    </row>
    <row r="63" spans="1:2" x14ac:dyDescent="0.2">
      <c r="B63" s="1070">
        <f>COVER!A13</f>
        <v>8043120022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B3" sqref="B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4" t="s">
        <v>1685</v>
      </c>
      <c r="B18" s="234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topLeftCell="A13"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1690</v>
      </c>
      <c r="B1" s="2346"/>
      <c r="C1" s="2346"/>
      <c r="D1" s="2346"/>
      <c r="E1" s="2346"/>
      <c r="F1" s="2347"/>
    </row>
    <row r="2" spans="1:8" ht="45" customHeight="1" x14ac:dyDescent="0.2">
      <c r="A2" s="2355" t="s">
        <v>1987</v>
      </c>
      <c r="B2" s="2356"/>
      <c r="C2" s="2356"/>
      <c r="D2" s="2356"/>
      <c r="E2" s="2356"/>
      <c r="F2" s="2357"/>
      <c r="G2" s="1074"/>
      <c r="H2" s="1074"/>
    </row>
    <row r="3" spans="1:8" ht="57" customHeight="1" x14ac:dyDescent="0.2">
      <c r="A3" s="2358" t="s">
        <v>1686</v>
      </c>
      <c r="B3" s="2359"/>
      <c r="C3" s="2359"/>
      <c r="D3" s="2359"/>
      <c r="E3" s="2359"/>
      <c r="F3" s="2360"/>
      <c r="G3" s="1074"/>
      <c r="H3" s="1074"/>
    </row>
    <row r="4" spans="1:8" ht="14.25" customHeight="1" x14ac:dyDescent="0.2">
      <c r="A4" s="2364" t="s">
        <v>1988</v>
      </c>
      <c r="B4" s="2365"/>
      <c r="C4" s="2365"/>
      <c r="D4" s="2365"/>
      <c r="E4" s="2365"/>
      <c r="F4" s="2366"/>
      <c r="G4" s="1074"/>
      <c r="H4" s="1074"/>
    </row>
    <row r="5" spans="1:8" ht="14.25" customHeight="1" x14ac:dyDescent="0.2">
      <c r="A5" s="2367" t="s">
        <v>1984</v>
      </c>
      <c r="B5" s="2368"/>
      <c r="C5" s="2368"/>
      <c r="D5" s="2368"/>
      <c r="E5" s="2368"/>
      <c r="F5" s="2369"/>
      <c r="G5" s="1074"/>
      <c r="H5" s="1074"/>
    </row>
    <row r="6" spans="1:8" s="1075" customFormat="1" ht="41.25" customHeight="1" x14ac:dyDescent="0.2">
      <c r="A6" s="2361" t="s">
        <v>1691</v>
      </c>
      <c r="B6" s="2362"/>
      <c r="C6" s="2362"/>
      <c r="D6" s="2362"/>
      <c r="E6" s="2362"/>
      <c r="F6" s="236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9816184</v>
      </c>
      <c r="C8" s="1815">
        <f>'Acct Summary 7-8'!D8</f>
        <v>1218826</v>
      </c>
      <c r="D8" s="1815">
        <f>'Acct Summary 7-8'!F8</f>
        <v>552793</v>
      </c>
      <c r="E8" s="1815">
        <f>'Acct Summary 7-8'!I8</f>
        <v>100195</v>
      </c>
      <c r="F8" s="1815">
        <f>SUM(B8:E8)</f>
        <v>11687998</v>
      </c>
    </row>
    <row r="9" spans="1:8" s="1079" customFormat="1" ht="14.25" customHeight="1" thickBot="1" x14ac:dyDescent="0.25">
      <c r="A9" s="1078" t="s">
        <v>1369</v>
      </c>
      <c r="B9" s="1816">
        <f>'Acct Summary 7-8'!C17</f>
        <v>9271620</v>
      </c>
      <c r="C9" s="1816">
        <f>'Acct Summary 7-8'!D17</f>
        <v>821952</v>
      </c>
      <c r="D9" s="1816">
        <f>'Acct Summary 7-8'!F17</f>
        <v>531981</v>
      </c>
      <c r="E9" s="1815"/>
      <c r="F9" s="1815">
        <f>SUM(B9:E9)</f>
        <v>10625553</v>
      </c>
    </row>
    <row r="10" spans="1:8" s="1079" customFormat="1" ht="14.25" thickTop="1" thickBot="1" x14ac:dyDescent="0.25">
      <c r="A10" s="1080" t="s">
        <v>1370</v>
      </c>
      <c r="B10" s="1817">
        <f>(B8-B9)</f>
        <v>544564</v>
      </c>
      <c r="C10" s="1817">
        <f>(C8-C9)</f>
        <v>396874</v>
      </c>
      <c r="D10" s="1817">
        <f>(D8-D9)</f>
        <v>20812</v>
      </c>
      <c r="E10" s="1816">
        <f>(E8-E9)</f>
        <v>100195</v>
      </c>
      <c r="F10" s="1818">
        <f>SUM(F8-F9)</f>
        <v>1062445</v>
      </c>
    </row>
    <row r="11" spans="1:8" s="1079" customFormat="1" ht="14.25" thickTop="1" thickBot="1" x14ac:dyDescent="0.25">
      <c r="A11" s="1081" t="s">
        <v>1985</v>
      </c>
      <c r="B11" s="1819">
        <f>'Acct Summary 7-8'!C81</f>
        <v>5543792</v>
      </c>
      <c r="C11" s="1819">
        <f>'Acct Summary 7-8'!D81</f>
        <v>1268472</v>
      </c>
      <c r="D11" s="1819">
        <f>'Acct Summary 7-8'!F81</f>
        <v>509266</v>
      </c>
      <c r="E11" s="1819">
        <f>'Acct Summary 7-8'!I81</f>
        <v>958073</v>
      </c>
      <c r="F11" s="1820">
        <f>SUM(B11:E11)</f>
        <v>8279603</v>
      </c>
    </row>
    <row r="12" spans="1:8" ht="16.5" customHeight="1" thickTop="1" x14ac:dyDescent="0.2">
      <c r="A12" s="1082"/>
      <c r="B12" s="1083"/>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84"/>
      <c r="B13" s="1085"/>
      <c r="C13" s="2349"/>
      <c r="D13" s="2350"/>
      <c r="E13" s="2350"/>
      <c r="F13" s="2351"/>
      <c r="H13" s="1074"/>
    </row>
    <row r="14" spans="1:8" ht="19.5" customHeight="1" x14ac:dyDescent="0.2">
      <c r="A14" s="1084"/>
      <c r="B14" s="1085"/>
      <c r="C14" s="2349"/>
      <c r="D14" s="2350"/>
      <c r="E14" s="2350"/>
      <c r="F14" s="2351"/>
      <c r="H14" s="1074"/>
    </row>
    <row r="15" spans="1:8" ht="17.25" customHeight="1" x14ac:dyDescent="0.2">
      <c r="A15" s="1084"/>
      <c r="B15" s="1085"/>
      <c r="C15" s="2352"/>
      <c r="D15" s="2353"/>
      <c r="E15" s="2353"/>
      <c r="F15" s="2354"/>
      <c r="H15" s="1074"/>
    </row>
    <row r="16" spans="1:8" s="310" customFormat="1" ht="51.75" hidden="1" customHeight="1" x14ac:dyDescent="0.2">
      <c r="A16" s="2348" t="s">
        <v>1687</v>
      </c>
      <c r="B16" s="2348"/>
      <c r="C16" s="2348"/>
      <c r="D16" s="2348"/>
      <c r="E16" s="234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F0"/>
  </sheetPr>
  <dimension ref="A1:L82"/>
  <sheetViews>
    <sheetView showGridLines="0" defaultGridColor="0" colorId="8" zoomScale="110" zoomScaleNormal="110" workbookViewId="0">
      <selection activeCell="D65" sqref="D6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0" t="s">
        <v>665</v>
      </c>
      <c r="B3" s="2371"/>
      <c r="C3" s="2371"/>
      <c r="D3" s="237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1" t="s">
        <v>1504</v>
      </c>
      <c r="D7" s="238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3" t="s">
        <v>1008</v>
      </c>
      <c r="B15" s="2374"/>
      <c r="C15" s="2374"/>
      <c r="D15" s="2375"/>
    </row>
    <row r="16" spans="1:4" s="668" customFormat="1" ht="24" customHeight="1" x14ac:dyDescent="0.2">
      <c r="A16" s="2376" t="s">
        <v>663</v>
      </c>
      <c r="B16" s="2377"/>
      <c r="C16" s="2377"/>
      <c r="D16" s="237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5" t="s">
        <v>314</v>
      </c>
      <c r="D21" s="2386"/>
    </row>
    <row r="22" spans="1:10" ht="12.75" x14ac:dyDescent="0.2">
      <c r="A22" s="1139"/>
      <c r="B22" s="1140">
        <v>2</v>
      </c>
      <c r="C22" s="2383" t="s">
        <v>1524</v>
      </c>
      <c r="D22" s="238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7" t="s">
        <v>536</v>
      </c>
      <c r="D43" s="238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9" t="s">
        <v>784</v>
      </c>
      <c r="D56" s="238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9" t="s">
        <v>1696</v>
      </c>
      <c r="D70" s="238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8043120022</v>
      </c>
    </row>
    <row r="3" spans="1:2" x14ac:dyDescent="0.2">
      <c r="A3" t="s">
        <v>956</v>
      </c>
      <c r="B3" s="138" t="str">
        <f>COVER!A15</f>
        <v>Jo Daviess</v>
      </c>
    </row>
    <row r="4" spans="1:2" x14ac:dyDescent="0.2">
      <c r="A4" t="s">
        <v>1007</v>
      </c>
      <c r="B4" s="138" t="str">
        <f>COVER!A17</f>
        <v>Galena USD 120</v>
      </c>
    </row>
    <row r="5" spans="1:2" x14ac:dyDescent="0.2">
      <c r="A5" t="s">
        <v>704</v>
      </c>
      <c r="B5" s="138" t="str">
        <f>COVER!A38</f>
        <v>Steve Bianchetta</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35738</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52655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5560950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1080</v>
      </c>
      <c r="D86" s="2" t="str">
        <f t="shared" si="0"/>
        <v>Error?</v>
      </c>
    </row>
    <row r="87" spans="1:4" x14ac:dyDescent="0.2">
      <c r="A87" s="10">
        <v>26</v>
      </c>
      <c r="D87" s="2" t="str">
        <f t="shared" si="0"/>
        <v>OK</v>
      </c>
    </row>
    <row r="88" spans="1:4" x14ac:dyDescent="0.2">
      <c r="A88" s="5">
        <v>27</v>
      </c>
      <c r="B88" s="138">
        <f>'Assets-Liab 5-6'!C32</f>
        <v>16078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17158</v>
      </c>
      <c r="C91" s="2" t="s">
        <v>573</v>
      </c>
      <c r="D91" s="2" t="str">
        <f t="shared" si="0"/>
        <v>Error?</v>
      </c>
    </row>
    <row r="92" spans="1:4" x14ac:dyDescent="0.2">
      <c r="A92" s="5">
        <v>31</v>
      </c>
      <c r="B92" s="138">
        <f>'Assets-Liab 5-6'!C39</f>
        <v>5543595</v>
      </c>
      <c r="D92" s="2" t="str">
        <f t="shared" si="0"/>
        <v>Error?</v>
      </c>
    </row>
    <row r="93" spans="1:4" x14ac:dyDescent="0.2">
      <c r="A93" s="5">
        <v>32</v>
      </c>
      <c r="B93" s="138">
        <f>'Assets-Liab 5-6'!C41</f>
        <v>5560950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1268529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57</v>
      </c>
      <c r="C122" s="2" t="s">
        <v>573</v>
      </c>
      <c r="D122" s="2" t="str">
        <f t="shared" si="0"/>
        <v>Error?</v>
      </c>
    </row>
    <row r="123" spans="1:4" x14ac:dyDescent="0.2">
      <c r="A123" s="5">
        <v>62</v>
      </c>
      <c r="B123" s="138">
        <f>'Assets-Liab 5-6'!D39</f>
        <v>1268472</v>
      </c>
      <c r="D123" s="2" t="str">
        <f t="shared" si="0"/>
        <v>Error?</v>
      </c>
    </row>
    <row r="124" spans="1:4" x14ac:dyDescent="0.2">
      <c r="A124" s="5">
        <v>63</v>
      </c>
      <c r="B124" s="138">
        <f>'Assets-Liab 5-6'!D41</f>
        <v>1268529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1686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1686</v>
      </c>
      <c r="D140" s="2" t="str">
        <f t="shared" si="1"/>
        <v>Error?</v>
      </c>
    </row>
    <row r="141" spans="1:4" x14ac:dyDescent="0.2">
      <c r="A141" s="5">
        <v>80</v>
      </c>
      <c r="B141" s="138">
        <f>'Assets-Liab 5-6'!E41</f>
        <v>1686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509266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509266</v>
      </c>
      <c r="D170" s="2" t="str">
        <f t="shared" si="1"/>
        <v>Error?</v>
      </c>
    </row>
    <row r="171" spans="1:4" x14ac:dyDescent="0.2">
      <c r="A171" s="5">
        <v>110</v>
      </c>
      <c r="B171" s="138">
        <f>'Assets-Liab 5-6'!F41</f>
        <v>509266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245831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139171</v>
      </c>
      <c r="D189" s="2" t="str">
        <f t="shared" si="1"/>
        <v>Error?</v>
      </c>
    </row>
    <row r="190" spans="1:4" x14ac:dyDescent="0.2">
      <c r="A190" s="5">
        <v>129</v>
      </c>
      <c r="B190" s="138">
        <f>'Assets-Liab 5-6'!G41</f>
        <v>245831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2272085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2272085</v>
      </c>
      <c r="D212" s="2" t="str">
        <f t="shared" si="2"/>
        <v>Error?</v>
      </c>
    </row>
    <row r="213" spans="1:4" x14ac:dyDescent="0.2">
      <c r="A213" s="12">
        <v>152</v>
      </c>
      <c r="B213" s="138">
        <f>'Assets-Liab 5-6'!H41</f>
        <v>2272085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224259</v>
      </c>
      <c r="D273" s="2" t="str">
        <f t="shared" si="3"/>
        <v>Error?</v>
      </c>
    </row>
    <row r="274" spans="1:4" x14ac:dyDescent="0.2">
      <c r="A274" s="5">
        <v>213</v>
      </c>
      <c r="B274" s="138">
        <f>'Assets-Liab 5-6'!M17</f>
        <v>8723809</v>
      </c>
      <c r="D274" s="2" t="str">
        <f t="shared" si="3"/>
        <v>Error?</v>
      </c>
    </row>
    <row r="275" spans="1:4" x14ac:dyDescent="0.2">
      <c r="A275" s="5">
        <v>214</v>
      </c>
      <c r="B275" s="138">
        <f>'Assets-Liab 5-6'!M18</f>
        <v>694041</v>
      </c>
      <c r="D275" s="2" t="str">
        <f t="shared" si="3"/>
        <v>Error?</v>
      </c>
    </row>
    <row r="276" spans="1:4" x14ac:dyDescent="0.2">
      <c r="A276" s="5">
        <v>215</v>
      </c>
      <c r="B276" s="138">
        <f>'Assets-Liab 5-6'!M19</f>
        <v>2011963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11654072</v>
      </c>
      <c r="C279" s="2" t="s">
        <v>573</v>
      </c>
      <c r="D279" s="2" t="str">
        <f t="shared" si="3"/>
        <v>Error?</v>
      </c>
    </row>
    <row r="280" spans="1:4" x14ac:dyDescent="0.2">
      <c r="A280" s="5">
        <v>219</v>
      </c>
      <c r="B280" s="138">
        <f>'Assets-Liab 5-6'!M40</f>
        <v>11654072</v>
      </c>
      <c r="D280" s="2" t="str">
        <f t="shared" si="3"/>
        <v>Error?</v>
      </c>
    </row>
    <row r="281" spans="1:4" x14ac:dyDescent="0.2">
      <c r="A281" s="5">
        <v>220</v>
      </c>
      <c r="B281" s="138">
        <f>'Assets-Liab 5-6'!M41</f>
        <v>11654072</v>
      </c>
      <c r="C281" s="2" t="s">
        <v>573</v>
      </c>
      <c r="D281" s="2" t="str">
        <f t="shared" si="3"/>
        <v>Error?</v>
      </c>
    </row>
    <row r="282" spans="1:4" x14ac:dyDescent="0.2">
      <c r="A282" s="5">
        <v>221</v>
      </c>
      <c r="B282" s="138">
        <f>'Assets-Liab 5-6'!N21</f>
        <v>1686</v>
      </c>
      <c r="D282" s="2" t="str">
        <f t="shared" si="3"/>
        <v>Error?</v>
      </c>
    </row>
    <row r="283" spans="1:4" x14ac:dyDescent="0.2">
      <c r="A283" s="5">
        <v>222</v>
      </c>
      <c r="B283" s="138">
        <f>'Assets-Liab 5-6'!N22</f>
        <v>657314</v>
      </c>
      <c r="D283" s="2" t="str">
        <f t="shared" si="3"/>
        <v>Error?</v>
      </c>
    </row>
    <row r="284" spans="1:4" x14ac:dyDescent="0.2">
      <c r="A284" s="5">
        <v>223</v>
      </c>
      <c r="B284" s="138">
        <f>'Assets-Liab 5-6'!N23</f>
        <v>659000</v>
      </c>
      <c r="C284" s="2" t="s">
        <v>573</v>
      </c>
      <c r="D284" s="2" t="str">
        <f t="shared" si="3"/>
        <v>Error?</v>
      </c>
    </row>
    <row r="285" spans="1:4" x14ac:dyDescent="0.2">
      <c r="A285" s="5">
        <v>224</v>
      </c>
      <c r="B285" s="138">
        <f>'Assets-Liab 5-6'!N36</f>
        <v>659000</v>
      </c>
      <c r="D285" s="2" t="str">
        <f t="shared" si="3"/>
        <v>Error?</v>
      </c>
    </row>
    <row r="286" spans="1:4" x14ac:dyDescent="0.2">
      <c r="A286" s="10">
        <v>225</v>
      </c>
      <c r="D286" s="2" t="str">
        <f t="shared" si="3"/>
        <v>OK</v>
      </c>
    </row>
    <row r="287" spans="1:4" x14ac:dyDescent="0.2">
      <c r="A287" s="5">
        <v>226</v>
      </c>
      <c r="B287" s="138">
        <f>'Assets-Liab 5-6'!N37</f>
        <v>659000</v>
      </c>
      <c r="C287" s="2" t="s">
        <v>573</v>
      </c>
      <c r="D287" s="2" t="str">
        <f t="shared" si="3"/>
        <v>Error?</v>
      </c>
    </row>
    <row r="288" spans="1:4" x14ac:dyDescent="0.2">
      <c r="A288" s="5">
        <v>227</v>
      </c>
      <c r="B288" s="138">
        <f>'Assets-Liab 5-6'!N41</f>
        <v>659000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3521804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178887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164476</v>
      </c>
      <c r="D717" s="2" t="str">
        <f t="shared" si="10"/>
        <v>Error?</v>
      </c>
    </row>
    <row r="718" spans="1:4" x14ac:dyDescent="0.2">
      <c r="A718" s="5">
        <v>657</v>
      </c>
      <c r="B718" s="138">
        <f>'Expenditures 15-22'!C14</f>
        <v>187502</v>
      </c>
      <c r="D718" s="2" t="str">
        <f t="shared" si="10"/>
        <v>Error?</v>
      </c>
    </row>
    <row r="719" spans="1:4" x14ac:dyDescent="0.2">
      <c r="A719" s="5">
        <v>658</v>
      </c>
      <c r="B719" s="138">
        <f>'Expenditures 15-22'!C15</f>
        <v>18179</v>
      </c>
      <c r="D719" s="2" t="str">
        <f t="shared" si="10"/>
        <v>Error?</v>
      </c>
    </row>
    <row r="720" spans="1:4" x14ac:dyDescent="0.2">
      <c r="A720" s="5">
        <v>659</v>
      </c>
      <c r="B720" s="138">
        <f>'Expenditures 15-22'!C33</f>
        <v>5230091</v>
      </c>
      <c r="C720" s="2" t="s">
        <v>573</v>
      </c>
      <c r="D720" s="2" t="str">
        <f t="shared" si="10"/>
        <v>Error?</v>
      </c>
    </row>
    <row r="721" spans="1:4" x14ac:dyDescent="0.2">
      <c r="A721" s="5">
        <v>660</v>
      </c>
      <c r="B721" s="138">
        <f>'Expenditures 15-22'!C36</f>
        <v>43181</v>
      </c>
      <c r="D721" s="2" t="str">
        <f t="shared" si="10"/>
        <v>Error?</v>
      </c>
    </row>
    <row r="722" spans="1:4" x14ac:dyDescent="0.2">
      <c r="A722" s="5">
        <v>661</v>
      </c>
      <c r="B722" s="138">
        <f>'Expenditures 15-22'!C37</f>
        <v>205793</v>
      </c>
      <c r="D722" s="2" t="str">
        <f t="shared" si="10"/>
        <v>Error?</v>
      </c>
    </row>
    <row r="723" spans="1:4" x14ac:dyDescent="0.2">
      <c r="A723" s="5">
        <v>662</v>
      </c>
      <c r="B723" s="138">
        <f>'Expenditures 15-22'!C38</f>
        <v>30181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111341</v>
      </c>
      <c r="D725" s="2" t="str">
        <f t="shared" si="10"/>
        <v>Error?</v>
      </c>
    </row>
    <row r="726" spans="1:4" x14ac:dyDescent="0.2">
      <c r="A726" s="5">
        <v>665</v>
      </c>
      <c r="B726" s="138">
        <f>'Expenditures 15-22'!C41</f>
        <v>5387</v>
      </c>
      <c r="D726" s="2" t="str">
        <f t="shared" si="10"/>
        <v>Error?</v>
      </c>
    </row>
    <row r="727" spans="1:4" x14ac:dyDescent="0.2">
      <c r="A727" s="5">
        <v>666</v>
      </c>
      <c r="B727" s="138">
        <f>'Expenditures 15-22'!C42</f>
        <v>395883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134733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134733</v>
      </c>
      <c r="C731" s="2" t="s">
        <v>573</v>
      </c>
      <c r="D731" s="2" t="str">
        <f t="shared" si="10"/>
        <v>Error?</v>
      </c>
    </row>
    <row r="732" spans="1:4" x14ac:dyDescent="0.2">
      <c r="A732" s="5">
        <v>671</v>
      </c>
      <c r="B732" s="138">
        <f>'Expenditures 15-22'!C49</f>
        <v>3800</v>
      </c>
      <c r="D732" s="2" t="str">
        <f t="shared" si="10"/>
        <v>Error?</v>
      </c>
    </row>
    <row r="733" spans="1:4" x14ac:dyDescent="0.2">
      <c r="A733" s="5">
        <v>672</v>
      </c>
      <c r="B733" s="138">
        <f>'Expenditures 15-22'!C50</f>
        <v>196441</v>
      </c>
      <c r="D733" s="2" t="str">
        <f t="shared" si="10"/>
        <v>Error?</v>
      </c>
    </row>
    <row r="734" spans="1:4" x14ac:dyDescent="0.2">
      <c r="A734" s="5">
        <v>673</v>
      </c>
      <c r="B734" s="138">
        <f>'Expenditures 15-22'!C53</f>
        <v>200241</v>
      </c>
      <c r="C734" s="2" t="s">
        <v>573</v>
      </c>
      <c r="D734" s="2" t="str">
        <f t="shared" si="10"/>
        <v>Error?</v>
      </c>
    </row>
    <row r="735" spans="1:4" x14ac:dyDescent="0.2">
      <c r="A735" s="5">
        <v>674</v>
      </c>
      <c r="B735" s="138">
        <f>'Expenditures 15-22'!C55</f>
        <v>383431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383431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60668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91</v>
      </c>
      <c r="D741" s="2" t="str">
        <f t="shared" si="10"/>
        <v>Error?</v>
      </c>
    </row>
    <row r="742" spans="1:4" x14ac:dyDescent="0.2">
      <c r="A742" s="5">
        <v>681</v>
      </c>
      <c r="B742" s="138">
        <f>'Expenditures 15-22'!C63</f>
        <v>112717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173476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63048</v>
      </c>
      <c r="D754" s="2" t="str">
        <f t="shared" si="10"/>
        <v>Error?</v>
      </c>
    </row>
    <row r="755" spans="1:4" x14ac:dyDescent="0.2">
      <c r="A755" s="5">
        <v>694</v>
      </c>
      <c r="B755" s="138">
        <f>'Expenditures 15-22'!C74</f>
        <v>1350812</v>
      </c>
      <c r="C755" s="2" t="s">
        <v>573</v>
      </c>
      <c r="D755" s="2" t="str">
        <f t="shared" si="10"/>
        <v>Error?</v>
      </c>
    </row>
    <row r="756" spans="1:4" x14ac:dyDescent="0.2">
      <c r="A756" s="5">
        <v>695</v>
      </c>
      <c r="B756" s="138">
        <f>'Expenditures 15-22'!C75</f>
        <v>1518</v>
      </c>
      <c r="D756" s="2" t="str">
        <f t="shared" si="10"/>
        <v>Error?</v>
      </c>
    </row>
    <row r="757" spans="1:4" x14ac:dyDescent="0.2">
      <c r="A757" s="5">
        <v>696</v>
      </c>
      <c r="B757" s="138">
        <f>'Expenditures 15-22'!C114</f>
        <v>6582421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513094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6807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14859</v>
      </c>
      <c r="D775" s="2" t="str">
        <f t="shared" si="11"/>
        <v>Error?</v>
      </c>
    </row>
    <row r="776" spans="1:4" x14ac:dyDescent="0.2">
      <c r="A776" s="5">
        <v>715</v>
      </c>
      <c r="B776" s="138">
        <f>'Expenditures 15-22'!D14</f>
        <v>1350</v>
      </c>
      <c r="D776" s="2" t="str">
        <f t="shared" si="11"/>
        <v>Error?</v>
      </c>
    </row>
    <row r="777" spans="1:4" x14ac:dyDescent="0.2">
      <c r="A777" s="5">
        <v>716</v>
      </c>
      <c r="B777" s="138">
        <f>'Expenditures 15-22'!D15</f>
        <v>167</v>
      </c>
      <c r="D777" s="2" t="str">
        <f t="shared" si="11"/>
        <v>Error?</v>
      </c>
    </row>
    <row r="778" spans="1:4" x14ac:dyDescent="0.2">
      <c r="A778" s="5">
        <v>717</v>
      </c>
      <c r="B778" s="138">
        <f>'Expenditures 15-22'!D33</f>
        <v>758323</v>
      </c>
      <c r="C778" s="2" t="s">
        <v>573</v>
      </c>
      <c r="D778" s="2" t="str">
        <f t="shared" si="11"/>
        <v>Error?</v>
      </c>
    </row>
    <row r="779" spans="1:4" x14ac:dyDescent="0.2">
      <c r="A779" s="5">
        <v>718</v>
      </c>
      <c r="B779" s="138">
        <f>'Expenditures 15-22'!D36</f>
        <v>706</v>
      </c>
      <c r="D779" s="2" t="str">
        <f t="shared" si="11"/>
        <v>Error?</v>
      </c>
    </row>
    <row r="780" spans="1:4" x14ac:dyDescent="0.2">
      <c r="A780" s="5">
        <v>719</v>
      </c>
      <c r="B780" s="138">
        <f>'Expenditures 15-22'!D37</f>
        <v>30914</v>
      </c>
      <c r="D780" s="2" t="str">
        <f t="shared" si="11"/>
        <v>Error?</v>
      </c>
    </row>
    <row r="781" spans="1:4" x14ac:dyDescent="0.2">
      <c r="A781" s="5">
        <v>720</v>
      </c>
      <c r="B781" s="138">
        <f>'Expenditures 15-22'!D38</f>
        <v>4414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9881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45915</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18666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18666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38336</v>
      </c>
      <c r="D791" s="2" t="str">
        <f t="shared" si="11"/>
        <v>Error?</v>
      </c>
    </row>
    <row r="792" spans="1:4" x14ac:dyDescent="0.2">
      <c r="A792" s="5">
        <v>731</v>
      </c>
      <c r="B792" s="138">
        <f>'Expenditures 15-22'!D53</f>
        <v>38336</v>
      </c>
      <c r="C792" s="2" t="s">
        <v>573</v>
      </c>
      <c r="D792" s="2" t="str">
        <f t="shared" si="11"/>
        <v>Error?</v>
      </c>
    </row>
    <row r="793" spans="1:4" x14ac:dyDescent="0.2">
      <c r="A793" s="5">
        <v>732</v>
      </c>
      <c r="B793" s="138">
        <f>'Expenditures 15-22'!D55</f>
        <v>94078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94078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8635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32789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41424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8634</v>
      </c>
      <c r="D812" s="2" t="str">
        <f t="shared" si="11"/>
        <v>Error?</v>
      </c>
    </row>
    <row r="813" spans="1:4" x14ac:dyDescent="0.2">
      <c r="A813" s="5">
        <v>752</v>
      </c>
      <c r="B813" s="138">
        <f>'Expenditures 15-22'!D74</f>
        <v>247053</v>
      </c>
      <c r="C813" s="2" t="s">
        <v>573</v>
      </c>
      <c r="D813" s="2" t="str">
        <f t="shared" si="11"/>
        <v>Error?</v>
      </c>
    </row>
    <row r="814" spans="1:4" x14ac:dyDescent="0.2">
      <c r="A814" s="5">
        <v>753</v>
      </c>
      <c r="B814" s="138">
        <f>'Expenditures 15-22'!D75</f>
        <v>179</v>
      </c>
      <c r="D814" s="2" t="str">
        <f t="shared" si="11"/>
        <v>Error?</v>
      </c>
    </row>
    <row r="815" spans="1:4" x14ac:dyDescent="0.2">
      <c r="A815" s="5">
        <v>754</v>
      </c>
      <c r="B815" s="138">
        <f>'Expenditures 15-22'!D114</f>
        <v>1005555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26958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712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519</v>
      </c>
      <c r="D833" s="2" t="str">
        <f t="shared" si="12"/>
        <v>Error?</v>
      </c>
    </row>
    <row r="834" spans="1:4" x14ac:dyDescent="0.2">
      <c r="A834" s="5">
        <v>773</v>
      </c>
      <c r="B834" s="138">
        <f>'Expenditures 15-22'!E14</f>
        <v>38292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79329</v>
      </c>
      <c r="C836" s="2" t="s">
        <v>573</v>
      </c>
      <c r="D836" s="2" t="str">
        <f t="shared" si="12"/>
        <v>Error?</v>
      </c>
    </row>
    <row r="837" spans="1:4" x14ac:dyDescent="0.2">
      <c r="A837" s="5">
        <v>776</v>
      </c>
      <c r="B837" s="138">
        <f>'Expenditures 15-22'!E36</f>
        <v>38</v>
      </c>
      <c r="D837" s="2" t="str">
        <f t="shared" si="12"/>
        <v>Error?</v>
      </c>
    </row>
    <row r="838" spans="1:4" x14ac:dyDescent="0.2">
      <c r="A838" s="5">
        <v>777</v>
      </c>
      <c r="B838" s="138">
        <f>'Expenditures 15-22'!E37</f>
        <v>724</v>
      </c>
      <c r="D838" s="2" t="str">
        <f t="shared" si="12"/>
        <v>Error?</v>
      </c>
    </row>
    <row r="839" spans="1:4" x14ac:dyDescent="0.2">
      <c r="A839" s="5">
        <v>778</v>
      </c>
      <c r="B839" s="138">
        <f>'Expenditures 15-22'!E38</f>
        <v>5954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6805</v>
      </c>
      <c r="C843" s="2" t="s">
        <v>573</v>
      </c>
      <c r="D843" s="2" t="str">
        <f t="shared" si="12"/>
        <v>Error?</v>
      </c>
    </row>
    <row r="844" spans="1:4" x14ac:dyDescent="0.2">
      <c r="A844" s="5">
        <v>783</v>
      </c>
      <c r="B844" s="138">
        <f>'Expenditures 15-22'!E44</f>
        <v>2860</v>
      </c>
      <c r="D844" s="2" t="str">
        <f t="shared" si="12"/>
        <v>Error?</v>
      </c>
    </row>
    <row r="845" spans="1:4" x14ac:dyDescent="0.2">
      <c r="A845" s="5">
        <v>784</v>
      </c>
      <c r="B845" s="138">
        <f>'Expenditures 15-22'!E45</f>
        <v>1741</v>
      </c>
      <c r="D845" s="2" t="str">
        <f t="shared" si="12"/>
        <v>Error?</v>
      </c>
    </row>
    <row r="846" spans="1:4" x14ac:dyDescent="0.2">
      <c r="A846" s="5">
        <v>785</v>
      </c>
      <c r="B846" s="138">
        <f>'Expenditures 15-22'!E46</f>
        <v>6213</v>
      </c>
      <c r="D846" s="2" t="str">
        <f t="shared" si="12"/>
        <v>Error?</v>
      </c>
    </row>
    <row r="847" spans="1:4" x14ac:dyDescent="0.2">
      <c r="A847" s="5">
        <v>786</v>
      </c>
      <c r="B847" s="138">
        <f>'Expenditures 15-22'!E47</f>
        <v>10814</v>
      </c>
      <c r="C847" s="2" t="s">
        <v>573</v>
      </c>
      <c r="D847" s="2" t="str">
        <f t="shared" si="12"/>
        <v>Error?</v>
      </c>
    </row>
    <row r="848" spans="1:4" x14ac:dyDescent="0.2">
      <c r="A848" s="5">
        <v>787</v>
      </c>
      <c r="B848" s="138">
        <f>'Expenditures 15-22'!E49</f>
        <v>96478</v>
      </c>
      <c r="D848" s="2" t="str">
        <f t="shared" si="12"/>
        <v>Error?</v>
      </c>
    </row>
    <row r="849" spans="1:4" x14ac:dyDescent="0.2">
      <c r="A849" s="5">
        <v>788</v>
      </c>
      <c r="B849" s="138">
        <f>'Expenditures 15-22'!E50</f>
        <v>4973</v>
      </c>
      <c r="D849" s="2" t="str">
        <f t="shared" si="12"/>
        <v>Error?</v>
      </c>
    </row>
    <row r="850" spans="1:4" x14ac:dyDescent="0.2">
      <c r="A850" s="5">
        <v>789</v>
      </c>
      <c r="B850" s="138">
        <f>'Expenditures 15-22'!E53</f>
        <v>101451</v>
      </c>
      <c r="C850" s="2" t="s">
        <v>573</v>
      </c>
      <c r="D850" s="2" t="str">
        <f t="shared" si="12"/>
        <v>Error?</v>
      </c>
    </row>
    <row r="851" spans="1:4" x14ac:dyDescent="0.2">
      <c r="A851" s="5">
        <v>790</v>
      </c>
      <c r="B851" s="138">
        <f>'Expenditures 15-22'!E55</f>
        <v>19804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19804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18777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7184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25961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455</v>
      </c>
      <c r="D867" s="2" t="str">
        <f t="shared" si="12"/>
        <v>Error?</v>
      </c>
    </row>
    <row r="868" spans="1:4" x14ac:dyDescent="0.2">
      <c r="A868" s="10">
        <v>807</v>
      </c>
      <c r="D868" s="2" t="str">
        <f t="shared" si="12"/>
        <v>OK</v>
      </c>
    </row>
    <row r="869" spans="1:4" x14ac:dyDescent="0.2">
      <c r="A869" s="5">
        <v>808</v>
      </c>
      <c r="B869" s="138">
        <f>'Expenditures 15-22'!E72</f>
        <v>455</v>
      </c>
      <c r="C869" s="2" t="s">
        <v>573</v>
      </c>
      <c r="D869" s="2" t="str">
        <f t="shared" si="12"/>
        <v>Error?</v>
      </c>
    </row>
    <row r="870" spans="1:4" x14ac:dyDescent="0.2">
      <c r="A870" s="5">
        <v>809</v>
      </c>
      <c r="B870" s="138">
        <f>'Expenditures 15-22'!E73</f>
        <v>203739</v>
      </c>
      <c r="D870" s="2" t="str">
        <f t="shared" si="12"/>
        <v>Error?</v>
      </c>
    </row>
    <row r="871" spans="1:4" x14ac:dyDescent="0.2">
      <c r="A871" s="5">
        <v>810</v>
      </c>
      <c r="B871" s="138">
        <f>'Expenditures 15-22'!E74</f>
        <v>369029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697693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75807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360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20646</v>
      </c>
      <c r="D891" s="2" t="str">
        <f t="shared" si="12"/>
        <v>Error?</v>
      </c>
    </row>
    <row r="892" spans="1:4" x14ac:dyDescent="0.2">
      <c r="A892" s="5">
        <v>831</v>
      </c>
      <c r="B892" s="138">
        <f>'Expenditures 15-22'!F14</f>
        <v>25849</v>
      </c>
      <c r="D892" s="2" t="str">
        <f t="shared" si="12"/>
        <v>Error?</v>
      </c>
    </row>
    <row r="893" spans="1:4" x14ac:dyDescent="0.2">
      <c r="A893" s="5">
        <v>832</v>
      </c>
      <c r="B893" s="138">
        <f>'Expenditures 15-22'!F15</f>
        <v>60</v>
      </c>
      <c r="D893" s="2" t="str">
        <f t="shared" si="12"/>
        <v>Error?</v>
      </c>
    </row>
    <row r="894" spans="1:4" x14ac:dyDescent="0.2">
      <c r="A894" s="5">
        <v>833</v>
      </c>
      <c r="B894" s="138">
        <f>'Expenditures 15-22'!F33</f>
        <v>138941</v>
      </c>
      <c r="C894" s="2" t="s">
        <v>573</v>
      </c>
      <c r="D894" s="2" t="str">
        <f t="shared" si="12"/>
        <v>Error?</v>
      </c>
    </row>
    <row r="895" spans="1:4" x14ac:dyDescent="0.2">
      <c r="A895" s="5">
        <v>834</v>
      </c>
      <c r="B895" s="138">
        <f>'Expenditures 15-22'!F36</f>
        <v>850</v>
      </c>
      <c r="D895" s="2" t="str">
        <f t="shared" ref="D895:D958" si="13">IF(ISBLANK(B895),"OK",IF(A895-B895=0,"OK","Error?"))</f>
        <v>Error?</v>
      </c>
    </row>
    <row r="896" spans="1:4" x14ac:dyDescent="0.2">
      <c r="A896" s="5">
        <v>835</v>
      </c>
      <c r="B896" s="138">
        <f>'Expenditures 15-22'!F37</f>
        <v>991</v>
      </c>
      <c r="D896" s="2" t="str">
        <f t="shared" si="13"/>
        <v>Error?</v>
      </c>
    </row>
    <row r="897" spans="1:4" x14ac:dyDescent="0.2">
      <c r="A897" s="5">
        <v>836</v>
      </c>
      <c r="B897" s="138">
        <f>'Expenditures 15-22'!F38</f>
        <v>297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563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2701</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15848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15848</v>
      </c>
      <c r="C905" s="2" t="s">
        <v>573</v>
      </c>
      <c r="D905" s="2" t="str">
        <f t="shared" si="13"/>
        <v>Error?</v>
      </c>
    </row>
    <row r="906" spans="1:4" x14ac:dyDescent="0.2">
      <c r="A906" s="5">
        <v>845</v>
      </c>
      <c r="B906" s="138">
        <f>'Expenditures 15-22'!F49</f>
        <v>8411</v>
      </c>
      <c r="D906" s="2" t="str">
        <f t="shared" si="13"/>
        <v>Error?</v>
      </c>
    </row>
    <row r="907" spans="1:4" x14ac:dyDescent="0.2">
      <c r="A907" s="5">
        <v>846</v>
      </c>
      <c r="B907" s="138">
        <f>'Expenditures 15-22'!F50</f>
        <v>2260</v>
      </c>
      <c r="D907" s="2" t="str">
        <f t="shared" si="13"/>
        <v>Error?</v>
      </c>
    </row>
    <row r="908" spans="1:4" x14ac:dyDescent="0.2">
      <c r="A908" s="5">
        <v>847</v>
      </c>
      <c r="B908" s="138">
        <f>'Expenditures 15-22'!F53</f>
        <v>10671</v>
      </c>
      <c r="C908" s="2" t="s">
        <v>573</v>
      </c>
      <c r="D908" s="2" t="str">
        <f t="shared" si="13"/>
        <v>Error?</v>
      </c>
    </row>
    <row r="909" spans="1:4" x14ac:dyDescent="0.2">
      <c r="A909" s="5">
        <v>848</v>
      </c>
      <c r="B909" s="138">
        <f>'Expenditures 15-22'!F55</f>
        <v>13909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13909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1636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151632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153268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13117</v>
      </c>
      <c r="D928" s="2" t="str">
        <f t="shared" si="13"/>
        <v>Error?</v>
      </c>
    </row>
    <row r="929" spans="1:4" x14ac:dyDescent="0.2">
      <c r="A929" s="5">
        <v>868</v>
      </c>
      <c r="B929" s="138">
        <f>'Expenditures 15-22'!F74</f>
        <v>209514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348455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105791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2625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108416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24017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24017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24513</v>
      </c>
      <c r="D986" s="2" t="str">
        <f t="shared" si="14"/>
        <v>Error?</v>
      </c>
    </row>
    <row r="987" spans="1:4" x14ac:dyDescent="0.2">
      <c r="A987" s="5">
        <v>926</v>
      </c>
      <c r="B987" s="138">
        <f>'Expenditures 15-22'!G74</f>
        <v>48530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156946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32877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7968</v>
      </c>
      <c r="D1008" s="2" t="str">
        <f t="shared" si="14"/>
        <v>Error?</v>
      </c>
    </row>
    <row r="1009" spans="1:4" x14ac:dyDescent="0.2">
      <c r="A1009" s="5">
        <v>948</v>
      </c>
      <c r="B1009" s="138">
        <f>'Expenditures 15-22'!H15</f>
        <v>53</v>
      </c>
      <c r="D1009" s="2" t="str">
        <f t="shared" si="14"/>
        <v>Error?</v>
      </c>
    </row>
    <row r="1010" spans="1:4" x14ac:dyDescent="0.2">
      <c r="A1010" s="5">
        <v>949</v>
      </c>
      <c r="B1010" s="138">
        <f>'Expenditures 15-22'!H33</f>
        <v>117931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65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65</v>
      </c>
      <c r="C1021" s="2" t="s">
        <v>573</v>
      </c>
      <c r="D1021" s="2" t="str">
        <f t="shared" si="14"/>
        <v>Error?</v>
      </c>
    </row>
    <row r="1022" spans="1:4" x14ac:dyDescent="0.2">
      <c r="A1022" s="5">
        <v>961</v>
      </c>
      <c r="B1022" s="138">
        <f>'Expenditures 15-22'!H49</f>
        <v>8843</v>
      </c>
      <c r="D1022" s="2" t="str">
        <f t="shared" si="14"/>
        <v>Error?</v>
      </c>
    </row>
    <row r="1023" spans="1:4" x14ac:dyDescent="0.2">
      <c r="A1023" s="5">
        <v>962</v>
      </c>
      <c r="B1023" s="138">
        <f>'Expenditures 15-22'!H50</f>
        <v>1644</v>
      </c>
      <c r="D1023" s="2" t="str">
        <f t="shared" ref="D1023:D1086" si="15">IF(ISBLANK(B1023),"OK",IF(A1023-B1023=0,"OK","Error?"))</f>
        <v>Error?</v>
      </c>
    </row>
    <row r="1024" spans="1:4" x14ac:dyDescent="0.2">
      <c r="A1024" s="5">
        <v>963</v>
      </c>
      <c r="B1024" s="138">
        <f>'Expenditures 15-22'!H53</f>
        <v>10487</v>
      </c>
      <c r="C1024" s="2" t="s">
        <v>573</v>
      </c>
      <c r="D1024" s="2" t="str">
        <f t="shared" si="15"/>
        <v>Error?</v>
      </c>
    </row>
    <row r="1025" spans="1:4" x14ac:dyDescent="0.2">
      <c r="A1025" s="5">
        <v>964</v>
      </c>
      <c r="B1025" s="138">
        <f>'Expenditures 15-22'!H55</f>
        <v>4389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4389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296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316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175275</v>
      </c>
      <c r="D1044" s="2" t="str">
        <f t="shared" si="15"/>
        <v>Error?</v>
      </c>
    </row>
    <row r="1045" spans="1:4" x14ac:dyDescent="0.2">
      <c r="A1045" s="5">
        <v>984</v>
      </c>
      <c r="B1045" s="138">
        <f>'Expenditures 15-22'!H74</f>
        <v>190532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172087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480550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4276331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186766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203125</v>
      </c>
      <c r="C1105" s="2" t="s">
        <v>573</v>
      </c>
      <c r="D1105" s="2" t="str">
        <f t="shared" si="16"/>
        <v>Error?</v>
      </c>
    </row>
    <row r="1106" spans="1:4" x14ac:dyDescent="0.2">
      <c r="A1106" s="5">
        <v>1045</v>
      </c>
      <c r="B1106" s="138">
        <f>'Expenditures 15-22'!K14</f>
        <v>260961</v>
      </c>
      <c r="C1106" s="2" t="s">
        <v>573</v>
      </c>
      <c r="D1106" s="2" t="str">
        <f t="shared" si="16"/>
        <v>Error?</v>
      </c>
    </row>
    <row r="1107" spans="1:4" x14ac:dyDescent="0.2">
      <c r="A1107" s="5">
        <v>1046</v>
      </c>
      <c r="B1107" s="138">
        <f>'Expenditures 15-22'!K15</f>
        <v>18459</v>
      </c>
      <c r="C1107" s="2" t="s">
        <v>573</v>
      </c>
      <c r="D1107" s="2" t="str">
        <f t="shared" si="16"/>
        <v>Error?</v>
      </c>
    </row>
    <row r="1108" spans="1:4" x14ac:dyDescent="0.2">
      <c r="A1108" s="5">
        <v>1047</v>
      </c>
      <c r="B1108" s="138">
        <f>'Expenditures 15-22'!K33</f>
        <v>6433031</v>
      </c>
      <c r="C1108" s="2" t="s">
        <v>573</v>
      </c>
      <c r="D1108" s="2" t="str">
        <f t="shared" si="16"/>
        <v>Error?</v>
      </c>
    </row>
    <row r="1109" spans="1:4" x14ac:dyDescent="0.2">
      <c r="A1109" s="5">
        <v>1048</v>
      </c>
      <c r="B1109" s="138">
        <f>'Expenditures 15-22'!K36</f>
        <v>44775</v>
      </c>
      <c r="C1109" s="2" t="s">
        <v>573</v>
      </c>
      <c r="D1109" s="2" t="str">
        <f t="shared" si="16"/>
        <v>Error?</v>
      </c>
    </row>
    <row r="1110" spans="1:4" x14ac:dyDescent="0.2">
      <c r="A1110" s="5">
        <v>1049</v>
      </c>
      <c r="B1110" s="138">
        <f>'Expenditures 15-22'!K37</f>
        <v>238422</v>
      </c>
      <c r="C1110" s="2" t="s">
        <v>573</v>
      </c>
      <c r="D1110" s="2" t="str">
        <f t="shared" si="16"/>
        <v>Error?</v>
      </c>
    </row>
    <row r="1111" spans="1:4" x14ac:dyDescent="0.2">
      <c r="A1111" s="5">
        <v>1050</v>
      </c>
      <c r="B1111" s="138">
        <f>'Expenditures 15-22'!K38</f>
        <v>40846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121874</v>
      </c>
      <c r="C1113" s="2" t="s">
        <v>573</v>
      </c>
      <c r="D1113" s="2" t="str">
        <f t="shared" si="16"/>
        <v>Error?</v>
      </c>
    </row>
    <row r="1114" spans="1:4" x14ac:dyDescent="0.2">
      <c r="A1114" s="5">
        <v>1053</v>
      </c>
      <c r="B1114" s="138">
        <f>'Expenditures 15-22'!K41</f>
        <v>5387</v>
      </c>
      <c r="C1114" s="2" t="s">
        <v>573</v>
      </c>
      <c r="D1114" s="2" t="str">
        <f t="shared" si="16"/>
        <v>Error?</v>
      </c>
    </row>
    <row r="1115" spans="1:4" x14ac:dyDescent="0.2">
      <c r="A1115" s="5">
        <v>1054</v>
      </c>
      <c r="B1115" s="138">
        <f>'Expenditures 15-22'!K42</f>
        <v>451304</v>
      </c>
      <c r="C1115" s="2" t="s">
        <v>573</v>
      </c>
      <c r="D1115" s="2" t="str">
        <f t="shared" si="16"/>
        <v>Error?</v>
      </c>
    </row>
    <row r="1116" spans="1:4" x14ac:dyDescent="0.2">
      <c r="A1116" s="5">
        <v>1055</v>
      </c>
      <c r="B1116" s="138">
        <f>'Expenditures 15-22'!K44</f>
        <v>2860</v>
      </c>
      <c r="C1116" s="2" t="s">
        <v>573</v>
      </c>
      <c r="D1116" s="2" t="str">
        <f t="shared" si="16"/>
        <v>Error?</v>
      </c>
    </row>
    <row r="1117" spans="1:4" x14ac:dyDescent="0.2">
      <c r="A1117" s="5">
        <v>1056</v>
      </c>
      <c r="B1117" s="138">
        <f>'Expenditures 15-22'!K45</f>
        <v>171053</v>
      </c>
      <c r="C1117" s="2" t="s">
        <v>573</v>
      </c>
      <c r="D1117" s="2" t="str">
        <f t="shared" si="16"/>
        <v>Error?</v>
      </c>
    </row>
    <row r="1118" spans="1:4" x14ac:dyDescent="0.2">
      <c r="A1118" s="5">
        <v>1057</v>
      </c>
      <c r="B1118" s="138">
        <f>'Expenditures 15-22'!K46</f>
        <v>6213</v>
      </c>
      <c r="C1118" s="2" t="s">
        <v>573</v>
      </c>
      <c r="D1118" s="2" t="str">
        <f t="shared" si="16"/>
        <v>Error?</v>
      </c>
    </row>
    <row r="1119" spans="1:4" x14ac:dyDescent="0.2">
      <c r="A1119" s="5">
        <v>1058</v>
      </c>
      <c r="B1119" s="138">
        <f>'Expenditures 15-22'!K47</f>
        <v>180126</v>
      </c>
      <c r="C1119" s="2" t="s">
        <v>573</v>
      </c>
      <c r="D1119" s="2" t="str">
        <f t="shared" si="16"/>
        <v>Error?</v>
      </c>
    </row>
    <row r="1120" spans="1:4" x14ac:dyDescent="0.2">
      <c r="A1120" s="5">
        <v>1059</v>
      </c>
      <c r="B1120" s="138">
        <f>'Expenditures 15-22'!K49</f>
        <v>117532</v>
      </c>
      <c r="C1120" s="2" t="s">
        <v>573</v>
      </c>
      <c r="D1120" s="2" t="str">
        <f t="shared" si="16"/>
        <v>Error?</v>
      </c>
    </row>
    <row r="1121" spans="1:4" x14ac:dyDescent="0.2">
      <c r="A1121" s="5">
        <v>1060</v>
      </c>
      <c r="B1121" s="138">
        <f>'Expenditures 15-22'!K50</f>
        <v>243654</v>
      </c>
      <c r="C1121" s="2" t="s">
        <v>573</v>
      </c>
      <c r="D1121" s="2" t="str">
        <f t="shared" si="16"/>
        <v>Error?</v>
      </c>
    </row>
    <row r="1122" spans="1:4" x14ac:dyDescent="0.2">
      <c r="A1122" s="5">
        <v>1061</v>
      </c>
      <c r="B1122" s="138">
        <f>'Expenditures 15-22'!K53</f>
        <v>361186</v>
      </c>
      <c r="C1122" s="2" t="s">
        <v>573</v>
      </c>
      <c r="D1122" s="2" t="str">
        <f t="shared" si="16"/>
        <v>Error?</v>
      </c>
    </row>
    <row r="1123" spans="1:4" x14ac:dyDescent="0.2">
      <c r="A1123" s="5">
        <v>1062</v>
      </c>
      <c r="B1123" s="138">
        <f>'Expenditures 15-22'!K55</f>
        <v>515611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515611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89736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91</v>
      </c>
      <c r="C1129" s="2" t="s">
        <v>573</v>
      </c>
      <c r="D1129" s="2" t="str">
        <f t="shared" si="16"/>
        <v>Error?</v>
      </c>
    </row>
    <row r="1130" spans="1:4" x14ac:dyDescent="0.2">
      <c r="A1130" s="5">
        <v>1069</v>
      </c>
      <c r="B1130" s="138">
        <f>'Expenditures 15-22'!K63</f>
        <v>328635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418462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455</v>
      </c>
      <c r="C1139" s="2" t="s">
        <v>573</v>
      </c>
      <c r="D1139" s="2" t="str">
        <f t="shared" si="16"/>
        <v>Error?</v>
      </c>
    </row>
    <row r="1140" spans="1:4" x14ac:dyDescent="0.2">
      <c r="A1140" s="10">
        <v>1079</v>
      </c>
      <c r="D1140" s="2" t="str">
        <f t="shared" si="16"/>
        <v>OK</v>
      </c>
    </row>
    <row r="1141" spans="1:4" x14ac:dyDescent="0.2">
      <c r="A1141" s="5">
        <v>1080</v>
      </c>
      <c r="B1141" s="138">
        <f>'Expenditures 15-22'!K72</f>
        <v>455</v>
      </c>
      <c r="C1141" s="2" t="s">
        <v>573</v>
      </c>
      <c r="D1141" s="2" t="str">
        <f t="shared" si="16"/>
        <v>Error?</v>
      </c>
    </row>
    <row r="1142" spans="1:4" x14ac:dyDescent="0.2">
      <c r="A1142" s="5">
        <v>1081</v>
      </c>
      <c r="B1142" s="138">
        <f>'Expenditures 15-22'!K73</f>
        <v>488326</v>
      </c>
      <c r="C1142" s="2" t="s">
        <v>573</v>
      </c>
      <c r="D1142" s="2" t="str">
        <f t="shared" si="16"/>
        <v>Error?</v>
      </c>
    </row>
    <row r="1143" spans="1:4" x14ac:dyDescent="0.2">
      <c r="A1143" s="5">
        <v>1082</v>
      </c>
      <c r="B1143" s="138">
        <f>'Expenditures 15-22'!K74</f>
        <v>2415470</v>
      </c>
      <c r="C1143" s="2" t="s">
        <v>573</v>
      </c>
      <c r="D1143" s="2" t="str">
        <f t="shared" si="16"/>
        <v>Error?</v>
      </c>
    </row>
    <row r="1144" spans="1:4" x14ac:dyDescent="0.2">
      <c r="A1144" s="5">
        <v>1083</v>
      </c>
      <c r="B1144" s="138">
        <f>'Expenditures 15-22'!K75</f>
        <v>1697</v>
      </c>
      <c r="C1144" s="2" t="s">
        <v>573</v>
      </c>
      <c r="D1144" s="2" t="str">
        <f t="shared" si="16"/>
        <v>Error?</v>
      </c>
    </row>
    <row r="1145" spans="1:4" x14ac:dyDescent="0.2">
      <c r="A1145" s="5">
        <v>1084</v>
      </c>
      <c r="B1145" s="138">
        <f>'Expenditures 15-22'!K102</f>
        <v>421422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9271620</v>
      </c>
      <c r="C1152" s="2" t="s">
        <v>573</v>
      </c>
      <c r="D1152" s="2" t="str">
        <f t="shared" si="17"/>
        <v>Error?</v>
      </c>
    </row>
    <row r="1153" spans="1:4" x14ac:dyDescent="0.2">
      <c r="A1153" s="5">
        <v>1092</v>
      </c>
      <c r="B1153" s="138">
        <f>'Expenditures 15-22'!K115</f>
        <v>544564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263964</v>
      </c>
      <c r="D1221" s="2" t="str">
        <f t="shared" si="18"/>
        <v>Error?</v>
      </c>
    </row>
    <row r="1222" spans="1:4" x14ac:dyDescent="0.2">
      <c r="A1222" s="10">
        <v>1161</v>
      </c>
      <c r="D1222" s="2" t="str">
        <f t="shared" si="18"/>
        <v>OK</v>
      </c>
    </row>
    <row r="1223" spans="1:4" x14ac:dyDescent="0.2">
      <c r="A1223" s="5">
        <v>1162</v>
      </c>
      <c r="B1223" s="138">
        <f>'Expenditures 15-22'!C127</f>
        <v>263964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263964</v>
      </c>
      <c r="C1225" s="2" t="s">
        <v>573</v>
      </c>
      <c r="D1225" s="2" t="str">
        <f t="shared" si="18"/>
        <v>Error?</v>
      </c>
    </row>
    <row r="1226" spans="1:4" x14ac:dyDescent="0.2">
      <c r="A1226" s="5">
        <v>1165</v>
      </c>
      <c r="B1226" s="138">
        <f>'Expenditures 15-22'!C151</f>
        <v>263964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35868</v>
      </c>
      <c r="D1229" s="2" t="str">
        <f t="shared" si="18"/>
        <v>Error?</v>
      </c>
    </row>
    <row r="1230" spans="1:4" x14ac:dyDescent="0.2">
      <c r="A1230" s="10">
        <v>1169</v>
      </c>
      <c r="D1230" s="2" t="str">
        <f t="shared" si="18"/>
        <v>OK</v>
      </c>
    </row>
    <row r="1231" spans="1:4" x14ac:dyDescent="0.2">
      <c r="A1231" s="5">
        <v>1170</v>
      </c>
      <c r="B1231" s="138">
        <f>'Expenditures 15-22'!D127</f>
        <v>35868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35868</v>
      </c>
      <c r="C1233" s="2" t="s">
        <v>573</v>
      </c>
      <c r="D1233" s="2" t="str">
        <f t="shared" si="18"/>
        <v>Error?</v>
      </c>
    </row>
    <row r="1234" spans="1:4" x14ac:dyDescent="0.2">
      <c r="A1234" s="5">
        <v>1173</v>
      </c>
      <c r="B1234" s="138">
        <f>'Expenditures 15-22'!D151</f>
        <v>35868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239833</v>
      </c>
      <c r="D1237" s="2" t="str">
        <f t="shared" si="18"/>
        <v>Error?</v>
      </c>
    </row>
    <row r="1238" spans="1:4" x14ac:dyDescent="0.2">
      <c r="A1238" s="10">
        <v>1177</v>
      </c>
      <c r="D1238" s="2" t="str">
        <f t="shared" si="18"/>
        <v>OK</v>
      </c>
    </row>
    <row r="1239" spans="1:4" x14ac:dyDescent="0.2">
      <c r="A1239" s="5">
        <v>1178</v>
      </c>
      <c r="B1239" s="138">
        <f>'Expenditures 15-22'!E127</f>
        <v>239833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239833</v>
      </c>
      <c r="C1241" s="2" t="s">
        <v>573</v>
      </c>
      <c r="D1241" s="2" t="str">
        <f t="shared" si="18"/>
        <v>Error?</v>
      </c>
    </row>
    <row r="1242" spans="1:4" x14ac:dyDescent="0.2">
      <c r="A1242" s="5">
        <v>1181</v>
      </c>
      <c r="B1242" s="138">
        <f>'Expenditures 15-22'!E151</f>
        <v>239833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254591</v>
      </c>
      <c r="D1245" s="2" t="str">
        <f t="shared" si="18"/>
        <v>Error?</v>
      </c>
    </row>
    <row r="1246" spans="1:4" x14ac:dyDescent="0.2">
      <c r="A1246" s="10">
        <v>1185</v>
      </c>
      <c r="D1246" s="2" t="str">
        <f t="shared" si="18"/>
        <v>OK</v>
      </c>
    </row>
    <row r="1247" spans="1:4" x14ac:dyDescent="0.2">
      <c r="A1247" s="5">
        <v>1186</v>
      </c>
      <c r="B1247" s="138">
        <f>'Expenditures 15-22'!F127</f>
        <v>254591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254591</v>
      </c>
      <c r="C1249" s="2" t="s">
        <v>573</v>
      </c>
      <c r="D1249" s="2" t="str">
        <f t="shared" si="18"/>
        <v>Error?</v>
      </c>
    </row>
    <row r="1250" spans="1:4" x14ac:dyDescent="0.2">
      <c r="A1250" s="5">
        <v>1189</v>
      </c>
      <c r="B1250" s="138">
        <f>'Expenditures 15-22'!F151</f>
        <v>254591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24527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24527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24527</v>
      </c>
      <c r="C1258" s="2" t="s">
        <v>573</v>
      </c>
      <c r="D1258" s="2" t="str">
        <f t="shared" si="18"/>
        <v>Error?</v>
      </c>
    </row>
    <row r="1259" spans="1:4" x14ac:dyDescent="0.2">
      <c r="A1259" s="5">
        <v>1198</v>
      </c>
      <c r="B1259" s="138">
        <f>'Expenditures 15-22'!G151</f>
        <v>24527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3169</v>
      </c>
      <c r="D1262" s="2" t="str">
        <f t="shared" si="18"/>
        <v>Error?</v>
      </c>
    </row>
    <row r="1263" spans="1:4" x14ac:dyDescent="0.2">
      <c r="A1263" s="10">
        <v>1202</v>
      </c>
      <c r="D1263" s="2" t="str">
        <f t="shared" si="18"/>
        <v>OK</v>
      </c>
    </row>
    <row r="1264" spans="1:4" x14ac:dyDescent="0.2">
      <c r="A1264" s="5">
        <v>1203</v>
      </c>
      <c r="B1264" s="138">
        <f>'Expenditures 15-22'!H127</f>
        <v>3169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3169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3169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821952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821952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821952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821952</v>
      </c>
      <c r="C1288" s="2" t="s">
        <v>573</v>
      </c>
      <c r="D1288" s="2" t="str">
        <f t="shared" si="19"/>
        <v>Error?</v>
      </c>
    </row>
    <row r="1289" spans="1:4" x14ac:dyDescent="0.2">
      <c r="A1289" s="5">
        <v>1228</v>
      </c>
      <c r="B1289" s="138">
        <f>'Expenditures 15-22'!K152</f>
        <v>396874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7526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518000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525526</v>
      </c>
      <c r="C1317" s="2" t="s">
        <v>573</v>
      </c>
      <c r="D1317" s="2" t="str">
        <f t="shared" si="19"/>
        <v>Error?</v>
      </c>
    </row>
    <row r="1318" spans="1:4" x14ac:dyDescent="0.2">
      <c r="A1318" s="5">
        <v>1257</v>
      </c>
      <c r="B1318" s="138">
        <f>'Expenditures 15-22'!H174</f>
        <v>525526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7526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518000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525526</v>
      </c>
      <c r="C1331" s="2" t="s">
        <v>573</v>
      </c>
      <c r="D1331" s="2" t="str">
        <f t="shared" si="19"/>
        <v>Error?</v>
      </c>
    </row>
    <row r="1332" spans="1:4" x14ac:dyDescent="0.2">
      <c r="A1332" s="5">
        <v>1271</v>
      </c>
      <c r="B1332" s="138">
        <f>'Expenditures 15-22'!K174</f>
        <v>525526</v>
      </c>
      <c r="C1332" s="2" t="s">
        <v>573</v>
      </c>
      <c r="D1332" s="2" t="str">
        <f t="shared" si="19"/>
        <v>Error?</v>
      </c>
    </row>
    <row r="1333" spans="1:4" x14ac:dyDescent="0.2">
      <c r="A1333" s="5">
        <v>1272</v>
      </c>
      <c r="B1333" s="138">
        <f>'Expenditures 15-22'!K175</f>
        <v>-507850</v>
      </c>
      <c r="C1333" s="2" t="s">
        <v>573</v>
      </c>
      <c r="D1333" s="2" t="str">
        <f t="shared" si="19"/>
        <v>Error?</v>
      </c>
    </row>
    <row r="1334" spans="1:4" x14ac:dyDescent="0.2">
      <c r="A1334" s="10">
        <v>1273</v>
      </c>
      <c r="D1334" s="2" t="str">
        <f t="shared" si="19"/>
        <v>OK</v>
      </c>
    </row>
    <row r="1335" spans="1:4" x14ac:dyDescent="0.2">
      <c r="A1335" s="5">
        <v>1274</v>
      </c>
      <c r="B1335" s="138">
        <f>'Expenditures 15-22'!C182</f>
        <v>216074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216074</v>
      </c>
      <c r="C1339" s="2" t="s">
        <v>573</v>
      </c>
      <c r="D1339" s="2" t="str">
        <f t="shared" si="19"/>
        <v>Error?</v>
      </c>
    </row>
    <row r="1340" spans="1:4" x14ac:dyDescent="0.2">
      <c r="A1340" s="5">
        <v>1279</v>
      </c>
      <c r="B1340" s="138">
        <f>'Expenditures 15-22'!C210</f>
        <v>216074</v>
      </c>
      <c r="C1340" s="2" t="s">
        <v>573</v>
      </c>
      <c r="D1340" s="2" t="str">
        <f t="shared" si="19"/>
        <v>Error?</v>
      </c>
    </row>
    <row r="1341" spans="1:4" x14ac:dyDescent="0.2">
      <c r="A1341" s="5">
        <v>1280</v>
      </c>
      <c r="B1341" s="138">
        <f>'Expenditures 15-22'!D182</f>
        <v>12778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12778</v>
      </c>
      <c r="C1345" s="2" t="s">
        <v>573</v>
      </c>
      <c r="D1345" s="2" t="str">
        <f t="shared" si="20"/>
        <v>Error?</v>
      </c>
    </row>
    <row r="1346" spans="1:4" x14ac:dyDescent="0.2">
      <c r="A1346" s="5">
        <v>1285</v>
      </c>
      <c r="B1346" s="138">
        <f>'Expenditures 15-22'!D210</f>
        <v>12778</v>
      </c>
      <c r="C1346" s="2" t="s">
        <v>573</v>
      </c>
      <c r="D1346" s="2" t="str">
        <f t="shared" si="20"/>
        <v>Error?</v>
      </c>
    </row>
    <row r="1347" spans="1:4" x14ac:dyDescent="0.2">
      <c r="A1347" s="5">
        <v>1286</v>
      </c>
      <c r="B1347" s="138">
        <f>'Expenditures 15-22'!E182</f>
        <v>213323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213323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213323</v>
      </c>
      <c r="C1353" s="2" t="s">
        <v>573</v>
      </c>
      <c r="D1353" s="2" t="str">
        <f t="shared" si="20"/>
        <v>Error?</v>
      </c>
    </row>
    <row r="1354" spans="1:4" x14ac:dyDescent="0.2">
      <c r="A1354" s="5">
        <v>1293</v>
      </c>
      <c r="B1354" s="138">
        <f>'Expenditures 15-22'!F182</f>
        <v>43468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43468</v>
      </c>
      <c r="C1358" s="2" t="s">
        <v>573</v>
      </c>
      <c r="D1358" s="2" t="str">
        <f t="shared" si="20"/>
        <v>Error?</v>
      </c>
    </row>
    <row r="1359" spans="1:4" x14ac:dyDescent="0.2">
      <c r="A1359" s="5">
        <v>1298</v>
      </c>
      <c r="B1359" s="138">
        <f>'Expenditures 15-22'!F210</f>
        <v>43468</v>
      </c>
      <c r="C1359" s="2" t="s">
        <v>573</v>
      </c>
      <c r="D1359" s="2" t="str">
        <f t="shared" si="20"/>
        <v>Error?</v>
      </c>
    </row>
    <row r="1360" spans="1:4" x14ac:dyDescent="0.2">
      <c r="A1360" s="5">
        <v>1299</v>
      </c>
      <c r="B1360" s="138">
        <f>'Expenditures 15-22'!G182</f>
        <v>24340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24340</v>
      </c>
      <c r="C1364" s="2" t="s">
        <v>573</v>
      </c>
      <c r="D1364" s="2" t="str">
        <f t="shared" si="20"/>
        <v>Error?</v>
      </c>
    </row>
    <row r="1365" spans="1:4" x14ac:dyDescent="0.2">
      <c r="A1365" s="5">
        <v>1304</v>
      </c>
      <c r="B1365" s="138">
        <f>'Expenditures 15-22'!G210</f>
        <v>24340</v>
      </c>
      <c r="C1365" s="2" t="s">
        <v>573</v>
      </c>
      <c r="D1365" s="2" t="str">
        <f t="shared" si="20"/>
        <v>Error?</v>
      </c>
    </row>
    <row r="1366" spans="1:4" x14ac:dyDescent="0.2">
      <c r="A1366" s="5">
        <v>1305</v>
      </c>
      <c r="B1366" s="138">
        <f>'Expenditures 15-22'!H182</f>
        <v>21998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21998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21998</v>
      </c>
      <c r="C1376" s="2" t="s">
        <v>573</v>
      </c>
      <c r="D1376" s="2" t="str">
        <f t="shared" si="20"/>
        <v>Error?</v>
      </c>
    </row>
    <row r="1377" spans="1:4" x14ac:dyDescent="0.2">
      <c r="A1377" s="5">
        <v>1316</v>
      </c>
      <c r="B1377" s="138">
        <f>'Expenditures 15-22'!K182</f>
        <v>531981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531981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531981</v>
      </c>
      <c r="C1388" s="2" t="s">
        <v>573</v>
      </c>
      <c r="D1388" s="2" t="str">
        <f t="shared" si="20"/>
        <v>Error?</v>
      </c>
    </row>
    <row r="1389" spans="1:4" x14ac:dyDescent="0.2">
      <c r="A1389" s="5">
        <v>1328</v>
      </c>
      <c r="B1389" s="138">
        <f>'Expenditures 15-22'!K211</f>
        <v>20812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5580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2317</v>
      </c>
      <c r="D1407" s="2" t="str">
        <f t="shared" ref="D1407:D1470" si="21">IF(ISBLANK(B1407),"OK",IF(A1407-B1407=0,"OK","Error?"))</f>
        <v>Error?</v>
      </c>
    </row>
    <row r="1408" spans="1:4" x14ac:dyDescent="0.2">
      <c r="A1408" s="5">
        <v>1347</v>
      </c>
      <c r="B1408" s="138">
        <f>'Expenditures 15-22'!D223</f>
        <v>10851</v>
      </c>
      <c r="D1408" s="2" t="str">
        <f t="shared" si="21"/>
        <v>Error?</v>
      </c>
    </row>
    <row r="1409" spans="1:4" x14ac:dyDescent="0.2">
      <c r="A1409" s="5">
        <v>1348</v>
      </c>
      <c r="B1409" s="138">
        <f>'Expenditures 15-22'!D224</f>
        <v>1408</v>
      </c>
      <c r="D1409" s="2" t="str">
        <f t="shared" si="21"/>
        <v>Error?</v>
      </c>
    </row>
    <row r="1410" spans="1:4" x14ac:dyDescent="0.2">
      <c r="A1410" s="5">
        <v>1349</v>
      </c>
      <c r="B1410" s="138">
        <f>'Expenditures 15-22'!D229</f>
        <v>155736</v>
      </c>
      <c r="C1410" s="2" t="s">
        <v>573</v>
      </c>
      <c r="D1410" s="2" t="str">
        <f t="shared" si="21"/>
        <v>Error?</v>
      </c>
    </row>
    <row r="1411" spans="1:4" x14ac:dyDescent="0.2">
      <c r="A1411" s="5">
        <v>1350</v>
      </c>
      <c r="B1411" s="138">
        <f>'Expenditures 15-22'!D232</f>
        <v>626</v>
      </c>
      <c r="D1411" s="2" t="str">
        <f t="shared" si="21"/>
        <v>Error?</v>
      </c>
    </row>
    <row r="1412" spans="1:4" x14ac:dyDescent="0.2">
      <c r="A1412" s="5">
        <v>1351</v>
      </c>
      <c r="B1412" s="138">
        <f>'Expenditures 15-22'!D233</f>
        <v>2691</v>
      </c>
      <c r="D1412" s="2" t="str">
        <f t="shared" si="21"/>
        <v>Error?</v>
      </c>
    </row>
    <row r="1413" spans="1:4" x14ac:dyDescent="0.2">
      <c r="A1413" s="5">
        <v>1352</v>
      </c>
      <c r="B1413" s="138">
        <f>'Expenditures 15-22'!D234</f>
        <v>3544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1557</v>
      </c>
      <c r="D1415" s="2" t="str">
        <f t="shared" si="21"/>
        <v>Error?</v>
      </c>
    </row>
    <row r="1416" spans="1:4" x14ac:dyDescent="0.2">
      <c r="A1416" s="5">
        <v>1355</v>
      </c>
      <c r="B1416" s="138">
        <f>'Expenditures 15-22'!D237</f>
        <v>972</v>
      </c>
      <c r="D1416" s="2" t="str">
        <f t="shared" si="21"/>
        <v>Error?</v>
      </c>
    </row>
    <row r="1417" spans="1:4" x14ac:dyDescent="0.2">
      <c r="A1417" s="5">
        <v>1356</v>
      </c>
      <c r="B1417" s="138">
        <f>'Expenditures 15-22'!D238</f>
        <v>9390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9280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9280</v>
      </c>
      <c r="C1421" s="2" t="s">
        <v>573</v>
      </c>
      <c r="D1421" s="2" t="str">
        <f t="shared" si="21"/>
        <v>Error?</v>
      </c>
    </row>
    <row r="1422" spans="1:4" x14ac:dyDescent="0.2">
      <c r="A1422" s="5">
        <v>1361</v>
      </c>
      <c r="B1422" s="138">
        <f>'Expenditures 15-22'!D245</f>
        <v>691</v>
      </c>
      <c r="D1422" s="2" t="str">
        <f t="shared" si="21"/>
        <v>Error?</v>
      </c>
    </row>
    <row r="1423" spans="1:4" x14ac:dyDescent="0.2">
      <c r="A1423" s="5">
        <v>1362</v>
      </c>
      <c r="B1423" s="138">
        <f>'Expenditures 15-22'!D246</f>
        <v>11047</v>
      </c>
      <c r="D1423" s="2" t="str">
        <f t="shared" si="21"/>
        <v>Error?</v>
      </c>
    </row>
    <row r="1424" spans="1:4" x14ac:dyDescent="0.2">
      <c r="A1424" s="5">
        <v>1363</v>
      </c>
      <c r="B1424" s="138">
        <f>'Expenditures 15-22'!D257</f>
        <v>11738</v>
      </c>
      <c r="C1424" s="2" t="s">
        <v>573</v>
      </c>
      <c r="D1424" s="2" t="str">
        <f t="shared" si="21"/>
        <v>Error?</v>
      </c>
    </row>
    <row r="1425" spans="1:4" x14ac:dyDescent="0.2">
      <c r="A1425" s="5">
        <v>1364</v>
      </c>
      <c r="B1425" s="138">
        <f>'Expenditures 15-22'!D259</f>
        <v>21779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21779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10644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44734</v>
      </c>
      <c r="D1431" s="2" t="str">
        <f t="shared" si="21"/>
        <v>Error?</v>
      </c>
    </row>
    <row r="1432" spans="1:4" x14ac:dyDescent="0.2">
      <c r="A1432" s="5">
        <v>1371</v>
      </c>
      <c r="B1432" s="138">
        <f>'Expenditures 15-22'!D267</f>
        <v>35263</v>
      </c>
      <c r="D1432" s="2" t="str">
        <f t="shared" si="21"/>
        <v>Error?</v>
      </c>
    </row>
    <row r="1433" spans="1:4" x14ac:dyDescent="0.2">
      <c r="A1433" s="5">
        <v>1372</v>
      </c>
      <c r="B1433" s="138">
        <f>'Expenditures 15-22'!D268</f>
        <v>19131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109772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11223</v>
      </c>
      <c r="D1445" s="2" t="str">
        <f t="shared" si="21"/>
        <v>Error?</v>
      </c>
    </row>
    <row r="1446" spans="1:4" x14ac:dyDescent="0.2">
      <c r="A1446" s="5">
        <v>1385</v>
      </c>
      <c r="B1446" s="138">
        <f>'Expenditures 15-22'!D279</f>
        <v>173182</v>
      </c>
      <c r="C1446" s="2" t="s">
        <v>573</v>
      </c>
      <c r="D1446" s="2" t="str">
        <f t="shared" si="21"/>
        <v>Error?</v>
      </c>
    </row>
    <row r="1447" spans="1:4" x14ac:dyDescent="0.2">
      <c r="A1447" s="5">
        <v>1386</v>
      </c>
      <c r="B1447" s="138">
        <f>'Expenditures 15-22'!D280</f>
        <v>22</v>
      </c>
      <c r="D1447" s="2" t="str">
        <f t="shared" si="21"/>
        <v>Error?</v>
      </c>
    </row>
    <row r="1448" spans="1:4" x14ac:dyDescent="0.2">
      <c r="A1448" s="5">
        <v>1387</v>
      </c>
      <c r="B1448" s="138">
        <f>'Expenditures 15-22'!D295</f>
        <v>328940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5580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2317</v>
      </c>
      <c r="C1471" s="2" t="s">
        <v>573</v>
      </c>
      <c r="D1471" s="2" t="str">
        <f t="shared" ref="D1471:D1534" si="22">IF(ISBLANK(B1471),"OK",IF(A1471-B1471=0,"OK","Error?"))</f>
        <v>Error?</v>
      </c>
    </row>
    <row r="1472" spans="1:4" x14ac:dyDescent="0.2">
      <c r="A1472" s="5">
        <v>1411</v>
      </c>
      <c r="B1472" s="138">
        <f>'Expenditures 15-22'!K223</f>
        <v>10851</v>
      </c>
      <c r="C1472" s="2" t="s">
        <v>573</v>
      </c>
      <c r="D1472" s="2" t="str">
        <f t="shared" si="22"/>
        <v>Error?</v>
      </c>
    </row>
    <row r="1473" spans="1:4" x14ac:dyDescent="0.2">
      <c r="A1473" s="5">
        <v>1412</v>
      </c>
      <c r="B1473" s="138">
        <f>'Expenditures 15-22'!K224</f>
        <v>1408</v>
      </c>
      <c r="C1473" s="2" t="s">
        <v>573</v>
      </c>
      <c r="D1473" s="2" t="str">
        <f t="shared" si="22"/>
        <v>Error?</v>
      </c>
    </row>
    <row r="1474" spans="1:4" x14ac:dyDescent="0.2">
      <c r="A1474" s="5">
        <v>1413</v>
      </c>
      <c r="B1474" s="138">
        <f>'Expenditures 15-22'!K229</f>
        <v>155736</v>
      </c>
      <c r="C1474" s="2" t="s">
        <v>573</v>
      </c>
      <c r="D1474" s="2" t="str">
        <f t="shared" si="22"/>
        <v>Error?</v>
      </c>
    </row>
    <row r="1475" spans="1:4" x14ac:dyDescent="0.2">
      <c r="A1475" s="5">
        <v>1414</v>
      </c>
      <c r="B1475" s="138">
        <f>'Expenditures 15-22'!K232</f>
        <v>626</v>
      </c>
      <c r="C1475" s="2" t="s">
        <v>573</v>
      </c>
      <c r="D1475" s="2" t="str">
        <f t="shared" si="22"/>
        <v>Error?</v>
      </c>
    </row>
    <row r="1476" spans="1:4" x14ac:dyDescent="0.2">
      <c r="A1476" s="5">
        <v>1415</v>
      </c>
      <c r="B1476" s="138">
        <f>'Expenditures 15-22'!K233</f>
        <v>2691</v>
      </c>
      <c r="C1476" s="2" t="s">
        <v>573</v>
      </c>
      <c r="D1476" s="2" t="str">
        <f t="shared" si="22"/>
        <v>Error?</v>
      </c>
    </row>
    <row r="1477" spans="1:4" x14ac:dyDescent="0.2">
      <c r="A1477" s="5">
        <v>1416</v>
      </c>
      <c r="B1477" s="138">
        <f>'Expenditures 15-22'!K234</f>
        <v>3544</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1557</v>
      </c>
      <c r="C1479" s="2" t="s">
        <v>573</v>
      </c>
      <c r="D1479" s="2" t="str">
        <f t="shared" si="22"/>
        <v>Error?</v>
      </c>
    </row>
    <row r="1480" spans="1:4" x14ac:dyDescent="0.2">
      <c r="A1480" s="5">
        <v>1419</v>
      </c>
      <c r="B1480" s="138">
        <f>'Expenditures 15-22'!K237</f>
        <v>972</v>
      </c>
      <c r="C1480" s="2" t="s">
        <v>573</v>
      </c>
      <c r="D1480" s="2" t="str">
        <f t="shared" si="22"/>
        <v>Error?</v>
      </c>
    </row>
    <row r="1481" spans="1:4" x14ac:dyDescent="0.2">
      <c r="A1481" s="5">
        <v>1420</v>
      </c>
      <c r="B1481" s="138">
        <f>'Expenditures 15-22'!K238</f>
        <v>9390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9280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9280</v>
      </c>
      <c r="C1485" s="2" t="s">
        <v>573</v>
      </c>
      <c r="D1485" s="2" t="str">
        <f t="shared" si="22"/>
        <v>Error?</v>
      </c>
    </row>
    <row r="1486" spans="1:4" x14ac:dyDescent="0.2">
      <c r="A1486" s="5">
        <v>1425</v>
      </c>
      <c r="B1486" s="138">
        <f>'Expenditures 15-22'!K245</f>
        <v>691</v>
      </c>
      <c r="C1486" s="2" t="s">
        <v>573</v>
      </c>
      <c r="D1486" s="2" t="str">
        <f t="shared" si="22"/>
        <v>Error?</v>
      </c>
    </row>
    <row r="1487" spans="1:4" x14ac:dyDescent="0.2">
      <c r="A1487" s="5">
        <v>1426</v>
      </c>
      <c r="B1487" s="138">
        <f>'Expenditures 15-22'!K246</f>
        <v>11047</v>
      </c>
      <c r="C1487" s="2" t="s">
        <v>573</v>
      </c>
      <c r="D1487" s="2" t="str">
        <f t="shared" si="22"/>
        <v>Error?</v>
      </c>
    </row>
    <row r="1488" spans="1:4" x14ac:dyDescent="0.2">
      <c r="A1488" s="5">
        <v>1427</v>
      </c>
      <c r="B1488" s="138">
        <f>'Expenditures 15-22'!K257</f>
        <v>11738</v>
      </c>
      <c r="C1488" s="2" t="s">
        <v>573</v>
      </c>
      <c r="D1488" s="2" t="str">
        <f t="shared" si="22"/>
        <v>Error?</v>
      </c>
    </row>
    <row r="1489" spans="1:4" x14ac:dyDescent="0.2">
      <c r="A1489" s="5">
        <v>1428</v>
      </c>
      <c r="B1489" s="138">
        <f>'Expenditures 15-22'!K259</f>
        <v>21779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21779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10644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44734</v>
      </c>
      <c r="C1495" s="2" t="s">
        <v>573</v>
      </c>
      <c r="D1495" s="2" t="str">
        <f t="shared" si="22"/>
        <v>Error?</v>
      </c>
    </row>
    <row r="1496" spans="1:4" x14ac:dyDescent="0.2">
      <c r="A1496" s="5">
        <v>1435</v>
      </c>
      <c r="B1496" s="138">
        <f>'Expenditures 15-22'!K267</f>
        <v>35263</v>
      </c>
      <c r="C1496" s="2" t="s">
        <v>573</v>
      </c>
      <c r="D1496" s="2" t="str">
        <f t="shared" si="22"/>
        <v>Error?</v>
      </c>
    </row>
    <row r="1497" spans="1:4" x14ac:dyDescent="0.2">
      <c r="A1497" s="5">
        <v>1436</v>
      </c>
      <c r="B1497" s="138">
        <f>'Expenditures 15-22'!K268</f>
        <v>19131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109772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11223</v>
      </c>
      <c r="C1509" s="2" t="s">
        <v>573</v>
      </c>
      <c r="D1509" s="2" t="str">
        <f t="shared" si="22"/>
        <v>Error?</v>
      </c>
    </row>
    <row r="1510" spans="1:4" x14ac:dyDescent="0.2">
      <c r="A1510" s="5">
        <v>1449</v>
      </c>
      <c r="B1510" s="138">
        <f>'Expenditures 15-22'!K279</f>
        <v>173182</v>
      </c>
      <c r="C1510" s="2" t="s">
        <v>573</v>
      </c>
      <c r="D1510" s="2" t="str">
        <f t="shared" si="22"/>
        <v>Error?</v>
      </c>
    </row>
    <row r="1511" spans="1:4" x14ac:dyDescent="0.2">
      <c r="A1511" s="5">
        <v>1450</v>
      </c>
      <c r="B1511" s="138">
        <f>'Expenditures 15-22'!K280</f>
        <v>22</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328940</v>
      </c>
      <c r="C1517" s="2" t="s">
        <v>573</v>
      </c>
      <c r="D1517" s="2" t="str">
        <f t="shared" si="22"/>
        <v>Error?</v>
      </c>
    </row>
    <row r="1518" spans="1:4" x14ac:dyDescent="0.2">
      <c r="A1518" s="5">
        <v>1457</v>
      </c>
      <c r="B1518" s="138">
        <f>'Expenditures 15-22'!K296</f>
        <v>125974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1000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1000</v>
      </c>
      <c r="C1535" s="2" t="s">
        <v>573</v>
      </c>
      <c r="D1535" s="2" t="str">
        <f t="shared" ref="D1535:D1598" si="23">IF(ISBLANK(B1535),"OK",IF(A1535-B1535=0,"OK","Error?"))</f>
        <v>Error?</v>
      </c>
    </row>
    <row r="1536" spans="1:4" x14ac:dyDescent="0.2">
      <c r="A1536" s="5">
        <v>1475</v>
      </c>
      <c r="B1536" s="138">
        <f>'Expenditures 15-22'!E312</f>
        <v>1000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1444214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1444214</v>
      </c>
      <c r="C1547" s="2" t="s">
        <v>573</v>
      </c>
      <c r="D1547" s="2" t="str">
        <f t="shared" si="23"/>
        <v>Error?</v>
      </c>
    </row>
    <row r="1548" spans="1:4" x14ac:dyDescent="0.2">
      <c r="A1548" s="5">
        <v>1487</v>
      </c>
      <c r="B1548" s="138">
        <f>'Expenditures 15-22'!G312</f>
        <v>1444214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1445214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1445214</v>
      </c>
      <c r="C1559" s="2" t="s">
        <v>573</v>
      </c>
      <c r="D1559" s="2" t="str">
        <f t="shared" si="23"/>
        <v>Error?</v>
      </c>
    </row>
    <row r="1560" spans="1:4" x14ac:dyDescent="0.2">
      <c r="A1560" s="5">
        <v>1499</v>
      </c>
      <c r="B1560" s="138">
        <f>'Expenditures 15-22'!K312</f>
        <v>1445214</v>
      </c>
      <c r="C1560" s="2" t="s">
        <v>573</v>
      </c>
      <c r="D1560" s="2" t="str">
        <f t="shared" si="23"/>
        <v>Error?</v>
      </c>
    </row>
    <row r="1561" spans="1:4" x14ac:dyDescent="0.2">
      <c r="A1561" s="5">
        <v>1500</v>
      </c>
      <c r="B1561" s="138">
        <f>'Expenditures 15-22'!K313</f>
        <v>-912827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4999228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5543792</v>
      </c>
      <c r="C1630" s="2" t="s">
        <v>573</v>
      </c>
      <c r="D1630" s="2" t="str">
        <f t="shared" si="24"/>
        <v>Error?</v>
      </c>
    </row>
    <row r="1631" spans="1:4" x14ac:dyDescent="0.2">
      <c r="A1631" s="5">
        <v>1570</v>
      </c>
      <c r="B1631" s="138">
        <f>'Acct Summary 7-8'!D79</f>
        <v>871598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1268472</v>
      </c>
      <c r="C1644" s="2" t="s">
        <v>573</v>
      </c>
      <c r="D1644" s="2" t="str">
        <f t="shared" si="24"/>
        <v>Error?</v>
      </c>
    </row>
    <row r="1645" spans="1:4" x14ac:dyDescent="0.2">
      <c r="A1645" s="5">
        <v>1584</v>
      </c>
      <c r="B1645" s="138">
        <f>'Acct Summary 7-8'!E79</f>
        <v>2010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1686</v>
      </c>
      <c r="C1658" s="2" t="s">
        <v>573</v>
      </c>
      <c r="D1658" s="2" t="str">
        <f t="shared" si="24"/>
        <v>Error?</v>
      </c>
    </row>
    <row r="1659" spans="1:4" x14ac:dyDescent="0.2">
      <c r="A1659" s="5">
        <v>1598</v>
      </c>
      <c r="B1659" s="138">
        <f>'Acct Summary 7-8'!F79</f>
        <v>481114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509266</v>
      </c>
      <c r="C1672" s="2" t="s">
        <v>573</v>
      </c>
      <c r="D1672" s="2" t="str">
        <f t="shared" si="25"/>
        <v>Error?</v>
      </c>
    </row>
    <row r="1673" spans="1:4" x14ac:dyDescent="0.2">
      <c r="A1673" s="5">
        <v>1612</v>
      </c>
      <c r="B1673" s="138">
        <f>'Acct Summary 7-8'!G79</f>
        <v>119857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245831</v>
      </c>
      <c r="C1686" s="2" t="s">
        <v>573</v>
      </c>
      <c r="D1686" s="2" t="str">
        <f t="shared" si="25"/>
        <v>Error?</v>
      </c>
    </row>
    <row r="1687" spans="1:4" x14ac:dyDescent="0.2">
      <c r="A1687" s="5">
        <v>1626</v>
      </c>
      <c r="B1687" s="138">
        <f>'Acct Summary 7-8'!H79</f>
        <v>3692438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2272085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7649837</v>
      </c>
      <c r="C1744" s="2" t="s">
        <v>573</v>
      </c>
      <c r="D1744" s="2" t="str">
        <f t="shared" si="26"/>
        <v>Error?</v>
      </c>
    </row>
    <row r="1745" spans="1:5" x14ac:dyDescent="0.2">
      <c r="A1745" s="5">
        <v>1684</v>
      </c>
      <c r="B1745" s="138">
        <f>'Tax Sched 23'!B5</f>
        <v>1037503</v>
      </c>
      <c r="C1745" s="2" t="s">
        <v>573</v>
      </c>
      <c r="D1745" s="2" t="str">
        <f t="shared" si="26"/>
        <v>Error?</v>
      </c>
    </row>
    <row r="1746" spans="1:5" x14ac:dyDescent="0.2">
      <c r="A1746" s="5">
        <v>1685</v>
      </c>
      <c r="B1746" s="138">
        <f>'Tax Sched 23'!B6</f>
        <v>17641</v>
      </c>
      <c r="C1746" s="2" t="s">
        <v>573</v>
      </c>
      <c r="D1746" s="2" t="str">
        <f t="shared" si="26"/>
        <v>Error?</v>
      </c>
    </row>
    <row r="1747" spans="1:5" x14ac:dyDescent="0.2">
      <c r="A1747" s="5">
        <v>1686</v>
      </c>
      <c r="B1747" s="138">
        <f>'Tax Sched 23'!B7</f>
        <v>397523</v>
      </c>
      <c r="C1747" s="2" t="s">
        <v>573</v>
      </c>
      <c r="D1747" s="2" t="str">
        <f t="shared" si="26"/>
        <v>Error?</v>
      </c>
    </row>
    <row r="1748" spans="1:5" x14ac:dyDescent="0.2">
      <c r="A1748" s="5">
        <v>1687</v>
      </c>
      <c r="B1748" s="138">
        <f>'Tax Sched 23'!B8</f>
        <v>171637</v>
      </c>
      <c r="C1748" s="2" t="s">
        <v>573</v>
      </c>
      <c r="D1748" s="2" t="str">
        <f t="shared" si="26"/>
        <v>Error?</v>
      </c>
    </row>
    <row r="1749" spans="1:5" x14ac:dyDescent="0.2">
      <c r="A1749" s="5">
        <v>1688</v>
      </c>
      <c r="B1749" s="138">
        <f>'Tax Sched 23'!B10</f>
        <v>89235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115398</v>
      </c>
      <c r="C1752" s="2" t="s">
        <v>573</v>
      </c>
      <c r="D1752" s="2" t="str">
        <f t="shared" si="26"/>
        <v>Error?</v>
      </c>
    </row>
    <row r="1753" spans="1:5" x14ac:dyDescent="0.2">
      <c r="A1753" s="5">
        <v>1692</v>
      </c>
      <c r="B1753" s="138">
        <f>'Tax Sched 23'!B12</f>
        <v>39270</v>
      </c>
      <c r="C1753" s="2" t="s">
        <v>573</v>
      </c>
      <c r="D1753" s="2" t="str">
        <f t="shared" si="26"/>
        <v>Error?</v>
      </c>
    </row>
    <row r="1754" spans="1:5" x14ac:dyDescent="0.2">
      <c r="A1754" s="5">
        <v>1693</v>
      </c>
      <c r="B1754" s="138">
        <f>'Tax Sched 23'!B14</f>
        <v>376169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10121837</v>
      </c>
      <c r="C1759" s="2" t="s">
        <v>573</v>
      </c>
      <c r="D1759" s="2" t="str">
        <f t="shared" si="26"/>
        <v>Error?</v>
      </c>
    </row>
    <row r="1760" spans="1:5" x14ac:dyDescent="0.2">
      <c r="A1760" s="5">
        <v>1699</v>
      </c>
      <c r="B1760" s="138">
        <f>'Tax Sched 23'!D4</f>
        <v>6138362</v>
      </c>
      <c r="C1760" s="2" t="s">
        <v>573</v>
      </c>
      <c r="D1760" s="2" t="str">
        <f t="shared" si="26"/>
        <v>Error?</v>
      </c>
    </row>
    <row r="1761" spans="1:5" x14ac:dyDescent="0.2">
      <c r="A1761" s="5">
        <v>1700</v>
      </c>
      <c r="B1761" s="138">
        <f>'Tax Sched 23'!D5</f>
        <v>799146</v>
      </c>
      <c r="C1761" s="2" t="s">
        <v>573</v>
      </c>
      <c r="D1761" s="2" t="str">
        <f t="shared" si="26"/>
        <v>Error?</v>
      </c>
    </row>
    <row r="1762" spans="1:5" s="8" customFormat="1" x14ac:dyDescent="0.2">
      <c r="A1762" s="5">
        <v>1701</v>
      </c>
      <c r="B1762" s="138">
        <f>'Tax Sched 23'!D6</f>
        <v>14486</v>
      </c>
      <c r="C1762" s="2" t="s">
        <v>573</v>
      </c>
      <c r="D1762" s="2" t="str">
        <f t="shared" si="26"/>
        <v>Error?</v>
      </c>
      <c r="E1762" s="9"/>
    </row>
    <row r="1763" spans="1:5" x14ac:dyDescent="0.2">
      <c r="A1763" s="5">
        <v>1702</v>
      </c>
      <c r="B1763" s="138">
        <f>'Tax Sched 23'!D7</f>
        <v>318067</v>
      </c>
      <c r="C1763" s="2" t="s">
        <v>573</v>
      </c>
      <c r="D1763" s="2" t="str">
        <f t="shared" si="26"/>
        <v>Error?</v>
      </c>
    </row>
    <row r="1764" spans="1:5" x14ac:dyDescent="0.2">
      <c r="A1764" s="5">
        <v>1703</v>
      </c>
      <c r="B1764" s="138">
        <f>'Tax Sched 23'!D8</f>
        <v>135978</v>
      </c>
      <c r="C1764" s="2" t="s">
        <v>573</v>
      </c>
      <c r="D1764" s="2" t="str">
        <f t="shared" si="26"/>
        <v>Error?</v>
      </c>
    </row>
    <row r="1765" spans="1:5" x14ac:dyDescent="0.2">
      <c r="A1765" s="5">
        <v>1704</v>
      </c>
      <c r="B1765" s="138">
        <f>'Tax Sched 23'!D10</f>
        <v>79540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88267</v>
      </c>
      <c r="C1768" s="2" t="s">
        <v>573</v>
      </c>
      <c r="D1768" s="2" t="str">
        <f t="shared" si="26"/>
        <v>Error?</v>
      </c>
    </row>
    <row r="1769" spans="1:5" x14ac:dyDescent="0.2">
      <c r="A1769" s="5">
        <v>1708</v>
      </c>
      <c r="B1769" s="138">
        <f>'Tax Sched 23'!D12</f>
        <v>19887</v>
      </c>
      <c r="C1769" s="2" t="s">
        <v>573</v>
      </c>
      <c r="D1769" s="2" t="str">
        <f t="shared" si="26"/>
        <v>Error?</v>
      </c>
    </row>
    <row r="1770" spans="1:5" x14ac:dyDescent="0.2">
      <c r="A1770" s="5">
        <v>1709</v>
      </c>
      <c r="B1770" s="138">
        <f>'Tax Sched 23'!D14</f>
        <v>300588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8074223</v>
      </c>
      <c r="C1775" s="2" t="s">
        <v>573</v>
      </c>
      <c r="D1775" s="2" t="str">
        <f t="shared" si="26"/>
        <v>Error?</v>
      </c>
    </row>
    <row r="1776" spans="1:5" x14ac:dyDescent="0.2">
      <c r="A1776" s="5">
        <v>1715</v>
      </c>
      <c r="B1776" s="138">
        <f>'Tax Sched 23'!C4</f>
        <v>1511475</v>
      </c>
      <c r="D1776" s="2" t="str">
        <f t="shared" si="26"/>
        <v>Error?</v>
      </c>
    </row>
    <row r="1777" spans="1:4" x14ac:dyDescent="0.2">
      <c r="A1777" s="5">
        <v>1716</v>
      </c>
      <c r="B1777" s="138">
        <f>'Tax Sched 23'!C5</f>
        <v>238357</v>
      </c>
      <c r="D1777" s="2" t="str">
        <f t="shared" si="26"/>
        <v>Error?</v>
      </c>
    </row>
    <row r="1778" spans="1:4" x14ac:dyDescent="0.2">
      <c r="A1778" s="5">
        <v>1717</v>
      </c>
      <c r="B1778" s="138">
        <f>'Tax Sched 23'!C6</f>
        <v>3155</v>
      </c>
      <c r="D1778" s="2" t="str">
        <f t="shared" si="26"/>
        <v>Error?</v>
      </c>
    </row>
    <row r="1779" spans="1:4" x14ac:dyDescent="0.2">
      <c r="A1779" s="5">
        <v>1718</v>
      </c>
      <c r="B1779" s="138">
        <f>'Tax Sched 23'!C7</f>
        <v>79456</v>
      </c>
      <c r="D1779" s="2" t="str">
        <f t="shared" si="26"/>
        <v>Error?</v>
      </c>
    </row>
    <row r="1780" spans="1:4" x14ac:dyDescent="0.2">
      <c r="A1780" s="5">
        <v>1719</v>
      </c>
      <c r="B1780" s="138">
        <f>'Tax Sched 23'!C8</f>
        <v>35659</v>
      </c>
      <c r="D1780" s="2" t="str">
        <f t="shared" si="26"/>
        <v>Error?</v>
      </c>
    </row>
    <row r="1781" spans="1:4" x14ac:dyDescent="0.2">
      <c r="A1781" s="5">
        <v>1720</v>
      </c>
      <c r="B1781" s="138">
        <f>'Tax Sched 23'!C10</f>
        <v>9695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27131</v>
      </c>
      <c r="D1784" s="2" t="str">
        <f t="shared" si="26"/>
        <v>Error?</v>
      </c>
    </row>
    <row r="1785" spans="1:4" x14ac:dyDescent="0.2">
      <c r="A1785" s="5">
        <v>1724</v>
      </c>
      <c r="B1785" s="138">
        <f>'Tax Sched 23'!C12</f>
        <v>19383</v>
      </c>
      <c r="D1785" s="2" t="str">
        <f t="shared" si="26"/>
        <v>Error?</v>
      </c>
    </row>
    <row r="1786" spans="1:4" x14ac:dyDescent="0.2">
      <c r="A1786" s="5">
        <v>1725</v>
      </c>
      <c r="B1786" s="138">
        <f>'Tax Sched 23'!C14</f>
        <v>75581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2047614</v>
      </c>
      <c r="C1791" s="2" t="s">
        <v>573</v>
      </c>
      <c r="D1791" s="2" t="str">
        <f t="shared" ref="D1791:D1854" si="27">IF(ISBLANK(B1791),"OK",IF(A1791-B1791=0,"OK","Error?"))</f>
        <v>Error?</v>
      </c>
    </row>
    <row r="1792" spans="1:4" x14ac:dyDescent="0.2">
      <c r="A1792" s="5">
        <v>1731</v>
      </c>
      <c r="B1792" s="138">
        <f>'Tax Sched 23'!F4</f>
        <v>6197553</v>
      </c>
      <c r="C1792" s="2" t="s">
        <v>573</v>
      </c>
      <c r="D1792" s="2" t="str">
        <f t="shared" si="27"/>
        <v>Error?</v>
      </c>
    </row>
    <row r="1793" spans="1:4" x14ac:dyDescent="0.2">
      <c r="A1793" s="5">
        <v>1732</v>
      </c>
      <c r="B1793" s="138">
        <f>'Tax Sched 23'!F5</f>
        <v>977348</v>
      </c>
      <c r="C1793" s="2" t="s">
        <v>573</v>
      </c>
      <c r="D1793" s="2" t="str">
        <f t="shared" si="27"/>
        <v>Error?</v>
      </c>
    </row>
    <row r="1794" spans="1:4" x14ac:dyDescent="0.2">
      <c r="A1794" s="5">
        <v>1733</v>
      </c>
      <c r="B1794" s="138">
        <f>'Tax Sched 23'!F6</f>
        <v>12939</v>
      </c>
      <c r="C1794" s="2" t="s">
        <v>573</v>
      </c>
      <c r="D1794" s="2" t="str">
        <f t="shared" si="27"/>
        <v>Error?</v>
      </c>
    </row>
    <row r="1795" spans="1:4" x14ac:dyDescent="0.2">
      <c r="A1795" s="5">
        <v>1734</v>
      </c>
      <c r="B1795" s="138">
        <f>'Tax Sched 23'!F7</f>
        <v>325800</v>
      </c>
      <c r="C1795" s="2" t="s">
        <v>573</v>
      </c>
      <c r="D1795" s="2" t="str">
        <f t="shared" si="27"/>
        <v>Error?</v>
      </c>
    </row>
    <row r="1796" spans="1:4" x14ac:dyDescent="0.2">
      <c r="A1796" s="5">
        <v>1735</v>
      </c>
      <c r="B1796" s="138">
        <f>'Tax Sched 23'!F8</f>
        <v>146220</v>
      </c>
      <c r="C1796" s="2" t="s">
        <v>573</v>
      </c>
      <c r="D1796" s="2" t="str">
        <f t="shared" si="27"/>
        <v>Error?</v>
      </c>
    </row>
    <row r="1797" spans="1:4" x14ac:dyDescent="0.2">
      <c r="A1797" s="5">
        <v>1736</v>
      </c>
      <c r="B1797" s="138">
        <f>'Tax Sched 23'!F10</f>
        <v>39757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111246</v>
      </c>
      <c r="C1800" s="2" t="s">
        <v>573</v>
      </c>
      <c r="D1800" s="2" t="str">
        <f t="shared" si="27"/>
        <v>Error?</v>
      </c>
    </row>
    <row r="1801" spans="1:4" x14ac:dyDescent="0.2">
      <c r="A1801" s="5">
        <v>1740</v>
      </c>
      <c r="B1801" s="138">
        <f>'Tax Sched 23'!F12</f>
        <v>79478</v>
      </c>
      <c r="C1801" s="2" t="s">
        <v>573</v>
      </c>
      <c r="D1801" s="2" t="str">
        <f t="shared" si="27"/>
        <v>Error?</v>
      </c>
    </row>
    <row r="1802" spans="1:4" x14ac:dyDescent="0.2">
      <c r="A1802" s="5">
        <v>1741</v>
      </c>
      <c r="B1802" s="138">
        <f>'Tax Sched 23'!F14</f>
        <v>309907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8395922</v>
      </c>
      <c r="C1807" s="2" t="s">
        <v>573</v>
      </c>
      <c r="D1807" s="2" t="str">
        <f t="shared" si="27"/>
        <v>Error?</v>
      </c>
    </row>
    <row r="1808" spans="1:4" x14ac:dyDescent="0.2">
      <c r="A1808" s="5">
        <v>1747</v>
      </c>
      <c r="B1808" s="138">
        <f>'Tax Sched 23'!E4</f>
        <v>7709028</v>
      </c>
      <c r="D1808" s="2" t="str">
        <f t="shared" si="27"/>
        <v>Error?</v>
      </c>
    </row>
    <row r="1809" spans="1:4" x14ac:dyDescent="0.2">
      <c r="A1809" s="5">
        <v>1748</v>
      </c>
      <c r="B1809" s="138">
        <f>'Tax Sched 23'!E5</f>
        <v>1215705</v>
      </c>
      <c r="D1809" s="2" t="str">
        <f t="shared" si="27"/>
        <v>Error?</v>
      </c>
    </row>
    <row r="1810" spans="1:4" x14ac:dyDescent="0.2">
      <c r="A1810" s="5">
        <v>1749</v>
      </c>
      <c r="B1810" s="138">
        <f>'Tax Sched 23'!E6</f>
        <v>16094</v>
      </c>
      <c r="D1810" s="2" t="str">
        <f t="shared" si="27"/>
        <v>Error?</v>
      </c>
    </row>
    <row r="1811" spans="1:4" x14ac:dyDescent="0.2">
      <c r="A1811" s="5">
        <v>1750</v>
      </c>
      <c r="B1811" s="138">
        <f>'Tax Sched 23'!E7</f>
        <v>405256</v>
      </c>
      <c r="D1811" s="2" t="str">
        <f t="shared" si="27"/>
        <v>Error?</v>
      </c>
    </row>
    <row r="1812" spans="1:4" x14ac:dyDescent="0.2">
      <c r="A1812" s="5">
        <v>1751</v>
      </c>
      <c r="B1812" s="138">
        <f>'Tax Sched 23'!E8</f>
        <v>181879</v>
      </c>
      <c r="D1812" s="2" t="str">
        <f t="shared" si="27"/>
        <v>Error?</v>
      </c>
    </row>
    <row r="1813" spans="1:4" x14ac:dyDescent="0.2">
      <c r="A1813" s="5">
        <v>1752</v>
      </c>
      <c r="B1813" s="138">
        <f>'Tax Sched 23'!E10</f>
        <v>49452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138377</v>
      </c>
      <c r="D1816" s="2" t="str">
        <f t="shared" si="27"/>
        <v>Error?</v>
      </c>
    </row>
    <row r="1817" spans="1:4" x14ac:dyDescent="0.2">
      <c r="A1817" s="5">
        <v>1756</v>
      </c>
      <c r="B1817" s="138">
        <f>'Tax Sched 23'!E12</f>
        <v>98861</v>
      </c>
      <c r="D1817" s="2" t="str">
        <f t="shared" si="27"/>
        <v>Error?</v>
      </c>
    </row>
    <row r="1818" spans="1:4" x14ac:dyDescent="0.2">
      <c r="A1818" s="5">
        <v>1757</v>
      </c>
      <c r="B1818" s="138">
        <f>'Tax Sched 23'!E14</f>
        <v>385488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10443536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1177000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376169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376169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376169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222759</v>
      </c>
      <c r="D2008" s="2" t="str">
        <f t="shared" si="30"/>
        <v>Error?</v>
      </c>
    </row>
    <row r="2009" spans="1:4" x14ac:dyDescent="0.2">
      <c r="A2009" s="5">
        <v>1948</v>
      </c>
      <c r="B2009" s="138">
        <f>'Cap Outlay Deprec 26'!C8</f>
        <v>7381635</v>
      </c>
      <c r="D2009" s="2" t="str">
        <f t="shared" si="30"/>
        <v>Error?</v>
      </c>
    </row>
    <row r="2010" spans="1:4" x14ac:dyDescent="0.2">
      <c r="A2010" s="5">
        <v>1949</v>
      </c>
      <c r="B2010" s="138">
        <f>'Cap Outlay Deprec 26'!C10</f>
        <v>573102</v>
      </c>
      <c r="D2010" s="2" t="str">
        <f t="shared" si="30"/>
        <v>Error?</v>
      </c>
    </row>
    <row r="2011" spans="1:4" x14ac:dyDescent="0.2">
      <c r="A2011" s="5">
        <v>1950</v>
      </c>
      <c r="B2011" s="138">
        <f>'Cap Outlay Deprec 26'!C12</f>
        <v>1856126</v>
      </c>
      <c r="D2011" s="2" t="str">
        <f t="shared" si="30"/>
        <v>Error?</v>
      </c>
    </row>
    <row r="2012" spans="1:4" x14ac:dyDescent="0.2">
      <c r="A2012" s="5">
        <v>1951</v>
      </c>
      <c r="B2012" s="138">
        <f>'Cap Outlay Deprec 26'!C13</f>
        <v>512721</v>
      </c>
      <c r="D2012" s="2" t="str">
        <f t="shared" si="30"/>
        <v>Error?</v>
      </c>
    </row>
    <row r="2013" spans="1:4" x14ac:dyDescent="0.2">
      <c r="A2013" s="5">
        <v>1952</v>
      </c>
      <c r="B2013" s="138">
        <f>'Cap Outlay Deprec 26'!C16</f>
        <v>10546343</v>
      </c>
      <c r="C2013" s="2" t="s">
        <v>573</v>
      </c>
      <c r="D2013" s="2" t="str">
        <f t="shared" si="30"/>
        <v>Error?</v>
      </c>
    </row>
    <row r="2014" spans="1:4" x14ac:dyDescent="0.2">
      <c r="A2014" s="5">
        <v>1953</v>
      </c>
      <c r="B2014" s="138">
        <f>'Cap Outlay Deprec 26'!D5</f>
        <v>1500</v>
      </c>
      <c r="D2014" s="2" t="str">
        <f t="shared" si="30"/>
        <v>Error?</v>
      </c>
    </row>
    <row r="2015" spans="1:4" x14ac:dyDescent="0.2">
      <c r="A2015" s="5">
        <v>1954</v>
      </c>
      <c r="B2015" s="138">
        <f>'Cap Outlay Deprec 26'!D8</f>
        <v>1342174</v>
      </c>
      <c r="D2015" s="2" t="str">
        <f t="shared" si="30"/>
        <v>Error?</v>
      </c>
    </row>
    <row r="2016" spans="1:4" x14ac:dyDescent="0.2">
      <c r="A2016" s="5">
        <v>1955</v>
      </c>
      <c r="B2016" s="138">
        <f>'Cap Outlay Deprec 26'!D10</f>
        <v>120939</v>
      </c>
      <c r="D2016" s="2" t="str">
        <f t="shared" si="30"/>
        <v>Error?</v>
      </c>
    </row>
    <row r="2017" spans="1:4" x14ac:dyDescent="0.2">
      <c r="A2017" s="5">
        <v>1956</v>
      </c>
      <c r="B2017" s="138">
        <f>'Cap Outlay Deprec 26'!D12</f>
        <v>161074</v>
      </c>
      <c r="D2017" s="2" t="str">
        <f t="shared" si="30"/>
        <v>Error?</v>
      </c>
    </row>
    <row r="2018" spans="1:4" x14ac:dyDescent="0.2">
      <c r="A2018" s="5">
        <v>1957</v>
      </c>
      <c r="B2018" s="138">
        <f>'Cap Outlay Deprec 26'!D13</f>
        <v>46270</v>
      </c>
      <c r="D2018" s="2" t="str">
        <f t="shared" si="30"/>
        <v>Error?</v>
      </c>
    </row>
    <row r="2019" spans="1:4" x14ac:dyDescent="0.2">
      <c r="A2019" s="5">
        <v>1958</v>
      </c>
      <c r="B2019" s="138">
        <f>'Cap Outlay Deprec 26'!D16</f>
        <v>1671957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107165</v>
      </c>
      <c r="D2023" s="2" t="str">
        <f t="shared" si="30"/>
        <v>Error?</v>
      </c>
    </row>
    <row r="2024" spans="1:4" x14ac:dyDescent="0.2">
      <c r="A2024" s="5">
        <v>1963</v>
      </c>
      <c r="B2024" s="138">
        <f>'Cap Outlay Deprec 26'!E13</f>
        <v>457063</v>
      </c>
      <c r="D2024" s="2" t="str">
        <f t="shared" si="30"/>
        <v>Error?</v>
      </c>
    </row>
    <row r="2025" spans="1:4" x14ac:dyDescent="0.2">
      <c r="A2025" s="5">
        <v>1964</v>
      </c>
      <c r="B2025" s="138">
        <f>'Cap Outlay Deprec 26'!E16</f>
        <v>564228</v>
      </c>
      <c r="C2025" s="2" t="s">
        <v>573</v>
      </c>
      <c r="D2025" s="2" t="str">
        <f t="shared" si="30"/>
        <v>Error?</v>
      </c>
    </row>
    <row r="2026" spans="1:4" x14ac:dyDescent="0.2">
      <c r="A2026" s="5">
        <v>1965</v>
      </c>
      <c r="B2026" s="138">
        <f>'Cap Outlay Deprec 26'!F5</f>
        <v>224259</v>
      </c>
      <c r="C2026" s="2" t="s">
        <v>573</v>
      </c>
      <c r="D2026" s="2" t="str">
        <f t="shared" si="30"/>
        <v>Error?</v>
      </c>
    </row>
    <row r="2027" spans="1:4" x14ac:dyDescent="0.2">
      <c r="A2027" s="5">
        <v>1966</v>
      </c>
      <c r="B2027" s="138">
        <f>'Cap Outlay Deprec 26'!F8</f>
        <v>8723809</v>
      </c>
      <c r="C2027" s="2" t="s">
        <v>573</v>
      </c>
      <c r="D2027" s="2" t="str">
        <f t="shared" si="30"/>
        <v>Error?</v>
      </c>
    </row>
    <row r="2028" spans="1:4" x14ac:dyDescent="0.2">
      <c r="A2028" s="5">
        <v>1967</v>
      </c>
      <c r="B2028" s="138">
        <f>'Cap Outlay Deprec 26'!F10</f>
        <v>694041</v>
      </c>
      <c r="C2028" s="2" t="s">
        <v>573</v>
      </c>
      <c r="D2028" s="2" t="str">
        <f t="shared" si="30"/>
        <v>Error?</v>
      </c>
    </row>
    <row r="2029" spans="1:4" x14ac:dyDescent="0.2">
      <c r="A2029" s="5">
        <v>1968</v>
      </c>
      <c r="B2029" s="138">
        <f>'Cap Outlay Deprec 26'!F12</f>
        <v>1910035</v>
      </c>
      <c r="C2029" s="2" t="s">
        <v>573</v>
      </c>
      <c r="D2029" s="2" t="str">
        <f t="shared" si="30"/>
        <v>Error?</v>
      </c>
    </row>
    <row r="2030" spans="1:4" x14ac:dyDescent="0.2">
      <c r="A2030" s="5">
        <v>1969</v>
      </c>
      <c r="B2030" s="138">
        <f>'Cap Outlay Deprec 26'!F13</f>
        <v>101928</v>
      </c>
      <c r="C2030" s="2" t="s">
        <v>573</v>
      </c>
      <c r="D2030" s="2" t="str">
        <f t="shared" si="30"/>
        <v>Error?</v>
      </c>
    </row>
    <row r="2031" spans="1:4" x14ac:dyDescent="0.2">
      <c r="A2031" s="5">
        <v>1970</v>
      </c>
      <c r="B2031" s="138">
        <f>'Cap Outlay Deprec 26'!F16</f>
        <v>11654072</v>
      </c>
      <c r="C2031" s="2" t="s">
        <v>573</v>
      </c>
      <c r="D2031" s="2" t="str">
        <f t="shared" si="30"/>
        <v>Error?</v>
      </c>
    </row>
    <row r="2032" spans="1:4" x14ac:dyDescent="0.2">
      <c r="A2032" s="10">
        <v>1971</v>
      </c>
      <c r="D2032" s="2" t="str">
        <f t="shared" si="30"/>
        <v>OK</v>
      </c>
    </row>
    <row r="2033" spans="1:4" x14ac:dyDescent="0.2">
      <c r="A2033" s="5">
        <v>1972</v>
      </c>
      <c r="B2033" s="138">
        <f>'Cap Outlay Deprec 26'!H8</f>
        <v>4687214</v>
      </c>
      <c r="D2033" s="2" t="str">
        <f t="shared" si="30"/>
        <v>Error?</v>
      </c>
    </row>
    <row r="2034" spans="1:4" x14ac:dyDescent="0.2">
      <c r="A2034" s="5">
        <v>1973</v>
      </c>
      <c r="B2034" s="138">
        <f>'Cap Outlay Deprec 26'!H10</f>
        <v>373767</v>
      </c>
      <c r="D2034" s="2" t="str">
        <f t="shared" si="30"/>
        <v>Error?</v>
      </c>
    </row>
    <row r="2035" spans="1:4" x14ac:dyDescent="0.2">
      <c r="A2035" s="5">
        <v>1974</v>
      </c>
      <c r="B2035" s="138">
        <f>'Cap Outlay Deprec 26'!H12</f>
        <v>843784</v>
      </c>
      <c r="D2035" s="2" t="str">
        <f t="shared" si="30"/>
        <v>Error?</v>
      </c>
    </row>
    <row r="2036" spans="1:4" x14ac:dyDescent="0.2">
      <c r="A2036" s="5">
        <v>1975</v>
      </c>
      <c r="B2036" s="138">
        <f>'Cap Outlay Deprec 26'!H13</f>
        <v>74724</v>
      </c>
      <c r="D2036" s="2" t="str">
        <f t="shared" si="30"/>
        <v>Error?</v>
      </c>
    </row>
    <row r="2037" spans="1:4" x14ac:dyDescent="0.2">
      <c r="A2037" s="5">
        <v>1976</v>
      </c>
      <c r="B2037" s="138">
        <f>'Cap Outlay Deprec 26'!H16</f>
        <v>5979489</v>
      </c>
      <c r="C2037" s="2" t="s">
        <v>573</v>
      </c>
      <c r="D2037" s="2" t="str">
        <f t="shared" si="30"/>
        <v>Error?</v>
      </c>
    </row>
    <row r="2038" spans="1:4" x14ac:dyDescent="0.2">
      <c r="A2038" s="10">
        <v>1977</v>
      </c>
      <c r="D2038" s="2" t="str">
        <f t="shared" si="30"/>
        <v>OK</v>
      </c>
    </row>
    <row r="2039" spans="1:4" x14ac:dyDescent="0.2">
      <c r="A2039" s="5">
        <v>1978</v>
      </c>
      <c r="B2039" s="138">
        <f>'Cap Outlay Deprec 26'!I8</f>
        <v>137546</v>
      </c>
      <c r="D2039" s="2" t="str">
        <f t="shared" si="30"/>
        <v>Error?</v>
      </c>
    </row>
    <row r="2040" spans="1:4" x14ac:dyDescent="0.2">
      <c r="A2040" s="5">
        <v>1979</v>
      </c>
      <c r="B2040" s="138">
        <f>'Cap Outlay Deprec 26'!I10</f>
        <v>31910</v>
      </c>
      <c r="D2040" s="2" t="str">
        <f t="shared" si="30"/>
        <v>Error?</v>
      </c>
    </row>
    <row r="2041" spans="1:4" x14ac:dyDescent="0.2">
      <c r="A2041" s="5">
        <v>1980</v>
      </c>
      <c r="B2041" s="138">
        <f>'Cap Outlay Deprec 26'!I12</f>
        <v>188289</v>
      </c>
      <c r="D2041" s="2" t="str">
        <f t="shared" si="30"/>
        <v>Error?</v>
      </c>
    </row>
    <row r="2042" spans="1:4" x14ac:dyDescent="0.2">
      <c r="A2042" s="5">
        <v>1981</v>
      </c>
      <c r="B2042" s="138">
        <f>'Cap Outlay Deprec 26'!I13</f>
        <v>9637</v>
      </c>
      <c r="D2042" s="2" t="str">
        <f t="shared" si="30"/>
        <v>Error?</v>
      </c>
    </row>
    <row r="2043" spans="1:4" x14ac:dyDescent="0.2">
      <c r="A2043" s="5">
        <v>1982</v>
      </c>
      <c r="B2043" s="138">
        <f>'Cap Outlay Deprec 26'!I16</f>
        <v>367382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107165</v>
      </c>
      <c r="D2047" s="2" t="str">
        <f t="shared" ref="D2047:D2110" si="31">IF(ISBLANK(B2047),"OK",IF(A2047-B2047=0,"OK","Error?"))</f>
        <v>Error?</v>
      </c>
    </row>
    <row r="2048" spans="1:4" x14ac:dyDescent="0.2">
      <c r="A2048" s="5">
        <v>1987</v>
      </c>
      <c r="B2048" s="138">
        <f>'Cap Outlay Deprec 26'!J13</f>
        <v>46992</v>
      </c>
      <c r="D2048" s="2" t="str">
        <f t="shared" si="31"/>
        <v>Error?</v>
      </c>
    </row>
    <row r="2049" spans="1:4" x14ac:dyDescent="0.2">
      <c r="A2049" s="5">
        <v>1988</v>
      </c>
      <c r="B2049" s="138">
        <f>'Cap Outlay Deprec 26'!J16</f>
        <v>154157</v>
      </c>
      <c r="C2049" s="2" t="s">
        <v>573</v>
      </c>
      <c r="D2049" s="2" t="str">
        <f t="shared" si="31"/>
        <v>Error?</v>
      </c>
    </row>
    <row r="2050" spans="1:4" x14ac:dyDescent="0.2">
      <c r="A2050" s="10">
        <v>1989</v>
      </c>
      <c r="D2050" s="2" t="str">
        <f t="shared" si="31"/>
        <v>OK</v>
      </c>
    </row>
    <row r="2051" spans="1:4" x14ac:dyDescent="0.2">
      <c r="A2051" s="5">
        <v>1990</v>
      </c>
      <c r="B2051" s="138">
        <f>'Cap Outlay Deprec 26'!K8</f>
        <v>4824760</v>
      </c>
      <c r="C2051" s="2" t="s">
        <v>573</v>
      </c>
      <c r="D2051" s="2" t="str">
        <f t="shared" si="31"/>
        <v>Error?</v>
      </c>
    </row>
    <row r="2052" spans="1:4" x14ac:dyDescent="0.2">
      <c r="A2052" s="5">
        <v>1991</v>
      </c>
      <c r="B2052" s="138">
        <f>'Cap Outlay Deprec 26'!K10</f>
        <v>405677</v>
      </c>
      <c r="C2052" s="2" t="s">
        <v>573</v>
      </c>
      <c r="D2052" s="2" t="str">
        <f t="shared" si="31"/>
        <v>Error?</v>
      </c>
    </row>
    <row r="2053" spans="1:4" x14ac:dyDescent="0.2">
      <c r="A2053" s="5">
        <v>1992</v>
      </c>
      <c r="B2053" s="138">
        <f>'Cap Outlay Deprec 26'!K12</f>
        <v>924908</v>
      </c>
      <c r="C2053" s="2" t="s">
        <v>573</v>
      </c>
      <c r="D2053" s="2" t="str">
        <f t="shared" si="31"/>
        <v>Error?</v>
      </c>
    </row>
    <row r="2054" spans="1:4" x14ac:dyDescent="0.2">
      <c r="A2054" s="5">
        <v>1993</v>
      </c>
      <c r="B2054" s="138">
        <f>'Cap Outlay Deprec 26'!K13</f>
        <v>37369</v>
      </c>
      <c r="C2054" s="2" t="s">
        <v>573</v>
      </c>
      <c r="D2054" s="2" t="str">
        <f t="shared" si="31"/>
        <v>Error?</v>
      </c>
    </row>
    <row r="2055" spans="1:4" x14ac:dyDescent="0.2">
      <c r="A2055" s="5">
        <v>1994</v>
      </c>
      <c r="B2055" s="138">
        <f>'Cap Outlay Deprec 26'!K16</f>
        <v>6192714</v>
      </c>
      <c r="C2055" s="2" t="s">
        <v>573</v>
      </c>
      <c r="D2055" s="2" t="str">
        <f t="shared" si="31"/>
        <v>Error?</v>
      </c>
    </row>
    <row r="2056" spans="1:4" x14ac:dyDescent="0.2">
      <c r="A2056" s="5">
        <v>1995</v>
      </c>
      <c r="B2056" s="138">
        <f>'Cap Outlay Deprec 26'!L5</f>
        <v>224259</v>
      </c>
      <c r="C2056" s="2" t="s">
        <v>573</v>
      </c>
      <c r="D2056" s="2" t="str">
        <f t="shared" si="31"/>
        <v>Error?</v>
      </c>
    </row>
    <row r="2057" spans="1:4" x14ac:dyDescent="0.2">
      <c r="A2057" s="5">
        <v>1996</v>
      </c>
      <c r="B2057" s="138">
        <f>'Cap Outlay Deprec 26'!L8</f>
        <v>3899049</v>
      </c>
      <c r="C2057" s="2" t="s">
        <v>573</v>
      </c>
      <c r="D2057" s="2" t="str">
        <f t="shared" si="31"/>
        <v>Error?</v>
      </c>
    </row>
    <row r="2058" spans="1:4" x14ac:dyDescent="0.2">
      <c r="A2058" s="5">
        <v>1997</v>
      </c>
      <c r="B2058" s="138">
        <f>'Cap Outlay Deprec 26'!L10</f>
        <v>288364</v>
      </c>
      <c r="C2058" s="2" t="s">
        <v>573</v>
      </c>
      <c r="D2058" s="2" t="str">
        <f t="shared" si="31"/>
        <v>Error?</v>
      </c>
    </row>
    <row r="2059" spans="1:4" x14ac:dyDescent="0.2">
      <c r="A2059" s="5">
        <v>1998</v>
      </c>
      <c r="B2059" s="138">
        <f>'Cap Outlay Deprec 26'!L12</f>
        <v>985127</v>
      </c>
      <c r="C2059" s="2" t="s">
        <v>573</v>
      </c>
      <c r="D2059" s="2" t="str">
        <f t="shared" si="31"/>
        <v>Error?</v>
      </c>
    </row>
    <row r="2060" spans="1:4" x14ac:dyDescent="0.2">
      <c r="A2060" s="5">
        <v>1999</v>
      </c>
      <c r="B2060" s="138">
        <f>'Cap Outlay Deprec 26'!L13</f>
        <v>64559</v>
      </c>
      <c r="C2060" s="2" t="s">
        <v>573</v>
      </c>
      <c r="D2060" s="2" t="str">
        <f t="shared" si="31"/>
        <v>Error?</v>
      </c>
    </row>
    <row r="2061" spans="1:4" x14ac:dyDescent="0.2">
      <c r="A2061" s="5">
        <v>2000</v>
      </c>
      <c r="B2061" s="138">
        <f>'Cap Outlay Deprec 26'!L16</f>
        <v>5461358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249335</v>
      </c>
      <c r="C2088" s="2" t="s">
        <v>573</v>
      </c>
      <c r="D2088" s="2" t="str">
        <f t="shared" si="31"/>
        <v>Error?</v>
      </c>
    </row>
    <row r="2089" spans="1:4" x14ac:dyDescent="0.2">
      <c r="A2089" s="5">
        <v>2028</v>
      </c>
      <c r="B2089" s="138">
        <f>'Expenditures 15-22'!K92</f>
        <v>172087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197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106660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8359158</v>
      </c>
      <c r="C2551" s="2" t="s">
        <v>573</v>
      </c>
      <c r="D2551" s="2" t="str">
        <f t="shared" si="38"/>
        <v>Error?</v>
      </c>
    </row>
    <row r="2552" spans="1:4" x14ac:dyDescent="0.2">
      <c r="A2552" s="10">
        <v>2491</v>
      </c>
      <c r="D2552" s="2" t="str">
        <f t="shared" si="38"/>
        <v>OK</v>
      </c>
    </row>
    <row r="2553" spans="1:4" x14ac:dyDescent="0.2">
      <c r="A2553" s="5">
        <v>2492</v>
      </c>
      <c r="B2553" s="138">
        <f>'Acct Summary 7-8'!C6</f>
        <v>883492</v>
      </c>
      <c r="C2553" s="2" t="s">
        <v>573</v>
      </c>
      <c r="D2553" s="2" t="str">
        <f t="shared" si="38"/>
        <v>Error?</v>
      </c>
    </row>
    <row r="2554" spans="1:4" x14ac:dyDescent="0.2">
      <c r="A2554" s="5">
        <v>2493</v>
      </c>
      <c r="B2554" s="138">
        <f>'Acct Summary 7-8'!C7</f>
        <v>573534</v>
      </c>
      <c r="C2554" s="2" t="s">
        <v>573</v>
      </c>
      <c r="D2554" s="2" t="str">
        <f t="shared" si="38"/>
        <v>Error?</v>
      </c>
    </row>
    <row r="2555" spans="1:4" x14ac:dyDescent="0.2">
      <c r="A2555" s="5">
        <v>2494</v>
      </c>
      <c r="B2555" s="138">
        <f>'Acct Summary 7-8'!C8</f>
        <v>9816184</v>
      </c>
      <c r="C2555" s="2" t="s">
        <v>573</v>
      </c>
      <c r="D2555" s="2" t="str">
        <f t="shared" si="38"/>
        <v>Error?</v>
      </c>
    </row>
    <row r="2556" spans="1:4" x14ac:dyDescent="0.2">
      <c r="A2556" s="5">
        <v>2495</v>
      </c>
      <c r="B2556" s="138">
        <f>'Acct Summary 7-8'!C12</f>
        <v>6433031</v>
      </c>
      <c r="C2556" s="2" t="s">
        <v>573</v>
      </c>
      <c r="D2556" s="2" t="str">
        <f t="shared" si="38"/>
        <v>Error?</v>
      </c>
    </row>
    <row r="2557" spans="1:4" x14ac:dyDescent="0.2">
      <c r="A2557" s="5">
        <v>2496</v>
      </c>
      <c r="B2557" s="138">
        <f>'Acct Summary 7-8'!C13</f>
        <v>2415470</v>
      </c>
      <c r="C2557" s="2" t="s">
        <v>573</v>
      </c>
      <c r="D2557" s="2" t="str">
        <f t="shared" si="38"/>
        <v>Error?</v>
      </c>
    </row>
    <row r="2558" spans="1:4" x14ac:dyDescent="0.2">
      <c r="A2558" s="5">
        <v>2497</v>
      </c>
      <c r="B2558" s="138">
        <f>'Acct Summary 7-8'!C14</f>
        <v>1697</v>
      </c>
      <c r="C2558" s="2" t="s">
        <v>573</v>
      </c>
      <c r="D2558" s="2" t="str">
        <f t="shared" si="38"/>
        <v>Error?</v>
      </c>
    </row>
    <row r="2559" spans="1:4" x14ac:dyDescent="0.2">
      <c r="A2559" s="5">
        <v>2498</v>
      </c>
      <c r="B2559" s="138">
        <f>'Acct Summary 7-8'!C15</f>
        <v>421422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9271620</v>
      </c>
      <c r="C2561" s="2" t="s">
        <v>573</v>
      </c>
      <c r="D2561" s="2" t="str">
        <f t="shared" si="39"/>
        <v>Error?</v>
      </c>
    </row>
    <row r="2562" spans="1:4" x14ac:dyDescent="0.2">
      <c r="A2562" s="5">
        <v>2501</v>
      </c>
      <c r="B2562" s="138">
        <f>'Acct Summary 7-8'!C20</f>
        <v>544564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1218826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1218826</v>
      </c>
      <c r="C2568" s="2" t="s">
        <v>573</v>
      </c>
      <c r="D2568" s="2" t="str">
        <f t="shared" si="39"/>
        <v>Error?</v>
      </c>
    </row>
    <row r="2569" spans="1:4" x14ac:dyDescent="0.2">
      <c r="A2569" s="5">
        <v>2508</v>
      </c>
      <c r="B2569" s="138">
        <f>'Acct Summary 7-8'!D13</f>
        <v>821952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821952</v>
      </c>
      <c r="C2573" s="2" t="s">
        <v>573</v>
      </c>
      <c r="D2573" s="2" t="str">
        <f t="shared" si="39"/>
        <v>Error?</v>
      </c>
    </row>
    <row r="2574" spans="1:4" x14ac:dyDescent="0.2">
      <c r="A2574" s="5">
        <v>2513</v>
      </c>
      <c r="B2574" s="138">
        <f>'Acct Summary 7-8'!D20</f>
        <v>396874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402923</v>
      </c>
      <c r="C2591" s="2" t="s">
        <v>573</v>
      </c>
      <c r="D2591" s="2" t="str">
        <f t="shared" si="39"/>
        <v>Error?</v>
      </c>
    </row>
    <row r="2592" spans="1:4" x14ac:dyDescent="0.2">
      <c r="A2592" s="10">
        <v>2531</v>
      </c>
      <c r="D2592" s="2" t="str">
        <f t="shared" si="39"/>
        <v>OK</v>
      </c>
    </row>
    <row r="2593" spans="1:4" x14ac:dyDescent="0.2">
      <c r="A2593" s="5">
        <v>2532</v>
      </c>
      <c r="B2593" s="138">
        <f>'Acct Summary 7-8'!F6</f>
        <v>149870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552793</v>
      </c>
      <c r="C2595" s="2" t="s">
        <v>573</v>
      </c>
      <c r="D2595" s="2" t="str">
        <f t="shared" si="39"/>
        <v>Error?</v>
      </c>
    </row>
    <row r="2596" spans="1:4" x14ac:dyDescent="0.2">
      <c r="A2596" s="5">
        <v>2535</v>
      </c>
      <c r="B2596" s="138">
        <f>'Acct Summary 7-8'!F13</f>
        <v>531981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531981</v>
      </c>
      <c r="C2600" s="2" t="s">
        <v>573</v>
      </c>
      <c r="D2600" s="2" t="str">
        <f t="shared" si="39"/>
        <v>Error?</v>
      </c>
    </row>
    <row r="2601" spans="1:4" x14ac:dyDescent="0.2">
      <c r="A2601" s="5">
        <v>2540</v>
      </c>
      <c r="B2601" s="138">
        <f>'Acct Summary 7-8'!F20</f>
        <v>20812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454914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454914</v>
      </c>
      <c r="C2606" s="2" t="s">
        <v>573</v>
      </c>
      <c r="D2606" s="2" t="str">
        <f t="shared" si="39"/>
        <v>Error?</v>
      </c>
    </row>
    <row r="2607" spans="1:4" x14ac:dyDescent="0.2">
      <c r="A2607" s="5">
        <v>2546</v>
      </c>
      <c r="B2607" s="138">
        <f>'Acct Summary 7-8'!G12</f>
        <v>155736</v>
      </c>
      <c r="C2607" s="2" t="s">
        <v>573</v>
      </c>
      <c r="D2607" s="2" t="str">
        <f t="shared" si="39"/>
        <v>Error?</v>
      </c>
    </row>
    <row r="2608" spans="1:4" x14ac:dyDescent="0.2">
      <c r="A2608" s="5">
        <v>2547</v>
      </c>
      <c r="B2608" s="138">
        <f>'Acct Summary 7-8'!G13</f>
        <v>173182</v>
      </c>
      <c r="C2608" s="2" t="s">
        <v>573</v>
      </c>
      <c r="D2608" s="2" t="str">
        <f t="shared" si="39"/>
        <v>Error?</v>
      </c>
    </row>
    <row r="2609" spans="1:4" x14ac:dyDescent="0.2">
      <c r="A2609" s="5">
        <v>2548</v>
      </c>
      <c r="B2609" s="138">
        <f>'Acct Summary 7-8'!G14</f>
        <v>22</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328940</v>
      </c>
      <c r="C2612" s="2" t="s">
        <v>573</v>
      </c>
      <c r="D2612" s="2" t="str">
        <f t="shared" si="39"/>
        <v>Error?</v>
      </c>
    </row>
    <row r="2613" spans="1:4" x14ac:dyDescent="0.2">
      <c r="A2613" s="5">
        <v>2552</v>
      </c>
      <c r="B2613" s="138">
        <f>'Acct Summary 7-8'!G20</f>
        <v>125974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17676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17676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525526</v>
      </c>
      <c r="C2634" s="2" t="s">
        <v>573</v>
      </c>
      <c r="D2634" s="2" t="str">
        <f t="shared" si="40"/>
        <v>Error?</v>
      </c>
    </row>
    <row r="2635" spans="1:4" x14ac:dyDescent="0.2">
      <c r="A2635" s="5">
        <v>2574</v>
      </c>
      <c r="B2635" s="138">
        <f>'Acct Summary 7-8'!E17</f>
        <v>525526</v>
      </c>
      <c r="C2635" s="2" t="s">
        <v>573</v>
      </c>
      <c r="D2635" s="2" t="str">
        <f t="shared" si="40"/>
        <v>Error?</v>
      </c>
    </row>
    <row r="2636" spans="1:4" x14ac:dyDescent="0.2">
      <c r="A2636" s="5">
        <v>2575</v>
      </c>
      <c r="B2636" s="138">
        <f>'Acct Summary 7-8'!E20</f>
        <v>-507850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532387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532387</v>
      </c>
      <c r="C2658" s="2" t="s">
        <v>573</v>
      </c>
      <c r="D2658" s="2" t="str">
        <f t="shared" si="40"/>
        <v>Error?</v>
      </c>
    </row>
    <row r="2659" spans="1:4" x14ac:dyDescent="0.2">
      <c r="A2659" s="5">
        <v>2598</v>
      </c>
      <c r="B2659" s="138">
        <f>'Acct Summary 7-8'!H13</f>
        <v>1445214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1445214</v>
      </c>
      <c r="C2661" s="2" t="s">
        <v>573</v>
      </c>
      <c r="D2661" s="2" t="str">
        <f t="shared" si="40"/>
        <v>Error?</v>
      </c>
    </row>
    <row r="2662" spans="1:4" x14ac:dyDescent="0.2">
      <c r="A2662" s="5">
        <v>2601</v>
      </c>
      <c r="B2662" s="138">
        <f>'Acct Summary 7-8'!H20</f>
        <v>-912827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249335</v>
      </c>
      <c r="C2789" s="2" t="s">
        <v>573</v>
      </c>
      <c r="D2789" s="2" t="str">
        <f t="shared" si="42"/>
        <v>Error?</v>
      </c>
    </row>
    <row r="2790" spans="1:4" x14ac:dyDescent="0.2">
      <c r="A2790" s="5">
        <v>2729</v>
      </c>
      <c r="B2790" s="138">
        <f>'Expenditures 15-22'!E102</f>
        <v>249335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227</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958073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414987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958073</v>
      </c>
      <c r="D2912" s="2" t="str">
        <f t="shared" si="44"/>
        <v>Error?</v>
      </c>
    </row>
    <row r="2913" spans="1:4" x14ac:dyDescent="0.2">
      <c r="A2913" s="5">
        <v>2852</v>
      </c>
      <c r="B2913" s="138">
        <f>'Assets-Liab 5-6'!I41</f>
        <v>958073</v>
      </c>
      <c r="C2913" s="2" t="s">
        <v>573</v>
      </c>
      <c r="D2913" s="2" t="str">
        <f t="shared" si="44"/>
        <v>Error?</v>
      </c>
    </row>
    <row r="2914" spans="1:4" x14ac:dyDescent="0.2">
      <c r="A2914" s="5">
        <v>2853</v>
      </c>
      <c r="B2914" s="138">
        <f>'Assets-Liab 5-6'!L33</f>
        <v>414987</v>
      </c>
      <c r="D2914" s="2" t="str">
        <f t="shared" si="44"/>
        <v>Error?</v>
      </c>
    </row>
    <row r="2915" spans="1:4" x14ac:dyDescent="0.2">
      <c r="A2915" s="10">
        <v>2854</v>
      </c>
      <c r="D2915" s="2" t="str">
        <f t="shared" si="44"/>
        <v>OK</v>
      </c>
    </row>
    <row r="2916" spans="1:4" x14ac:dyDescent="0.2">
      <c r="A2916" s="5">
        <v>2855</v>
      </c>
      <c r="B2916" s="138">
        <f>'Assets-Liab 5-6'!L34</f>
        <v>414987</v>
      </c>
      <c r="C2916" s="2" t="s">
        <v>573</v>
      </c>
      <c r="D2916" s="2" t="str">
        <f t="shared" si="44"/>
        <v>Error?</v>
      </c>
    </row>
    <row r="2917" spans="1:4" x14ac:dyDescent="0.2">
      <c r="A2917" s="5">
        <v>2856</v>
      </c>
      <c r="B2917" s="138">
        <f>'Assets-Liab 5-6'!L41</f>
        <v>414987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247967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1368</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247967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1368</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88810</v>
      </c>
      <c r="D3055" s="2" t="str">
        <f t="shared" si="46"/>
        <v>Error?</v>
      </c>
    </row>
    <row r="3056" spans="1:4" x14ac:dyDescent="0.2">
      <c r="A3056" s="5">
        <v>2995</v>
      </c>
      <c r="B3056" s="138">
        <f>'Expenditures 15-22'!D10</f>
        <v>19330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6767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114907</v>
      </c>
      <c r="C3062" s="2" t="s">
        <v>573</v>
      </c>
      <c r="D3062" s="2" t="str">
        <f t="shared" si="46"/>
        <v>Error?</v>
      </c>
    </row>
    <row r="3063" spans="1:4" x14ac:dyDescent="0.2">
      <c r="A3063" s="10">
        <v>3002</v>
      </c>
      <c r="D3063" s="2" t="str">
        <f t="shared" si="46"/>
        <v>OK</v>
      </c>
    </row>
    <row r="3064" spans="1:4" x14ac:dyDescent="0.2">
      <c r="A3064" s="5">
        <v>3003</v>
      </c>
      <c r="B3064" s="138">
        <f>'Expenditures 15-22'!D219</f>
        <v>1250</v>
      </c>
      <c r="D3064" s="2" t="str">
        <f t="shared" si="46"/>
        <v>Error?</v>
      </c>
    </row>
    <row r="3065" spans="1:4" x14ac:dyDescent="0.2">
      <c r="A3065" s="5">
        <v>3004</v>
      </c>
      <c r="B3065" s="138">
        <f>'Expenditures 15-22'!K219</f>
        <v>1250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100195</v>
      </c>
      <c r="C3225" s="2" t="s">
        <v>573</v>
      </c>
      <c r="D3225" s="2" t="str">
        <f t="shared" si="49"/>
        <v>Error?</v>
      </c>
    </row>
    <row r="3226" spans="1:4" x14ac:dyDescent="0.2">
      <c r="A3226" s="5">
        <v>3165</v>
      </c>
      <c r="B3226" s="138">
        <f>'Acct Summary 7-8'!I8</f>
        <v>100195</v>
      </c>
      <c r="C3226" s="2" t="s">
        <v>573</v>
      </c>
      <c r="D3226" s="2" t="str">
        <f t="shared" si="49"/>
        <v>Error?</v>
      </c>
    </row>
    <row r="3227" spans="1:4" x14ac:dyDescent="0.2">
      <c r="A3227" s="5">
        <v>3166</v>
      </c>
      <c r="B3227" s="138">
        <f>'Acct Summary 7-8'!I20</f>
        <v>100195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544564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396874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7340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7340</v>
      </c>
      <c r="C3255" s="2" t="s">
        <v>573</v>
      </c>
      <c r="D3255" s="2" t="str">
        <f t="shared" si="49"/>
        <v>Error?</v>
      </c>
    </row>
    <row r="3256" spans="1:4" x14ac:dyDescent="0.2">
      <c r="A3256" s="5">
        <v>3195</v>
      </c>
      <c r="B3256" s="138">
        <f>'Acct Summary 7-8'!F78</f>
        <v>28152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125974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507526</v>
      </c>
      <c r="D3273" s="2" t="str">
        <f t="shared" si="50"/>
        <v>Error?</v>
      </c>
    </row>
    <row r="3274" spans="1:4" x14ac:dyDescent="0.2">
      <c r="A3274" s="5">
        <v>3213</v>
      </c>
      <c r="B3274" s="138">
        <f>'Acct Summary 7-8'!E44</f>
        <v>507526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507526</v>
      </c>
      <c r="C3277" s="2" t="s">
        <v>573</v>
      </c>
      <c r="D3277" s="2" t="str">
        <f t="shared" si="50"/>
        <v>Error?</v>
      </c>
    </row>
    <row r="3278" spans="1:4" x14ac:dyDescent="0.2">
      <c r="A3278" s="5">
        <v>3217</v>
      </c>
      <c r="B3278" s="138">
        <f>'Acct Summary 7-8'!E78</f>
        <v>-324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507526</v>
      </c>
      <c r="D3297" s="2" t="str">
        <f t="shared" si="50"/>
        <v>Error?</v>
      </c>
    </row>
    <row r="3298" spans="1:4" x14ac:dyDescent="0.2">
      <c r="A3298" s="5">
        <v>3237</v>
      </c>
      <c r="B3298" s="138">
        <f>'Acct Summary 7-8'!H76</f>
        <v>507526</v>
      </c>
      <c r="C3298" s="2" t="s">
        <v>573</v>
      </c>
      <c r="D3298" s="2" t="str">
        <f t="shared" si="50"/>
        <v>Error?</v>
      </c>
    </row>
    <row r="3299" spans="1:4" x14ac:dyDescent="0.2">
      <c r="A3299" s="5">
        <v>3238</v>
      </c>
      <c r="B3299" s="138">
        <f>'Acct Summary 7-8'!H77</f>
        <v>-507526</v>
      </c>
      <c r="C3299" s="2" t="s">
        <v>573</v>
      </c>
      <c r="D3299" s="2" t="str">
        <f t="shared" si="50"/>
        <v>Error?</v>
      </c>
    </row>
    <row r="3300" spans="1:4" x14ac:dyDescent="0.2">
      <c r="A3300" s="5">
        <v>3239</v>
      </c>
      <c r="B3300" s="138">
        <f>'Acct Summary 7-8'!H78</f>
        <v>-1420353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100195</v>
      </c>
      <c r="C3320" s="2" t="s">
        <v>573</v>
      </c>
      <c r="D3320" s="2" t="str">
        <f t="shared" si="50"/>
        <v>Error?</v>
      </c>
    </row>
    <row r="3321" spans="1:4" x14ac:dyDescent="0.2">
      <c r="A3321" s="5">
        <v>3260</v>
      </c>
      <c r="B3321" s="138">
        <f>'Acct Summary 7-8'!I79</f>
        <v>857878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958073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899135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162668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12802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7060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1008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1082673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48604</v>
      </c>
      <c r="D3387" s="2" t="str">
        <f t="shared" si="51"/>
        <v>Error?</v>
      </c>
    </row>
    <row r="3388" spans="1:4" x14ac:dyDescent="0.2">
      <c r="A3388" s="5">
        <v>3327</v>
      </c>
      <c r="B3388" s="138">
        <f>'Expenditures 15-22'!D217</f>
        <v>79138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48604</v>
      </c>
      <c r="C3390" s="2" t="s">
        <v>573</v>
      </c>
      <c r="D3390" s="2" t="str">
        <f t="shared" si="51"/>
        <v>Error?</v>
      </c>
    </row>
    <row r="3391" spans="1:4" x14ac:dyDescent="0.2">
      <c r="A3391" s="5">
        <v>3330</v>
      </c>
      <c r="B3391" s="138">
        <f>'Expenditures 15-22'!K217</f>
        <v>79138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5508295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1268529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1686</v>
      </c>
      <c r="D3417" s="2" t="str">
        <f t="shared" si="52"/>
        <v>Error?</v>
      </c>
    </row>
    <row r="3418" spans="1:4" x14ac:dyDescent="0.2">
      <c r="A3418" s="10">
        <v>3357</v>
      </c>
      <c r="D3418" s="2" t="str">
        <f t="shared" si="52"/>
        <v>OK</v>
      </c>
    </row>
    <row r="3419" spans="1:4" x14ac:dyDescent="0.2">
      <c r="A3419" s="5">
        <v>3358</v>
      </c>
      <c r="B3419" s="138">
        <f>'Assets-Liab 5-6'!F4</f>
        <v>509266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245831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2272085</v>
      </c>
      <c r="D3425" s="2" t="str">
        <f t="shared" si="52"/>
        <v>Error?</v>
      </c>
    </row>
    <row r="3426" spans="1:4" x14ac:dyDescent="0.2">
      <c r="A3426" s="10">
        <v>3365</v>
      </c>
      <c r="D3426" s="2" t="str">
        <f t="shared" si="52"/>
        <v>OK</v>
      </c>
    </row>
    <row r="3427" spans="1:4" x14ac:dyDescent="0.2">
      <c r="A3427" s="5">
        <v>3366</v>
      </c>
      <c r="B3427" s="138">
        <f>'Assets-Liab 5-6'!I4</f>
        <v>958073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414987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221466</v>
      </c>
      <c r="C3446" s="2" t="s">
        <v>573</v>
      </c>
      <c r="D3446" s="2" t="str">
        <f t="shared" si="52"/>
        <v>Error?</v>
      </c>
    </row>
    <row r="3447" spans="1:4" x14ac:dyDescent="0.2">
      <c r="A3447" s="5">
        <v>3386</v>
      </c>
      <c r="B3447" s="138">
        <f>'Tax Sched 23'!D16</f>
        <v>174952</v>
      </c>
      <c r="C3447" s="2" t="s">
        <v>573</v>
      </c>
      <c r="D3447" s="2" t="str">
        <f t="shared" si="52"/>
        <v>Error?</v>
      </c>
    </row>
    <row r="3448" spans="1:4" x14ac:dyDescent="0.2">
      <c r="A3448" s="5">
        <v>3387</v>
      </c>
      <c r="B3448" s="138">
        <f>'Tax Sched 23'!C16</f>
        <v>46514</v>
      </c>
      <c r="D3448" s="2" t="str">
        <f t="shared" si="52"/>
        <v>Error?</v>
      </c>
    </row>
    <row r="3449" spans="1:4" x14ac:dyDescent="0.2">
      <c r="A3449" s="5">
        <v>3388</v>
      </c>
      <c r="B3449" s="138">
        <f>'Tax Sched 23'!F16</f>
        <v>190724</v>
      </c>
      <c r="C3449" s="2" t="s">
        <v>573</v>
      </c>
      <c r="D3449" s="2" t="str">
        <f t="shared" si="52"/>
        <v>Error?</v>
      </c>
    </row>
    <row r="3450" spans="1:4" x14ac:dyDescent="0.2">
      <c r="A3450" s="5">
        <v>3389</v>
      </c>
      <c r="B3450" s="138">
        <f>'Tax Sched 23'!E16</f>
        <v>237238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7340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137977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137977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137977</v>
      </c>
      <c r="D3567" s="2" t="str">
        <f t="shared" si="54"/>
        <v>Error?</v>
      </c>
    </row>
    <row r="3568" spans="1:4" x14ac:dyDescent="0.2">
      <c r="A3568" s="5">
        <v>3507</v>
      </c>
      <c r="B3568" s="138">
        <f>'Assets-Liab 5-6'!K41</f>
        <v>137977</v>
      </c>
      <c r="C3568" s="2" t="s">
        <v>573</v>
      </c>
      <c r="D3568" s="2" t="str">
        <f t="shared" si="54"/>
        <v>Error?</v>
      </c>
    </row>
    <row r="3569" spans="1:4" x14ac:dyDescent="0.2">
      <c r="A3569" s="5">
        <v>3508</v>
      </c>
      <c r="B3569" s="138">
        <f>'Acct Summary 7-8'!K4</f>
        <v>40211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40211</v>
      </c>
      <c r="C3571" s="2" t="s">
        <v>573</v>
      </c>
      <c r="D3571" s="2" t="str">
        <f t="shared" si="54"/>
        <v>Error?</v>
      </c>
    </row>
    <row r="3572" spans="1:4" x14ac:dyDescent="0.2">
      <c r="A3572" s="5">
        <v>3511</v>
      </c>
      <c r="B3572" s="138">
        <f>'Acct Summary 7-8'!K13</f>
        <v>414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414</v>
      </c>
      <c r="C3575" s="2" t="s">
        <v>573</v>
      </c>
      <c r="D3575" s="2" t="str">
        <f t="shared" si="54"/>
        <v>Error?</v>
      </c>
    </row>
    <row r="3576" spans="1:4" x14ac:dyDescent="0.2">
      <c r="A3576" s="5">
        <v>3515</v>
      </c>
      <c r="B3576" s="138">
        <f>'Acct Summary 7-8'!K20</f>
        <v>39797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39797</v>
      </c>
      <c r="C3588" s="2" t="s">
        <v>573</v>
      </c>
      <c r="D3588" s="2" t="str">
        <f t="shared" si="55"/>
        <v>Error?</v>
      </c>
    </row>
    <row r="3589" spans="1:4" x14ac:dyDescent="0.2">
      <c r="A3589" s="5">
        <v>3528</v>
      </c>
      <c r="B3589" s="138">
        <f>'Acct Summary 7-8'!K79</f>
        <v>98180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137977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414</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414</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414</v>
      </c>
      <c r="C3642" s="2" t="s">
        <v>573</v>
      </c>
      <c r="D3642" s="2" t="str">
        <f t="shared" si="55"/>
        <v>Error?</v>
      </c>
    </row>
    <row r="3643" spans="1:4" x14ac:dyDescent="0.2">
      <c r="A3643" s="5">
        <v>3582</v>
      </c>
      <c r="B3643" s="138">
        <f>'Expenditures 15-22'!F367</f>
        <v>414</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414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414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414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414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39797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6158</v>
      </c>
      <c r="C3725" s="2" t="s">
        <v>573</v>
      </c>
      <c r="D3725" s="2" t="str">
        <f t="shared" si="57"/>
        <v>Error?</v>
      </c>
    </row>
    <row r="3726" spans="1:4" x14ac:dyDescent="0.2">
      <c r="A3726" s="5">
        <v>3665</v>
      </c>
      <c r="B3726" s="138">
        <f>'Tax Sched 23'!D13</f>
        <v>4950</v>
      </c>
      <c r="C3726" s="2" t="s">
        <v>573</v>
      </c>
      <c r="D3726" s="2" t="str">
        <f t="shared" si="57"/>
        <v>Error?</v>
      </c>
    </row>
    <row r="3727" spans="1:4" x14ac:dyDescent="0.2">
      <c r="A3727" s="5">
        <v>3666</v>
      </c>
      <c r="B3727" s="138">
        <f>'Tax Sched 23'!C13</f>
        <v>1208</v>
      </c>
      <c r="D3727" s="2" t="str">
        <f t="shared" si="57"/>
        <v>Error?</v>
      </c>
    </row>
    <row r="3728" spans="1:4" x14ac:dyDescent="0.2">
      <c r="A3728" s="5">
        <v>3667</v>
      </c>
      <c r="B3728" s="138">
        <f>'Tax Sched 23'!F13</f>
        <v>4950</v>
      </c>
      <c r="C3728" s="2" t="s">
        <v>573</v>
      </c>
      <c r="D3728" s="2" t="str">
        <f t="shared" si="57"/>
        <v>Error?</v>
      </c>
    </row>
    <row r="3729" spans="1:4" x14ac:dyDescent="0.2">
      <c r="A3729" s="5">
        <v>3668</v>
      </c>
      <c r="B3729" s="138">
        <f>'Tax Sched 23'!E13</f>
        <v>6158</v>
      </c>
      <c r="D3729" s="2" t="str">
        <f t="shared" si="57"/>
        <v>Error?</v>
      </c>
    </row>
    <row r="3730" spans="1:4" x14ac:dyDescent="0.2">
      <c r="A3730" s="5">
        <v>3669</v>
      </c>
      <c r="B3730" s="138">
        <f>'ICR Computation 30'!E10</f>
        <v>139056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3823099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13639283</v>
      </c>
      <c r="C4122" s="2" t="s">
        <v>573</v>
      </c>
      <c r="D4122" s="2" t="str">
        <f t="shared" si="63"/>
        <v>Error?</v>
      </c>
    </row>
    <row r="4123" spans="1:4" x14ac:dyDescent="0.2">
      <c r="A4123" s="5">
        <v>4062</v>
      </c>
      <c r="B4123" s="138">
        <f>'Acct Summary 7-8'!D10</f>
        <v>1218826</v>
      </c>
      <c r="C4123" s="2" t="s">
        <v>573</v>
      </c>
      <c r="D4123" s="2" t="str">
        <f t="shared" si="63"/>
        <v>Error?</v>
      </c>
    </row>
    <row r="4124" spans="1:4" x14ac:dyDescent="0.2">
      <c r="A4124" s="5">
        <v>4063</v>
      </c>
      <c r="B4124" s="138">
        <f>'Acct Summary 7-8'!E10</f>
        <v>17676</v>
      </c>
      <c r="C4124" s="2" t="s">
        <v>573</v>
      </c>
      <c r="D4124" s="2" t="str">
        <f t="shared" si="63"/>
        <v>Error?</v>
      </c>
    </row>
    <row r="4125" spans="1:4" x14ac:dyDescent="0.2">
      <c r="A4125" s="5">
        <v>4064</v>
      </c>
      <c r="B4125" s="138">
        <f>'Acct Summary 7-8'!F10</f>
        <v>552793</v>
      </c>
      <c r="C4125" s="2" t="s">
        <v>573</v>
      </c>
      <c r="D4125" s="2" t="str">
        <f t="shared" si="63"/>
        <v>Error?</v>
      </c>
    </row>
    <row r="4126" spans="1:4" x14ac:dyDescent="0.2">
      <c r="A4126" s="5">
        <v>4065</v>
      </c>
      <c r="B4126" s="138">
        <f>'Acct Summary 7-8'!G10</f>
        <v>454914</v>
      </c>
      <c r="C4126" s="2" t="s">
        <v>573</v>
      </c>
      <c r="D4126" s="2" t="str">
        <f t="shared" si="63"/>
        <v>Error?</v>
      </c>
    </row>
    <row r="4127" spans="1:4" x14ac:dyDescent="0.2">
      <c r="A4127" s="5">
        <v>4066</v>
      </c>
      <c r="B4127" s="138">
        <f>'Acct Summary 7-8'!H10</f>
        <v>532387</v>
      </c>
      <c r="C4127" s="2" t="s">
        <v>573</v>
      </c>
      <c r="D4127" s="2" t="str">
        <f t="shared" si="63"/>
        <v>Error?</v>
      </c>
    </row>
    <row r="4128" spans="1:4" x14ac:dyDescent="0.2">
      <c r="A4128" s="5">
        <v>4067</v>
      </c>
      <c r="B4128" s="138">
        <f>'Acct Summary 7-8'!I10</f>
        <v>100195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40211</v>
      </c>
      <c r="C4130" s="2" t="s">
        <v>573</v>
      </c>
      <c r="D4130" s="2" t="str">
        <f t="shared" si="63"/>
        <v>Error?</v>
      </c>
    </row>
    <row r="4131" spans="1:4" x14ac:dyDescent="0.2">
      <c r="A4131" s="5">
        <v>4070</v>
      </c>
      <c r="B4131" s="138">
        <f>'Acct Summary 7-8'!C18</f>
        <v>3823099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13094719</v>
      </c>
      <c r="C4136" s="2" t="s">
        <v>573</v>
      </c>
      <c r="D4136" s="2" t="str">
        <f t="shared" si="63"/>
        <v>Error?</v>
      </c>
    </row>
    <row r="4137" spans="1:4" x14ac:dyDescent="0.2">
      <c r="A4137" s="5">
        <v>4076</v>
      </c>
      <c r="B4137" s="138">
        <f>'Acct Summary 7-8'!D19</f>
        <v>821952</v>
      </c>
      <c r="C4137" s="2" t="s">
        <v>573</v>
      </c>
      <c r="D4137" s="2" t="str">
        <f t="shared" si="63"/>
        <v>Error?</v>
      </c>
    </row>
    <row r="4138" spans="1:4" x14ac:dyDescent="0.2">
      <c r="A4138" s="5">
        <v>4077</v>
      </c>
      <c r="B4138" s="138">
        <f>'Acct Summary 7-8'!E19</f>
        <v>525526</v>
      </c>
      <c r="C4138" s="2" t="s">
        <v>573</v>
      </c>
      <c r="D4138" s="2" t="str">
        <f t="shared" si="63"/>
        <v>Error?</v>
      </c>
    </row>
    <row r="4139" spans="1:4" x14ac:dyDescent="0.2">
      <c r="A4139" s="5">
        <v>4078</v>
      </c>
      <c r="B4139" s="138">
        <f>'Acct Summary 7-8'!F19</f>
        <v>531981</v>
      </c>
      <c r="C4139" s="2" t="s">
        <v>573</v>
      </c>
      <c r="D4139" s="2" t="str">
        <f t="shared" si="63"/>
        <v>Error?</v>
      </c>
    </row>
    <row r="4140" spans="1:4" x14ac:dyDescent="0.2">
      <c r="A4140" s="5">
        <v>4079</v>
      </c>
      <c r="B4140" s="138">
        <f>'Acct Summary 7-8'!G19</f>
        <v>328940</v>
      </c>
      <c r="C4140" s="2" t="s">
        <v>573</v>
      </c>
      <c r="D4140" s="2" t="str">
        <f t="shared" si="63"/>
        <v>Error?</v>
      </c>
    </row>
    <row r="4141" spans="1:4" x14ac:dyDescent="0.2">
      <c r="A4141" s="5">
        <v>4080</v>
      </c>
      <c r="B4141" s="138">
        <f>'Acct Summary 7-8'!H19</f>
        <v>1445214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414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659000</v>
      </c>
      <c r="C4171" s="2" t="s">
        <v>573</v>
      </c>
      <c r="D4171" s="2" t="str">
        <f t="shared" si="64"/>
        <v>Error?</v>
      </c>
    </row>
    <row r="4172" spans="1:4" x14ac:dyDescent="0.2">
      <c r="A4172" s="5">
        <v>4111</v>
      </c>
      <c r="B4172" s="138">
        <f>'Short-Term Long-Term Debt 24'!J49</f>
        <v>657314</v>
      </c>
      <c r="C4172" s="2" t="s">
        <v>573</v>
      </c>
      <c r="D4172" s="2" t="str">
        <f t="shared" si="64"/>
        <v>Error?</v>
      </c>
    </row>
    <row r="4173" spans="1:4" x14ac:dyDescent="0.2">
      <c r="A4173" s="5">
        <v>4112</v>
      </c>
      <c r="B4173" s="138">
        <f>'Short-Term Long-Term Debt 24'!H49</f>
        <v>518000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3693.0499999999997</v>
      </c>
      <c r="C4265" s="2" t="s">
        <v>573</v>
      </c>
      <c r="D4265" s="2" t="str">
        <f t="shared" si="65"/>
        <v>Error?</v>
      </c>
      <c r="E4265" s="128"/>
    </row>
    <row r="4266" spans="1:5" x14ac:dyDescent="0.2">
      <c r="A4266" s="12">
        <v>4205</v>
      </c>
      <c r="B4266" s="138">
        <f>('FP Info 3'!F10)*100000</f>
        <v>582.39</v>
      </c>
      <c r="C4266" s="2" t="s">
        <v>573</v>
      </c>
      <c r="D4266" s="2" t="str">
        <f t="shared" si="65"/>
        <v>Error?</v>
      </c>
      <c r="E4266" s="128"/>
    </row>
    <row r="4267" spans="1:5" x14ac:dyDescent="0.2">
      <c r="A4267" s="12">
        <v>4206</v>
      </c>
      <c r="B4267" s="138">
        <f>('FP Info 3'!H10)*100000</f>
        <v>194.14000000000001</v>
      </c>
      <c r="C4267" s="2" t="s">
        <v>573</v>
      </c>
      <c r="D4267" s="2" t="str">
        <f t="shared" si="65"/>
        <v>Error?</v>
      </c>
      <c r="E4267" s="128"/>
    </row>
    <row r="4268" spans="1:5" x14ac:dyDescent="0.2">
      <c r="A4268" s="12">
        <v>4207</v>
      </c>
      <c r="B4268" s="138">
        <f>('FP Info 3'!J10)*100000</f>
        <v>4470</v>
      </c>
      <c r="C4268" s="2" t="s">
        <v>573</v>
      </c>
      <c r="D4268" s="2" t="str">
        <f t="shared" si="65"/>
        <v>Error?</v>
      </c>
    </row>
    <row r="4269" spans="1:5" x14ac:dyDescent="0.2">
      <c r="A4269" s="12">
        <v>4208</v>
      </c>
      <c r="B4269" s="138">
        <f>'FP Info 3'!J16</f>
        <v>8279603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15434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27742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860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23.69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1614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208744201</v>
      </c>
      <c r="D4995" s="2" t="str">
        <f t="shared" si="77"/>
        <v>Error?</v>
      </c>
    </row>
    <row r="4996" spans="1:4" x14ac:dyDescent="0.2">
      <c r="A4996" s="12">
        <v>4935</v>
      </c>
      <c r="B4996" s="138">
        <f>'FP Info 3'!H31</f>
        <v>28806699.738000002</v>
      </c>
      <c r="D4996" s="2" t="str">
        <f t="shared" si="77"/>
        <v>Error?</v>
      </c>
    </row>
    <row r="4997" spans="1:4" x14ac:dyDescent="0.2">
      <c r="A4997" s="12">
        <v>4936</v>
      </c>
      <c r="B4997" s="138">
        <f>'FP Info 3'!H37</f>
        <v>659000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6158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7649837</v>
      </c>
      <c r="D5061" s="2" t="str">
        <f t="shared" si="78"/>
        <v>Error?</v>
      </c>
    </row>
    <row r="5062" spans="1:4" x14ac:dyDescent="0.2">
      <c r="A5062" s="10">
        <v>5001</v>
      </c>
      <c r="D5062" s="2" t="str">
        <f t="shared" si="78"/>
        <v>OK</v>
      </c>
    </row>
    <row r="5063" spans="1:4" x14ac:dyDescent="0.2">
      <c r="A5063" s="5">
        <v>5002</v>
      </c>
      <c r="B5063" s="138">
        <f>'Revenues 9-14'!C7</f>
        <v>376169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8032164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77404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77404</v>
      </c>
      <c r="C5090" s="2" t="s">
        <v>573</v>
      </c>
      <c r="D5090" s="2" t="str">
        <f t="shared" si="78"/>
        <v>Error?</v>
      </c>
    </row>
    <row r="5091" spans="1:4" x14ac:dyDescent="0.2">
      <c r="A5091" s="5">
        <v>5030</v>
      </c>
      <c r="B5091" s="138">
        <f>'Revenues 9-14'!C70</f>
        <v>917</v>
      </c>
      <c r="D5091" s="2" t="str">
        <f t="shared" si="78"/>
        <v>Error?</v>
      </c>
    </row>
    <row r="5092" spans="1:4" x14ac:dyDescent="0.2">
      <c r="A5092" s="5">
        <v>5031</v>
      </c>
      <c r="B5092" s="138">
        <f>'Revenues 9-14'!C71</f>
        <v>908</v>
      </c>
      <c r="D5092" s="2" t="str">
        <f t="shared" si="78"/>
        <v>Error?</v>
      </c>
    </row>
    <row r="5093" spans="1:4" x14ac:dyDescent="0.2">
      <c r="A5093" s="5">
        <v>5032</v>
      </c>
      <c r="B5093" s="138">
        <f>'Revenues 9-14'!C72</f>
        <v>13062</v>
      </c>
      <c r="D5093" s="2" t="str">
        <f t="shared" si="78"/>
        <v>Error?</v>
      </c>
    </row>
    <row r="5094" spans="1:4" x14ac:dyDescent="0.2">
      <c r="A5094" s="5">
        <v>5033</v>
      </c>
      <c r="B5094" s="138">
        <f>'Revenues 9-14'!C73</f>
        <v>1745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133536</v>
      </c>
      <c r="C5096" s="2" t="s">
        <v>573</v>
      </c>
      <c r="D5096" s="2" t="str">
        <f t="shared" si="78"/>
        <v>Error?</v>
      </c>
    </row>
    <row r="5097" spans="1:4" x14ac:dyDescent="0.2">
      <c r="A5097" s="5">
        <v>5036</v>
      </c>
      <c r="B5097" s="138">
        <f>'Revenues 9-14'!C77</f>
        <v>14770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6815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4770</v>
      </c>
      <c r="D5101" s="2" t="str">
        <f t="shared" si="78"/>
        <v>Error?</v>
      </c>
    </row>
    <row r="5102" spans="1:4" x14ac:dyDescent="0.2">
      <c r="A5102" s="5">
        <v>5041</v>
      </c>
      <c r="B5102" s="138">
        <f>'Revenues 9-14'!C82</f>
        <v>26355</v>
      </c>
      <c r="C5102" s="2" t="s">
        <v>573</v>
      </c>
      <c r="D5102" s="2" t="str">
        <f t="shared" si="78"/>
        <v>Error?</v>
      </c>
    </row>
    <row r="5103" spans="1:4" x14ac:dyDescent="0.2">
      <c r="A5103" s="5">
        <v>5042</v>
      </c>
      <c r="B5103" s="138">
        <f>'Revenues 9-14'!C84</f>
        <v>38219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3859</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42078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16872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7714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2482</v>
      </c>
      <c r="D5118" s="2" t="str">
        <f t="shared" si="78"/>
        <v>Error?</v>
      </c>
    </row>
    <row r="5119" spans="1:4" x14ac:dyDescent="0.2">
      <c r="A5119" s="5">
        <v>5058</v>
      </c>
      <c r="B5119" s="138">
        <f>'Revenues 9-14'!C107</f>
        <v>16878</v>
      </c>
      <c r="D5119" s="2" t="str">
        <f t="shared" ref="D5119:D5182" si="79">IF(ISBLANK(B5119),"OK",IF(A5119-B5119=0,"OK","Error?"))</f>
        <v>Error?</v>
      </c>
    </row>
    <row r="5120" spans="1:4" x14ac:dyDescent="0.2">
      <c r="A5120" s="5">
        <v>5059</v>
      </c>
      <c r="B5120" s="138">
        <f>'Revenues 9-14'!C108</f>
        <v>47621</v>
      </c>
      <c r="C5120" s="2" t="s">
        <v>573</v>
      </c>
      <c r="D5120" s="2" t="str">
        <f t="shared" si="79"/>
        <v>Error?</v>
      </c>
    </row>
    <row r="5121" spans="1:4" x14ac:dyDescent="0.2">
      <c r="A5121" s="5">
        <v>5060</v>
      </c>
      <c r="B5121" s="138">
        <f>'Revenues 9-14'!C109</f>
        <v>8359158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753829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753829</v>
      </c>
      <c r="C5132" s="2" t="s">
        <v>573</v>
      </c>
      <c r="D5132" s="2" t="str">
        <f t="shared" si="79"/>
        <v>Error?</v>
      </c>
    </row>
    <row r="5133" spans="1:4" x14ac:dyDescent="0.2">
      <c r="A5133" s="5">
        <v>5072</v>
      </c>
      <c r="B5133" s="138">
        <f>'Revenues 9-14'!C125</f>
        <v>42215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13648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55863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21119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1982</v>
      </c>
      <c r="D5167" s="2" t="str">
        <f t="shared" si="79"/>
        <v>Error?</v>
      </c>
    </row>
    <row r="5168" spans="1:4" x14ac:dyDescent="0.2">
      <c r="A5168" s="5">
        <v>5107</v>
      </c>
      <c r="B5168" s="138">
        <f>'Revenues 9-14'!C148</f>
        <v>10940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38145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129663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883492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134827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4259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139086</v>
      </c>
      <c r="C5246" s="2" t="s">
        <v>573</v>
      </c>
      <c r="D5246" s="2" t="str">
        <f t="shared" si="80"/>
        <v>Error?</v>
      </c>
    </row>
    <row r="5247" spans="1:4" x14ac:dyDescent="0.2">
      <c r="A5247" s="5">
        <v>5186</v>
      </c>
      <c r="B5247" s="138">
        <f>'Revenues 9-14'!C200</f>
        <v>37697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37697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5827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198586</v>
      </c>
      <c r="D5278" s="2" t="str">
        <f t="shared" si="81"/>
        <v>Error?</v>
      </c>
    </row>
    <row r="5279" spans="1:4" x14ac:dyDescent="0.2">
      <c r="A5279" s="5">
        <v>5218</v>
      </c>
      <c r="B5279" s="138">
        <f>'Revenues 9-14'!C214</f>
        <v>148302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352715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573534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573534</v>
      </c>
      <c r="C5326" s="2" t="s">
        <v>573</v>
      </c>
      <c r="D5326" s="2" t="str">
        <f t="shared" si="82"/>
        <v>Error?</v>
      </c>
    </row>
    <row r="5327" spans="1:5" x14ac:dyDescent="0.2">
      <c r="A5327" s="5">
        <v>5266</v>
      </c>
      <c r="B5327" s="138">
        <f>'Revenues 9-14'!C268</f>
        <v>9816184</v>
      </c>
      <c r="C5327" s="2" t="s">
        <v>573</v>
      </c>
      <c r="D5327" s="2" t="str">
        <f t="shared" si="82"/>
        <v>Error?</v>
      </c>
    </row>
    <row r="5328" spans="1:5" x14ac:dyDescent="0.2">
      <c r="A5328" s="5">
        <v>5267</v>
      </c>
      <c r="B5328" s="138">
        <f>'Revenues 9-14'!D5</f>
        <v>1037503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1037503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159689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159689</v>
      </c>
      <c r="C5339" s="2" t="s">
        <v>573</v>
      </c>
      <c r="D5339" s="2" t="str">
        <f t="shared" si="82"/>
        <v>Error?</v>
      </c>
    </row>
    <row r="5340" spans="1:4" x14ac:dyDescent="0.2">
      <c r="A5340" s="5">
        <v>5279</v>
      </c>
      <c r="B5340" s="138">
        <f>'Revenues 9-14'!D65</f>
        <v>13502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13502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1100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1364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5668</v>
      </c>
      <c r="D5354" s="2" t="str">
        <f t="shared" si="82"/>
        <v>Error?</v>
      </c>
    </row>
    <row r="5355" spans="1:4" x14ac:dyDescent="0.2">
      <c r="A5355" s="5">
        <v>5294</v>
      </c>
      <c r="B5355" s="138">
        <f>'Revenues 9-14'!D108</f>
        <v>8132</v>
      </c>
      <c r="C5355" s="2" t="s">
        <v>573</v>
      </c>
      <c r="D5355" s="2" t="str">
        <f t="shared" si="82"/>
        <v>Error?</v>
      </c>
    </row>
    <row r="5356" spans="1:4" x14ac:dyDescent="0.2">
      <c r="A5356" s="5">
        <v>5295</v>
      </c>
      <c r="B5356" s="138">
        <f>'Revenues 9-14'!D109</f>
        <v>1218826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1218826</v>
      </c>
      <c r="C5508" s="2" t="s">
        <v>573</v>
      </c>
      <c r="D5508" s="2" t="str">
        <f t="shared" si="85"/>
        <v>Error?</v>
      </c>
    </row>
    <row r="5509" spans="1:4" x14ac:dyDescent="0.2">
      <c r="A5509" s="5">
        <v>5448</v>
      </c>
      <c r="B5509" s="138">
        <f>'Revenues 9-14'!E5</f>
        <v>17641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17641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17676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17676</v>
      </c>
      <c r="C5552" s="2" t="s">
        <v>573</v>
      </c>
      <c r="D5552" s="2" t="str">
        <f t="shared" si="85"/>
        <v>Error?</v>
      </c>
    </row>
    <row r="5553" spans="1:4" x14ac:dyDescent="0.2">
      <c r="A5553" s="5">
        <v>5492</v>
      </c>
      <c r="B5553" s="138">
        <f>'Revenues 9-14'!F5</f>
        <v>397523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397523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175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175</v>
      </c>
      <c r="C5579" s="2" t="s">
        <v>573</v>
      </c>
      <c r="D5579" s="2" t="str">
        <f t="shared" si="86"/>
        <v>Error?</v>
      </c>
    </row>
    <row r="5580" spans="1:4" x14ac:dyDescent="0.2">
      <c r="A5580" s="5">
        <v>5519</v>
      </c>
      <c r="B5580" s="138">
        <f>'Revenues 9-14'!F65</f>
        <v>5225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5225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402923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99895</v>
      </c>
      <c r="D5615" s="2" t="str">
        <f t="shared" si="86"/>
        <v>Error?</v>
      </c>
    </row>
    <row r="5616" spans="1:4" x14ac:dyDescent="0.2">
      <c r="A5616" s="10">
        <v>5555</v>
      </c>
      <c r="D5616" s="2" t="str">
        <f t="shared" si="86"/>
        <v>OK</v>
      </c>
    </row>
    <row r="5617" spans="1:5" x14ac:dyDescent="0.2">
      <c r="A5617" s="5">
        <v>5556</v>
      </c>
      <c r="B5617" s="138">
        <f>'Revenues 9-14'!F153</f>
        <v>49975</v>
      </c>
      <c r="D5617" s="2" t="str">
        <f t="shared" si="86"/>
        <v>Error?</v>
      </c>
    </row>
    <row r="5618" spans="1:5" x14ac:dyDescent="0.2">
      <c r="A5618" s="5">
        <v>5557</v>
      </c>
      <c r="B5618" s="138">
        <f>'Revenues 9-14'!F155</f>
        <v>149870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149870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149870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552793</v>
      </c>
      <c r="C5720" s="2" t="s">
        <v>573</v>
      </c>
      <c r="D5720" s="2" t="str">
        <f t="shared" si="88"/>
        <v>Error?</v>
      </c>
    </row>
    <row r="5721" spans="1:4" x14ac:dyDescent="0.2">
      <c r="A5721" s="5">
        <v>5660</v>
      </c>
      <c r="B5721" s="138">
        <f>'Revenues 9-14'!G5</f>
        <v>171637</v>
      </c>
      <c r="D5721" s="2" t="str">
        <f t="shared" si="88"/>
        <v>Error?</v>
      </c>
    </row>
    <row r="5722" spans="1:4" x14ac:dyDescent="0.2">
      <c r="A5722" s="5">
        <v>5661</v>
      </c>
      <c r="B5722" s="138">
        <f>'Revenues 9-14'!G7</f>
        <v>0</v>
      </c>
      <c r="D5722" s="2" t="str">
        <f t="shared" si="88"/>
        <v>Error?</v>
      </c>
    </row>
    <row r="5723" spans="1:4" x14ac:dyDescent="0.2">
      <c r="A5723" s="5">
        <v>5662</v>
      </c>
      <c r="B5723" s="138">
        <f>'Revenues 9-14'!G8</f>
        <v>221466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393103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60000</v>
      </c>
      <c r="C5730" s="2" t="s">
        <v>573</v>
      </c>
      <c r="D5730" s="2" t="str">
        <f t="shared" si="88"/>
        <v>Error?</v>
      </c>
    </row>
    <row r="5731" spans="1:4" x14ac:dyDescent="0.2">
      <c r="A5731" s="5">
        <v>5670</v>
      </c>
      <c r="B5731" s="138">
        <f>'Revenues 9-14'!G65</f>
        <v>1811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1811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454914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25382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25382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1500</v>
      </c>
      <c r="D5885" s="2" t="str">
        <f t="shared" si="90"/>
        <v>Error?</v>
      </c>
    </row>
    <row r="5886" spans="1:4" x14ac:dyDescent="0.2">
      <c r="A5886" s="5">
        <v>5825</v>
      </c>
      <c r="B5886" s="138">
        <f>'Revenues 9-14'!H108</f>
        <v>507005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532387</v>
      </c>
      <c r="C5915" s="2" t="s">
        <v>573</v>
      </c>
      <c r="D5915" s="2" t="str">
        <f t="shared" si="91"/>
        <v>Error?</v>
      </c>
    </row>
    <row r="5916" spans="1:4" x14ac:dyDescent="0.2">
      <c r="A5916" s="5">
        <v>5855</v>
      </c>
      <c r="B5916" s="138">
        <f>'Revenues 9-14'!I5</f>
        <v>89235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89235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10960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10960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100195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39270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39270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941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40211</v>
      </c>
      <c r="C6023" s="2" t="s">
        <v>573</v>
      </c>
      <c r="D6023" s="2" t="str">
        <f t="shared" si="93"/>
        <v>Error?</v>
      </c>
    </row>
    <row r="6024" spans="1:5" x14ac:dyDescent="0.2">
      <c r="A6024" s="5">
        <v>5963</v>
      </c>
      <c r="B6024" s="138">
        <f>'Revenues 9-14'!G109</f>
        <v>454914</v>
      </c>
      <c r="C6024" s="2" t="s">
        <v>573</v>
      </c>
      <c r="D6024" s="2" t="str">
        <f t="shared" si="93"/>
        <v>Error?</v>
      </c>
    </row>
    <row r="6025" spans="1:5" x14ac:dyDescent="0.2">
      <c r="A6025" s="5">
        <v>5964</v>
      </c>
      <c r="B6025" s="138">
        <f>'Revenues 9-14'!H109</f>
        <v>532387</v>
      </c>
      <c r="C6025" s="2" t="s">
        <v>573</v>
      </c>
      <c r="D6025" s="2" t="str">
        <f t="shared" si="93"/>
        <v>Error?</v>
      </c>
    </row>
    <row r="6026" spans="1:5" x14ac:dyDescent="0.2">
      <c r="A6026" s="5">
        <v>5965</v>
      </c>
      <c r="B6026" s="138">
        <f>'Revenues 9-14'!I109</f>
        <v>100195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40211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116904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31192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737.3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217196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217196</v>
      </c>
      <c r="D6215" s="2" t="str">
        <f t="shared" si="96"/>
        <v>Error?</v>
      </c>
      <c r="E6215" s="2" t="s">
        <v>190</v>
      </c>
    </row>
    <row r="6216" spans="1:5" x14ac:dyDescent="0.2">
      <c r="A6216">
        <v>6155</v>
      </c>
      <c r="B6216" s="138">
        <f>'Assets-Liab 5-6'!J41</f>
        <v>217196</v>
      </c>
      <c r="D6216" s="2" t="str">
        <f t="shared" si="96"/>
        <v>Error?</v>
      </c>
      <c r="E6216" s="2" t="s">
        <v>190</v>
      </c>
    </row>
    <row r="6217" spans="1:5" x14ac:dyDescent="0.2">
      <c r="A6217">
        <v>6156</v>
      </c>
      <c r="B6217" s="138">
        <f>'Assets-Liab 5-6'!J4</f>
        <v>217196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122386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122386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122386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49848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49848</v>
      </c>
      <c r="D6229" s="2" t="str">
        <f t="shared" si="96"/>
        <v>Error?</v>
      </c>
      <c r="E6229" s="2" t="s">
        <v>190</v>
      </c>
    </row>
    <row r="6230" spans="1:5" x14ac:dyDescent="0.2">
      <c r="A6230">
        <v>6169</v>
      </c>
      <c r="B6230" s="138">
        <f>'Acct Summary 7-8'!J20</f>
        <v>72538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72538</v>
      </c>
      <c r="D6263" s="2" t="str">
        <f t="shared" si="96"/>
        <v>Error?</v>
      </c>
      <c r="E6263" s="2" t="s">
        <v>190</v>
      </c>
    </row>
    <row r="6264" spans="1:5" x14ac:dyDescent="0.2">
      <c r="A6264">
        <v>6203</v>
      </c>
      <c r="B6264" s="138">
        <f>'Acct Summary 7-8'!J79</f>
        <v>144658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217196</v>
      </c>
      <c r="D6266" s="2" t="str">
        <f t="shared" si="96"/>
        <v>Error?</v>
      </c>
      <c r="E6266" s="2" t="s">
        <v>190</v>
      </c>
    </row>
    <row r="6267" spans="1:5" x14ac:dyDescent="0.2">
      <c r="A6267">
        <v>6206</v>
      </c>
      <c r="B6267" s="138">
        <f>'Acct Summary 7-8'!C82</f>
        <v>544564</v>
      </c>
      <c r="D6267" s="2" t="str">
        <f t="shared" si="96"/>
        <v>Error?</v>
      </c>
      <c r="E6267" s="2" t="s">
        <v>190</v>
      </c>
    </row>
    <row r="6268" spans="1:5" x14ac:dyDescent="0.2">
      <c r="A6268">
        <v>6207</v>
      </c>
      <c r="B6268" s="138">
        <f>'Acct Summary 7-8'!D82</f>
        <v>396874</v>
      </c>
      <c r="D6268" s="2" t="str">
        <f t="shared" si="96"/>
        <v>Error?</v>
      </c>
      <c r="E6268" s="2" t="s">
        <v>190</v>
      </c>
    </row>
    <row r="6269" spans="1:5" x14ac:dyDescent="0.2">
      <c r="A6269">
        <v>6208</v>
      </c>
      <c r="B6269" s="138">
        <f>'Acct Summary 7-8'!E82</f>
        <v>-324</v>
      </c>
      <c r="D6269" s="2" t="str">
        <f t="shared" si="96"/>
        <v>Error?</v>
      </c>
      <c r="E6269" s="2" t="s">
        <v>190</v>
      </c>
    </row>
    <row r="6270" spans="1:5" x14ac:dyDescent="0.2">
      <c r="A6270">
        <v>6209</v>
      </c>
      <c r="B6270" s="138">
        <f>'Acct Summary 7-8'!F82</f>
        <v>28152</v>
      </c>
      <c r="D6270" s="2" t="str">
        <f t="shared" si="96"/>
        <v>Error?</v>
      </c>
      <c r="E6270" s="2" t="s">
        <v>190</v>
      </c>
    </row>
    <row r="6271" spans="1:5" x14ac:dyDescent="0.2">
      <c r="A6271">
        <v>6210</v>
      </c>
      <c r="B6271" s="138">
        <f>'Acct Summary 7-8'!G82</f>
        <v>125974</v>
      </c>
      <c r="D6271" s="2" t="str">
        <f t="shared" ref="D6271:D6334" si="97">IF(ISBLANK(B6271),"OK",IF(A6271-B6271=0,"OK","Error?"))</f>
        <v>Error?</v>
      </c>
      <c r="E6271" s="2" t="s">
        <v>190</v>
      </c>
    </row>
    <row r="6272" spans="1:5" x14ac:dyDescent="0.2">
      <c r="A6272">
        <v>6211</v>
      </c>
      <c r="B6272" s="138">
        <f>'Acct Summary 7-8'!H82</f>
        <v>-1420353</v>
      </c>
      <c r="D6272" s="2" t="str">
        <f t="shared" si="97"/>
        <v>Error?</v>
      </c>
      <c r="E6272" s="2" t="s">
        <v>190</v>
      </c>
    </row>
    <row r="6273" spans="1:5" x14ac:dyDescent="0.2">
      <c r="A6273">
        <v>6212</v>
      </c>
      <c r="B6273" s="138">
        <f>'Acct Summary 7-8'!I82</f>
        <v>100195</v>
      </c>
      <c r="D6273" s="2" t="str">
        <f t="shared" si="97"/>
        <v>Error?</v>
      </c>
      <c r="E6273" s="2" t="s">
        <v>190</v>
      </c>
    </row>
    <row r="6274" spans="1:5" x14ac:dyDescent="0.2">
      <c r="A6274">
        <v>6213</v>
      </c>
      <c r="B6274" s="138">
        <f>'Acct Summary 7-8'!J82</f>
        <v>72538</v>
      </c>
      <c r="D6274" s="2" t="str">
        <f t="shared" si="97"/>
        <v>Error?</v>
      </c>
      <c r="E6274" s="2" t="s">
        <v>190</v>
      </c>
    </row>
    <row r="6275" spans="1:5" x14ac:dyDescent="0.2">
      <c r="A6275">
        <v>6214</v>
      </c>
      <c r="B6275" s="138">
        <f>'Acct Summary 7-8'!K82</f>
        <v>39797</v>
      </c>
      <c r="D6275" s="2" t="str">
        <f t="shared" si="97"/>
        <v>Error?</v>
      </c>
      <c r="E6275" s="2" t="s">
        <v>190</v>
      </c>
    </row>
    <row r="6276" spans="1:5" x14ac:dyDescent="0.2">
      <c r="A6276">
        <v>6215</v>
      </c>
      <c r="B6276" s="138">
        <f>'Acct Summary 7-8'!C83</f>
        <v>9.8229515104462789E-2</v>
      </c>
      <c r="D6276" s="2" t="str">
        <f t="shared" si="97"/>
        <v>Error?</v>
      </c>
      <c r="E6276" s="2" t="s">
        <v>190</v>
      </c>
    </row>
    <row r="6277" spans="1:5" x14ac:dyDescent="0.2">
      <c r="A6277">
        <v>6216</v>
      </c>
      <c r="B6277" s="138">
        <f>'Acct Summary 7-8'!D83</f>
        <v>0.3128756488121141</v>
      </c>
      <c r="D6277" s="2" t="str">
        <f t="shared" si="97"/>
        <v>Error?</v>
      </c>
      <c r="E6277" s="2" t="s">
        <v>190</v>
      </c>
    </row>
    <row r="6278" spans="1:5" x14ac:dyDescent="0.2">
      <c r="A6278">
        <v>6217</v>
      </c>
      <c r="B6278" s="138">
        <f>'Acct Summary 7-8'!E83</f>
        <v>-0.19217081850533807</v>
      </c>
      <c r="D6278" s="2" t="str">
        <f t="shared" si="97"/>
        <v>Error?</v>
      </c>
      <c r="E6278" s="2" t="s">
        <v>190</v>
      </c>
    </row>
    <row r="6279" spans="1:5" x14ac:dyDescent="0.2">
      <c r="A6279">
        <v>6218</v>
      </c>
      <c r="B6279" s="138">
        <f>'Acct Summary 7-8'!F83</f>
        <v>5.5279559208743563E-2</v>
      </c>
      <c r="D6279" s="2" t="str">
        <f t="shared" si="97"/>
        <v>Error?</v>
      </c>
      <c r="E6279" s="2" t="s">
        <v>190</v>
      </c>
    </row>
    <row r="6280" spans="1:5" x14ac:dyDescent="0.2">
      <c r="A6280">
        <v>6219</v>
      </c>
      <c r="B6280" s="138">
        <f>'Acct Summary 7-8'!G83</f>
        <v>0.51244147402077034</v>
      </c>
      <c r="D6280" s="2" t="str">
        <f t="shared" si="97"/>
        <v>Error?</v>
      </c>
      <c r="E6280" s="2" t="s">
        <v>190</v>
      </c>
    </row>
    <row r="6281" spans="1:5" x14ac:dyDescent="0.2">
      <c r="A6281">
        <v>6220</v>
      </c>
      <c r="B6281" s="138">
        <f>'Acct Summary 7-8'!H83</f>
        <v>-0.62513198229819744</v>
      </c>
      <c r="D6281" s="2" t="str">
        <f t="shared" si="97"/>
        <v>Error?</v>
      </c>
      <c r="E6281" s="2" t="s">
        <v>190</v>
      </c>
    </row>
    <row r="6282" spans="1:5" x14ac:dyDescent="0.2">
      <c r="A6282">
        <v>6221</v>
      </c>
      <c r="B6282" s="138">
        <f>'Acct Summary 7-8'!I83</f>
        <v>0.10457971365438751</v>
      </c>
      <c r="D6282" s="2" t="str">
        <f t="shared" si="97"/>
        <v>Error?</v>
      </c>
      <c r="E6282" s="2" t="s">
        <v>190</v>
      </c>
    </row>
    <row r="6283" spans="1:5" x14ac:dyDescent="0.2">
      <c r="A6283">
        <v>6222</v>
      </c>
      <c r="B6283" s="138">
        <f>'Acct Summary 7-8'!J83</f>
        <v>0.33397484299895025</v>
      </c>
      <c r="D6283" s="2" t="str">
        <f t="shared" si="97"/>
        <v>Error?</v>
      </c>
      <c r="E6283" s="2" t="s">
        <v>190</v>
      </c>
    </row>
    <row r="6284" spans="1:5" x14ac:dyDescent="0.2">
      <c r="A6284">
        <v>6223</v>
      </c>
      <c r="B6284" s="138">
        <f>'Acct Summary 7-8'!K83</f>
        <v>0.28843212999267992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115398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115398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1520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1520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5468</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3675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5468</v>
      </c>
      <c r="D6351" s="2" t="str">
        <f t="shared" si="98"/>
        <v>Error?</v>
      </c>
      <c r="E6351" s="2" t="s">
        <v>190</v>
      </c>
    </row>
    <row r="6352" spans="1:5" x14ac:dyDescent="0.2">
      <c r="A6352">
        <v>6291</v>
      </c>
      <c r="B6352" s="138">
        <f>'Revenues 9-14'!J109</f>
        <v>122386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21119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63042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76854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54026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82904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76025</v>
      </c>
      <c r="D6880" s="2" t="str">
        <f t="shared" si="106"/>
        <v>Error?</v>
      </c>
    </row>
    <row r="6881" spans="1:4" x14ac:dyDescent="0.2">
      <c r="A6881">
        <v>6820</v>
      </c>
      <c r="B6881" s="138">
        <f>'Expenditures 15-22'!K22</f>
        <v>76025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172087</v>
      </c>
      <c r="D6987" s="2" t="str">
        <f t="shared" si="108"/>
        <v>Error?</v>
      </c>
    </row>
    <row r="6988" spans="1:4" x14ac:dyDescent="0.2">
      <c r="A6988">
        <v>6927</v>
      </c>
      <c r="B6988" s="138">
        <f>'Expenditures 15-22'!K88</f>
        <v>172087</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172087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49848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122386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3406</v>
      </c>
      <c r="D7073" s="2" t="str">
        <f t="shared" si="109"/>
        <v>Error?</v>
      </c>
    </row>
    <row r="7074" spans="1:4" x14ac:dyDescent="0.2">
      <c r="A7074">
        <v>7013</v>
      </c>
      <c r="B7074" s="138">
        <f>'Expenditures 15-22'!K216</f>
        <v>3406</v>
      </c>
      <c r="D7074" s="2" t="str">
        <f t="shared" si="109"/>
        <v>Error?</v>
      </c>
    </row>
    <row r="7075" spans="1:4" x14ac:dyDescent="0.2">
      <c r="A7075">
        <v>7014</v>
      </c>
      <c r="B7075" s="138">
        <f>'Expenditures 15-22'!D218</f>
        <v>2261</v>
      </c>
      <c r="D7075" s="2" t="str">
        <f t="shared" si="109"/>
        <v>Error?</v>
      </c>
    </row>
    <row r="7076" spans="1:4" x14ac:dyDescent="0.2">
      <c r="A7076">
        <v>7015</v>
      </c>
      <c r="B7076" s="138">
        <f>'Expenditures 15-22'!K218</f>
        <v>2261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921</v>
      </c>
      <c r="D7079" s="2" t="str">
        <f t="shared" si="109"/>
        <v>Error?</v>
      </c>
    </row>
    <row r="7080" spans="1:4" x14ac:dyDescent="0.2">
      <c r="A7080">
        <v>7019</v>
      </c>
      <c r="B7080" s="138">
        <f>'Expenditures 15-22'!K226</f>
        <v>921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48974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48974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874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874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49848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49848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49848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49848</v>
      </c>
      <c r="D7224" s="2" t="str">
        <f t="shared" si="111"/>
        <v>Error?</v>
      </c>
    </row>
    <row r="7225" spans="1:4" x14ac:dyDescent="0.2">
      <c r="A7225">
        <v>7164</v>
      </c>
      <c r="B7225" s="138">
        <f>'Expenditures 15-22'!K343</f>
        <v>72538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11938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1874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39727</v>
      </c>
      <c r="D7251" s="2" t="str">
        <f t="shared" si="112"/>
        <v>Error?</v>
      </c>
    </row>
    <row r="7252" spans="1:4" x14ac:dyDescent="0.2">
      <c r="A7252">
        <f t="shared" si="113"/>
        <v>7191</v>
      </c>
      <c r="B7252" s="138">
        <f>'Expenditures 15-22'!D9</f>
        <v>14299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68529</v>
      </c>
      <c r="D7263" s="2" t="str">
        <f t="shared" si="112"/>
        <v>Error?</v>
      </c>
    </row>
    <row r="7264" spans="1:4" x14ac:dyDescent="0.2">
      <c r="A7264">
        <f t="shared" si="113"/>
        <v>7203</v>
      </c>
      <c r="B7264" s="138">
        <f>'Expenditures 15-22'!D17</f>
        <v>13811</v>
      </c>
      <c r="D7264" s="2" t="str">
        <f t="shared" si="112"/>
        <v>Error?</v>
      </c>
    </row>
    <row r="7265" spans="1:5" x14ac:dyDescent="0.2">
      <c r="A7265">
        <f t="shared" si="113"/>
        <v>7204</v>
      </c>
      <c r="B7265" s="138">
        <f>'Expenditures 15-22'!E17</f>
        <v>46</v>
      </c>
      <c r="D7265" s="2" t="str">
        <f t="shared" si="112"/>
        <v>Error?</v>
      </c>
    </row>
    <row r="7266" spans="1:5" x14ac:dyDescent="0.2">
      <c r="A7266">
        <f t="shared" si="113"/>
        <v>7205</v>
      </c>
      <c r="B7266" s="138">
        <f>'Expenditures 15-22'!F17</f>
        <v>518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367382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1014485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25382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3675</v>
      </c>
      <c r="D7712" s="2" t="str">
        <f t="shared" si="126"/>
        <v>Error?</v>
      </c>
      <c r="E7712" s="2" t="s">
        <v>827</v>
      </c>
    </row>
    <row r="7713" spans="1:6" x14ac:dyDescent="0.2">
      <c r="A7713">
        <v>7652</v>
      </c>
      <c r="B7713" s="138">
        <f>'Rest Tax Levies-Tort Im 25'!J8</f>
        <v>505505</v>
      </c>
      <c r="D7713" s="2" t="str">
        <f t="shared" si="126"/>
        <v>Error?</v>
      </c>
      <c r="E7713" s="2" t="s">
        <v>827</v>
      </c>
    </row>
    <row r="7714" spans="1:6" x14ac:dyDescent="0.2">
      <c r="A7714">
        <v>7653</v>
      </c>
      <c r="B7714" s="138">
        <f>'Rest Tax Levies-Tort Im 25'!K9</f>
        <v>10940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530887</v>
      </c>
      <c r="D7718" s="2" t="str">
        <f t="shared" si="126"/>
        <v>Error?</v>
      </c>
      <c r="E7718" s="2" t="s">
        <v>827</v>
      </c>
    </row>
    <row r="7719" spans="1:6" x14ac:dyDescent="0.2">
      <c r="A7719">
        <v>7658</v>
      </c>
      <c r="B7719" s="138">
        <f>'Rest Tax Levies-Tort Im 25'!K12</f>
        <v>14615</v>
      </c>
      <c r="D7719" s="2" t="str">
        <f t="shared" si="126"/>
        <v>Error?</v>
      </c>
      <c r="E7719" s="2" t="s">
        <v>827</v>
      </c>
    </row>
    <row r="7720" spans="1:6" x14ac:dyDescent="0.2">
      <c r="A7720">
        <v>7659</v>
      </c>
      <c r="B7720" s="138">
        <f>'Rest Tax Levies-Tort Im 25'!H14</f>
        <v>376169</v>
      </c>
      <c r="D7720" s="2" t="str">
        <f t="shared" si="126"/>
        <v>Error?</v>
      </c>
      <c r="E7720" s="2" t="s">
        <v>827</v>
      </c>
    </row>
    <row r="7721" spans="1:6" x14ac:dyDescent="0.2">
      <c r="A7721">
        <v>7660</v>
      </c>
      <c r="B7721" s="138">
        <f>'Rest Tax Levies-Tort Im 25'!K14</f>
        <v>14615</v>
      </c>
      <c r="D7721" s="2" t="str">
        <f t="shared" si="126"/>
        <v>Error?</v>
      </c>
      <c r="E7721" s="2" t="s">
        <v>827</v>
      </c>
    </row>
    <row r="7722" spans="1:6" x14ac:dyDescent="0.2">
      <c r="A7722">
        <v>7661</v>
      </c>
      <c r="B7722" s="138">
        <f>'Rest Tax Levies-Tort Im 25'!J15</f>
        <v>1037846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7526</v>
      </c>
      <c r="D7724" s="2" t="str">
        <f t="shared" si="126"/>
        <v>Error?</v>
      </c>
      <c r="E7724" s="2" t="s">
        <v>827</v>
      </c>
      <c r="F7724" s="2"/>
    </row>
    <row r="7725" spans="1:6" x14ac:dyDescent="0.2">
      <c r="A7725">
        <v>7664</v>
      </c>
      <c r="B7725" s="138">
        <f>'Rest Tax Levies-Tort Im 25'!J19</f>
        <v>500000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507526</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1545372</v>
      </c>
      <c r="D7730" s="2" t="str">
        <f t="shared" si="126"/>
        <v>Error?</v>
      </c>
      <c r="E7730" s="2" t="s">
        <v>827</v>
      </c>
    </row>
    <row r="7731" spans="1:6" x14ac:dyDescent="0.2">
      <c r="A7731">
        <v>7670</v>
      </c>
      <c r="B7731" s="138">
        <f>'Revenues 9-14'!H103</f>
        <v>505505</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306657</v>
      </c>
      <c r="D7797" s="2" t="str">
        <f t="shared" si="127"/>
        <v>Error?</v>
      </c>
      <c r="E7797" s="4" t="s">
        <v>1904</v>
      </c>
    </row>
    <row r="7798" spans="1:5" x14ac:dyDescent="0.2">
      <c r="A7798">
        <v>7737</v>
      </c>
      <c r="B7798" s="138">
        <f>'Contracts Paid in CY 29'!F141</f>
        <v>75000</v>
      </c>
      <c r="D7798" s="2" t="str">
        <f t="shared" si="127"/>
        <v>Error?</v>
      </c>
      <c r="E7798" s="4" t="s">
        <v>1904</v>
      </c>
    </row>
    <row r="7799" spans="1:5" x14ac:dyDescent="0.2">
      <c r="A7799">
        <v>7738</v>
      </c>
      <c r="B7799" s="138">
        <f>'Contracts Paid in CY 29'!G141</f>
        <v>231657</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2" t="s">
        <v>1191</v>
      </c>
      <c r="B2" s="2412"/>
      <c r="C2" s="2412"/>
      <c r="D2" s="2412"/>
      <c r="E2" s="2412"/>
      <c r="F2" s="2412"/>
      <c r="G2" s="2412"/>
      <c r="H2" s="2412"/>
      <c r="I2" s="2412"/>
      <c r="J2" s="2412"/>
      <c r="K2" s="2412"/>
      <c r="L2" s="2412"/>
    </row>
    <row r="3" spans="1:29" ht="13.5" customHeight="1" x14ac:dyDescent="0.2">
      <c r="A3" s="2398" t="s">
        <v>1190</v>
      </c>
      <c r="B3" s="2398"/>
      <c r="C3" s="2398"/>
      <c r="D3" s="2398"/>
      <c r="E3" s="2398"/>
      <c r="F3" s="2398"/>
      <c r="G3" s="2398"/>
      <c r="H3" s="2398"/>
      <c r="I3" s="2398"/>
      <c r="J3" s="2398"/>
      <c r="K3" s="2398"/>
      <c r="L3" s="2398"/>
    </row>
    <row r="4" spans="1:29" ht="13.5" customHeight="1" x14ac:dyDescent="0.2">
      <c r="A4" s="2412" t="s">
        <v>1989</v>
      </c>
      <c r="B4" s="2429"/>
      <c r="C4" s="2429"/>
      <c r="D4" s="2429"/>
      <c r="E4" s="2429"/>
      <c r="F4" s="2429"/>
      <c r="G4" s="2429"/>
      <c r="H4" s="2429"/>
      <c r="I4" s="2429"/>
      <c r="J4" s="2429"/>
      <c r="K4" s="2429"/>
      <c r="L4" s="242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2" t="str">
        <f>COVER!A17</f>
        <v>Galena USD 120</v>
      </c>
      <c r="B7" s="2393"/>
      <c r="C7" s="2393"/>
      <c r="D7" s="2430"/>
      <c r="E7" s="2431">
        <f>COVER!A13</f>
        <v>8043120022</v>
      </c>
      <c r="F7" s="2432"/>
      <c r="G7" s="2399" t="str">
        <f>COVER!T23</f>
        <v>066-004238</v>
      </c>
      <c r="H7" s="2400"/>
      <c r="I7" s="2400"/>
      <c r="J7" s="2400"/>
      <c r="K7" s="2400"/>
      <c r="L7" s="240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2"/>
      <c r="B9" s="2403"/>
      <c r="C9" s="2403"/>
      <c r="D9" s="2403"/>
      <c r="E9" s="2403"/>
      <c r="F9" s="2404"/>
      <c r="G9" s="2405" t="str">
        <f>COVER!T13</f>
        <v>BENNING GROUP, LLC</v>
      </c>
      <c r="H9" s="2406"/>
      <c r="I9" s="2406"/>
      <c r="J9" s="2406"/>
      <c r="K9" s="2406"/>
      <c r="L9" s="2407"/>
    </row>
    <row r="10" spans="1:29" ht="13.5" customHeight="1" x14ac:dyDescent="0.2">
      <c r="A10" s="2389" t="str">
        <f>COVER!A38</f>
        <v>Steve Bianchetta</v>
      </c>
      <c r="B10" s="2390"/>
      <c r="C10" s="2390"/>
      <c r="D10" s="2390"/>
      <c r="E10" s="2390"/>
      <c r="F10" s="2391"/>
      <c r="G10" s="2405" t="str">
        <f>COVER!T17</f>
        <v>50 W. DOUGLAS STREET, SUITE 801</v>
      </c>
      <c r="H10" s="2418"/>
      <c r="I10" s="2418"/>
      <c r="J10" s="2418"/>
      <c r="K10" s="2418"/>
      <c r="L10" s="2419"/>
    </row>
    <row r="11" spans="1:29" ht="13.5" customHeight="1" x14ac:dyDescent="0.2">
      <c r="A11" s="1184" t="s">
        <v>1519</v>
      </c>
      <c r="B11" s="1185"/>
      <c r="C11" s="1186"/>
      <c r="D11" s="1191"/>
      <c r="E11" s="1186"/>
      <c r="F11" s="1190"/>
      <c r="G11" s="2405" t="str">
        <f>COVER!T19</f>
        <v>FREEPORT</v>
      </c>
      <c r="H11" s="2418"/>
      <c r="I11" s="2418"/>
      <c r="J11" s="2418"/>
      <c r="K11" s="2418"/>
      <c r="L11" s="2419"/>
    </row>
    <row r="12" spans="1:29" ht="13.5" customHeight="1" x14ac:dyDescent="0.2">
      <c r="A12" s="2423" t="s">
        <v>1518</v>
      </c>
      <c r="B12" s="2424"/>
      <c r="C12" s="2424"/>
      <c r="D12" s="2424"/>
      <c r="E12" s="2424"/>
      <c r="F12" s="2425"/>
      <c r="G12" s="2420"/>
      <c r="H12" s="2421"/>
      <c r="I12" s="2421"/>
      <c r="J12" s="2421"/>
      <c r="K12" s="2421"/>
      <c r="L12" s="2422"/>
    </row>
    <row r="13" spans="1:29" ht="13.5" customHeight="1" x14ac:dyDescent="0.2">
      <c r="A13" s="2405"/>
      <c r="B13" s="2418"/>
      <c r="C13" s="2418"/>
      <c r="D13" s="2418"/>
      <c r="E13" s="2418"/>
      <c r="F13" s="2419"/>
      <c r="G13" s="2413" t="s">
        <v>1520</v>
      </c>
      <c r="H13" s="2414"/>
      <c r="I13" s="2426" t="str">
        <f>COVER!T25</f>
        <v>jblocker@benninggroup.com</v>
      </c>
      <c r="J13" s="2427"/>
      <c r="K13" s="2427"/>
      <c r="L13" s="2428"/>
    </row>
    <row r="14" spans="1:29" ht="13.5" customHeight="1" x14ac:dyDescent="0.2">
      <c r="A14" s="2405" t="str">
        <f>COVER!A19</f>
        <v>1206 N. Franklin</v>
      </c>
      <c r="B14" s="2418"/>
      <c r="C14" s="2418"/>
      <c r="D14" s="2418"/>
      <c r="E14" s="2418"/>
      <c r="F14" s="2419"/>
      <c r="G14" s="1195" t="s">
        <v>1185</v>
      </c>
      <c r="H14" s="1193"/>
      <c r="I14" s="1193"/>
      <c r="J14" s="1193"/>
      <c r="K14" s="1193"/>
      <c r="L14" s="1194"/>
    </row>
    <row r="15" spans="1:29" ht="13.5" customHeight="1" x14ac:dyDescent="0.2">
      <c r="A15" s="2405" t="str">
        <f>COVER!A21</f>
        <v>Galena</v>
      </c>
      <c r="B15" s="2418"/>
      <c r="C15" s="2418"/>
      <c r="D15" s="2418"/>
      <c r="E15" s="2418"/>
      <c r="F15" s="2419"/>
      <c r="G15" s="2415" t="str">
        <f>COVER!T15</f>
        <v>JENNY L. BLOCKER</v>
      </c>
      <c r="H15" s="2416"/>
      <c r="I15" s="2416"/>
      <c r="J15" s="2416"/>
      <c r="K15" s="2416"/>
      <c r="L15" s="2417"/>
    </row>
    <row r="16" spans="1:29" ht="12.2" customHeight="1" x14ac:dyDescent="0.2">
      <c r="A16" s="2395">
        <f>COVER!A25</f>
        <v>61036</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95" t="s">
        <v>1184</v>
      </c>
      <c r="H17" s="1193"/>
      <c r="I17" s="1193"/>
      <c r="J17" s="1193"/>
      <c r="K17" s="1197" t="s">
        <v>1183</v>
      </c>
      <c r="L17" s="1190"/>
      <c r="M17" s="1183"/>
    </row>
    <row r="18" spans="1:13" ht="12.2" customHeight="1" x14ac:dyDescent="0.2">
      <c r="A18" s="2389"/>
      <c r="B18" s="2390"/>
      <c r="C18" s="2390"/>
      <c r="D18" s="2390"/>
      <c r="E18" s="2390"/>
      <c r="F18" s="2391"/>
      <c r="G18" s="2392" t="str">
        <f>COVER!T21</f>
        <v>815/235-3157</v>
      </c>
      <c r="H18" s="2393"/>
      <c r="I18" s="2393"/>
      <c r="J18" s="2393"/>
      <c r="K18" s="2392" t="str">
        <f>COVER!X21</f>
        <v>815/235-3158</v>
      </c>
      <c r="L18" s="239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3" t="str">
        <f>'Single Audit Cover'!A7</f>
        <v>Galena USD 120</v>
      </c>
      <c r="B1" s="2429"/>
      <c r="C1" s="2429"/>
      <c r="D1" s="2429"/>
    </row>
    <row r="2" spans="1:11" s="1212" customFormat="1" ht="12.75" x14ac:dyDescent="0.2">
      <c r="A2" s="2434">
        <f>'Single Audit Cover'!E7</f>
        <v>8043120022</v>
      </c>
      <c r="B2" s="2435"/>
      <c r="C2" s="2435"/>
      <c r="D2" s="2435"/>
    </row>
    <row r="3" spans="1:11" s="1212" customFormat="1" ht="12.75" x14ac:dyDescent="0.2">
      <c r="A3" s="2433" t="s">
        <v>1513</v>
      </c>
      <c r="B3" s="2429"/>
      <c r="C3" s="2429"/>
      <c r="D3" s="242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7" t="str">
        <f>'Single Audit Cover'!A7</f>
        <v>Galena USD 120</v>
      </c>
      <c r="B1" s="2437"/>
      <c r="C1" s="2437"/>
      <c r="D1" s="2437"/>
      <c r="E1" s="2437"/>
    </row>
    <row r="2" spans="1:5" x14ac:dyDescent="0.2">
      <c r="A2" s="2438">
        <f>'Single Audit Cover'!E7</f>
        <v>8043120022</v>
      </c>
      <c r="B2" s="2438"/>
      <c r="C2" s="2438"/>
      <c r="D2" s="2438"/>
      <c r="E2" s="2438"/>
    </row>
    <row r="3" spans="1:5" ht="4.5" customHeight="1" x14ac:dyDescent="0.2"/>
    <row r="4" spans="1:5" x14ac:dyDescent="0.2">
      <c r="A4" s="2437" t="s">
        <v>1245</v>
      </c>
      <c r="B4" s="2437"/>
      <c r="C4" s="2437"/>
      <c r="D4" s="2437"/>
      <c r="E4" s="2437"/>
    </row>
    <row r="5" spans="1:5" x14ac:dyDescent="0.2">
      <c r="A5" s="2440" t="str">
        <f>'Single Audit Cover'!A4</f>
        <v>Year Ending June 30, 2019</v>
      </c>
      <c r="B5" s="2440"/>
      <c r="C5" s="2440"/>
      <c r="D5" s="2440"/>
      <c r="E5" s="2440"/>
    </row>
    <row r="6" spans="1:5" x14ac:dyDescent="0.2">
      <c r="A6" s="2437" t="s">
        <v>1244</v>
      </c>
      <c r="B6" s="2437"/>
      <c r="C6" s="2437"/>
      <c r="D6" s="2437"/>
      <c r="E6" s="2437"/>
    </row>
    <row r="8" spans="1:5" x14ac:dyDescent="0.2">
      <c r="A8" s="1257" t="s">
        <v>1243</v>
      </c>
    </row>
    <row r="10" spans="1:5" x14ac:dyDescent="0.2">
      <c r="A10" s="1258" t="s">
        <v>1242</v>
      </c>
      <c r="B10" s="1259" t="s">
        <v>1241</v>
      </c>
      <c r="C10" s="1259"/>
      <c r="D10" s="1260">
        <f>SUM('Acct Summary 7-8'!C7:K7)</f>
        <v>573534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31192</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-27742</v>
      </c>
    </row>
    <row r="19" spans="1:4" ht="13.5" thickBot="1" x14ac:dyDescent="0.25">
      <c r="A19" s="1262" t="s">
        <v>1235</v>
      </c>
      <c r="D19" s="1263">
        <f>SUM(D10:D17)</f>
        <v>576984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9"/>
      <c r="B24" s="2439"/>
      <c r="D24" s="1265"/>
    </row>
    <row r="25" spans="1:4" x14ac:dyDescent="0.2">
      <c r="A25" s="2436"/>
      <c r="B25" s="2436"/>
      <c r="D25" s="1265"/>
    </row>
    <row r="26" spans="1:4" x14ac:dyDescent="0.2">
      <c r="A26" s="2436"/>
      <c r="B26" s="2436"/>
      <c r="D26" s="1265"/>
    </row>
    <row r="27" spans="1:4" x14ac:dyDescent="0.2">
      <c r="A27" s="2436"/>
      <c r="B27" s="2436"/>
      <c r="D27" s="1265"/>
    </row>
    <row r="28" spans="1:4" x14ac:dyDescent="0.2">
      <c r="A28" s="2436"/>
      <c r="B28" s="2436"/>
      <c r="D28" s="1265"/>
    </row>
    <row r="29" spans="1:4" x14ac:dyDescent="0.2">
      <c r="A29" s="2436"/>
      <c r="B29" s="2436"/>
      <c r="D29" s="1265"/>
    </row>
    <row r="30" spans="1:4" x14ac:dyDescent="0.2">
      <c r="A30" s="2436"/>
      <c r="B30" s="2436"/>
      <c r="D30" s="1265"/>
    </row>
    <row r="32" spans="1:4" x14ac:dyDescent="0.2">
      <c r="A32" s="1257" t="s">
        <v>1233</v>
      </c>
      <c r="D32" s="1260">
        <f>SUM(D19:D30)</f>
        <v>576984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6"/>
      <c r="B40" s="2436"/>
      <c r="D40" s="1265"/>
    </row>
    <row r="41" spans="1:4" x14ac:dyDescent="0.2">
      <c r="A41" s="2436"/>
      <c r="B41" s="2436"/>
      <c r="D41" s="1268"/>
    </row>
    <row r="42" spans="1:4" x14ac:dyDescent="0.2">
      <c r="A42" s="2436"/>
      <c r="B42" s="2436"/>
      <c r="D42" s="1268"/>
    </row>
    <row r="43" spans="1:4" x14ac:dyDescent="0.2">
      <c r="A43" s="2436"/>
      <c r="B43" s="2436"/>
      <c r="D43" s="1268"/>
    </row>
    <row r="44" spans="1:4" x14ac:dyDescent="0.2">
      <c r="A44" s="2436"/>
      <c r="B44" s="2436"/>
      <c r="D44" s="1268"/>
    </row>
    <row r="45" spans="1:4" x14ac:dyDescent="0.2">
      <c r="A45" s="2436"/>
      <c r="B45" s="2436"/>
      <c r="D45" s="1268"/>
    </row>
    <row r="47" spans="1:4" x14ac:dyDescent="0.2">
      <c r="B47" s="1269" t="s">
        <v>1227</v>
      </c>
      <c r="C47" s="1269"/>
      <c r="D47" s="1270">
        <f>SUM(D35:D45)</f>
        <v>0</v>
      </c>
    </row>
    <row r="49" spans="2:4" x14ac:dyDescent="0.2">
      <c r="B49" s="1269" t="s">
        <v>1226</v>
      </c>
      <c r="C49" s="1269"/>
      <c r="D49" s="1270">
        <f>D32-D47</f>
        <v>576984</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8" t="str">
        <f>'Single Audit Cover'!A7</f>
        <v>Galena USD 120</v>
      </c>
      <c r="C1" s="2441"/>
      <c r="D1" s="2441"/>
      <c r="E1" s="2441"/>
      <c r="F1" s="2441"/>
      <c r="G1" s="2441"/>
      <c r="H1" s="2441"/>
      <c r="I1" s="2441"/>
      <c r="J1" s="2441"/>
      <c r="K1" s="2441"/>
      <c r="L1" s="2441"/>
      <c r="M1" s="2441"/>
    </row>
    <row r="2" spans="2:14" ht="15" x14ac:dyDescent="0.2">
      <c r="B2" s="2442">
        <f>'Single Audit Cover'!E7</f>
        <v>8043120022</v>
      </c>
      <c r="C2" s="2442"/>
      <c r="D2" s="2442"/>
      <c r="E2" s="2442"/>
      <c r="F2" s="2442"/>
      <c r="G2" s="2442"/>
      <c r="H2" s="2442"/>
      <c r="I2" s="2442"/>
      <c r="J2" s="2442"/>
      <c r="K2" s="2442"/>
      <c r="L2" s="2442"/>
      <c r="M2" s="2442"/>
      <c r="N2" s="1299"/>
    </row>
    <row r="3" spans="2:14" ht="15" x14ac:dyDescent="0.2">
      <c r="B3" s="2443" t="s">
        <v>1219</v>
      </c>
      <c r="C3" s="2443"/>
      <c r="D3" s="2443"/>
      <c r="E3" s="2443"/>
      <c r="F3" s="2443"/>
      <c r="G3" s="2443"/>
      <c r="H3" s="2443"/>
      <c r="I3" s="2443"/>
      <c r="J3" s="2443"/>
      <c r="K3" s="2443"/>
      <c r="L3" s="2443"/>
      <c r="M3" s="2443"/>
      <c r="N3" s="1299"/>
    </row>
    <row r="4" spans="2:14" ht="15" x14ac:dyDescent="0.2">
      <c r="B4" s="2444" t="str">
        <f>'Single Audit Cover'!A4</f>
        <v>Year Ending June 30, 2019</v>
      </c>
      <c r="C4" s="2444"/>
      <c r="D4" s="2444"/>
      <c r="E4" s="2444"/>
      <c r="F4" s="2444"/>
      <c r="G4" s="2444"/>
      <c r="H4" s="2444"/>
      <c r="I4" s="2444"/>
      <c r="J4" s="2444"/>
      <c r="K4" s="2444"/>
      <c r="L4" s="2444"/>
      <c r="M4" s="244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6" t="str">
        <f>'Single Audit Cover'!A7</f>
        <v>Galena USD 120</v>
      </c>
      <c r="B1" s="2446"/>
      <c r="C1" s="2446"/>
      <c r="D1" s="2446"/>
      <c r="E1" s="2446"/>
      <c r="F1" s="2446"/>
    </row>
    <row r="2" spans="1:7" ht="13.5" customHeight="1" x14ac:dyDescent="0.2">
      <c r="A2" s="2442">
        <f>'Single Audit Cover'!E7</f>
        <v>8043120022</v>
      </c>
      <c r="B2" s="2442"/>
      <c r="C2" s="2442"/>
      <c r="D2" s="2442"/>
      <c r="E2" s="2442"/>
      <c r="F2" s="2442"/>
      <c r="G2" s="1272"/>
    </row>
    <row r="3" spans="1:7" ht="15.75" customHeight="1" x14ac:dyDescent="0.2">
      <c r="A3" s="2447" t="s">
        <v>1271</v>
      </c>
      <c r="B3" s="2447"/>
      <c r="C3" s="2447"/>
      <c r="D3" s="2447"/>
      <c r="E3" s="2447"/>
      <c r="F3" s="2447"/>
    </row>
    <row r="4" spans="1:7" ht="13.5" customHeight="1" x14ac:dyDescent="0.2">
      <c r="A4" s="2448" t="str">
        <f>'Single Audit Cover'!A4</f>
        <v>Year Ending June 30, 2019</v>
      </c>
      <c r="B4" s="2448"/>
      <c r="C4" s="2448"/>
      <c r="D4" s="2448"/>
      <c r="E4" s="2448"/>
      <c r="F4" s="2448"/>
    </row>
    <row r="5" spans="1:7" ht="8.25" customHeight="1" x14ac:dyDescent="0.2">
      <c r="C5" s="317"/>
      <c r="D5" s="317"/>
    </row>
    <row r="6" spans="1:7" ht="13.5" customHeight="1" x14ac:dyDescent="0.2">
      <c r="A6" s="1273" t="s">
        <v>1728</v>
      </c>
      <c r="C6" s="317"/>
      <c r="D6" s="317"/>
    </row>
    <row r="7" spans="1:7" ht="60.95" customHeight="1" x14ac:dyDescent="0.2">
      <c r="A7" s="2445" t="s">
        <v>1729</v>
      </c>
      <c r="B7" s="2445"/>
      <c r="C7" s="2445"/>
      <c r="D7" s="2445"/>
      <c r="E7" s="2445"/>
      <c r="F7" s="244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5" t="s">
        <v>1731</v>
      </c>
      <c r="B13" s="2445"/>
      <c r="C13" s="2445"/>
      <c r="D13" s="2445"/>
      <c r="E13" s="2445"/>
      <c r="F13" s="2445"/>
    </row>
    <row r="14" spans="1:7" ht="9.75" customHeight="1" x14ac:dyDescent="0.2">
      <c r="C14" s="1257"/>
      <c r="D14" s="1257"/>
    </row>
    <row r="15" spans="1:7" ht="13.5" customHeight="1" x14ac:dyDescent="0.2">
      <c r="C15" s="1846" t="s">
        <v>1270</v>
      </c>
      <c r="D15" s="2450" t="s">
        <v>1269</v>
      </c>
      <c r="E15" s="2450"/>
      <c r="F15" s="2450"/>
    </row>
    <row r="16" spans="1:7" ht="13.5" customHeight="1" x14ac:dyDescent="0.2">
      <c r="A16" s="1279"/>
      <c r="B16" s="1273" t="s">
        <v>1268</v>
      </c>
      <c r="C16" s="1846" t="s">
        <v>1267</v>
      </c>
      <c r="D16" s="2451" t="s">
        <v>1588</v>
      </c>
      <c r="E16" s="2451"/>
      <c r="F16" s="2451"/>
    </row>
    <row r="17" spans="1:6" ht="20.45" customHeight="1" x14ac:dyDescent="0.2">
      <c r="A17" s="1280"/>
      <c r="B17" s="1281"/>
      <c r="C17" s="1282"/>
      <c r="D17" s="2449"/>
      <c r="E17" s="2449"/>
      <c r="F17" s="2449"/>
    </row>
    <row r="18" spans="1:6" ht="20.65" customHeight="1" x14ac:dyDescent="0.2">
      <c r="A18" s="1280"/>
      <c r="B18" s="1281"/>
      <c r="C18" s="1282"/>
      <c r="D18" s="2449"/>
      <c r="E18" s="2449"/>
      <c r="F18" s="2449"/>
    </row>
    <row r="19" spans="1:6" ht="20.65" customHeight="1" x14ac:dyDescent="0.2">
      <c r="A19" s="1280"/>
      <c r="B19" s="1281"/>
      <c r="C19" s="1282"/>
      <c r="D19" s="2449"/>
      <c r="E19" s="2449"/>
      <c r="F19" s="2449"/>
    </row>
    <row r="20" spans="1:6" ht="20.65" customHeight="1" x14ac:dyDescent="0.2">
      <c r="A20" s="1280"/>
      <c r="B20" s="1281"/>
      <c r="C20" s="1282"/>
      <c r="D20" s="2449"/>
      <c r="E20" s="2449"/>
      <c r="F20" s="2449"/>
    </row>
    <row r="21" spans="1:6" ht="20.65" customHeight="1" x14ac:dyDescent="0.2">
      <c r="A21" s="1280"/>
      <c r="B21" s="1281"/>
      <c r="C21" s="1282"/>
      <c r="D21" s="2449"/>
      <c r="E21" s="2449"/>
      <c r="F21" s="2449"/>
    </row>
    <row r="22" spans="1:6" ht="20.65" customHeight="1" x14ac:dyDescent="0.2">
      <c r="A22" s="1280"/>
      <c r="B22" s="1281"/>
      <c r="C22" s="1282"/>
      <c r="D22" s="2449"/>
      <c r="E22" s="2449"/>
      <c r="F22" s="2449"/>
    </row>
    <row r="23" spans="1:6" ht="20.65" customHeight="1" x14ac:dyDescent="0.2">
      <c r="A23" s="1280"/>
      <c r="B23" s="1281"/>
      <c r="C23" s="1282"/>
      <c r="D23" s="2449"/>
      <c r="E23" s="2449"/>
      <c r="F23" s="2449"/>
    </row>
    <row r="24" spans="1:6" ht="20.65" customHeight="1" x14ac:dyDescent="0.2">
      <c r="A24" s="1280"/>
      <c r="B24" s="1281"/>
      <c r="C24" s="1282"/>
      <c r="D24" s="2449"/>
      <c r="E24" s="2449"/>
      <c r="F24" s="2449"/>
    </row>
    <row r="25" spans="1:6" ht="20.65" customHeight="1" x14ac:dyDescent="0.2">
      <c r="A25" s="1280"/>
      <c r="B25" s="1281"/>
      <c r="C25" s="1282"/>
      <c r="D25" s="2449"/>
      <c r="E25" s="2449"/>
      <c r="F25" s="2449"/>
    </row>
    <row r="26" spans="1:6" ht="20.65" customHeight="1" x14ac:dyDescent="0.2">
      <c r="A26" s="1280"/>
      <c r="B26" s="1281"/>
      <c r="C26" s="1282"/>
      <c r="D26" s="2449"/>
      <c r="E26" s="2449"/>
      <c r="F26" s="2449"/>
    </row>
    <row r="27" spans="1:6" ht="20.65" customHeight="1" x14ac:dyDescent="0.2">
      <c r="A27" s="1280"/>
      <c r="B27" s="1281"/>
      <c r="C27" s="1282"/>
      <c r="D27" s="2449"/>
      <c r="E27" s="2449"/>
      <c r="F27" s="2449"/>
    </row>
    <row r="28" spans="1:6" ht="20.65" customHeight="1" x14ac:dyDescent="0.2">
      <c r="A28" s="1280"/>
      <c r="B28" s="1281"/>
      <c r="C28" s="1282"/>
      <c r="D28" s="2449"/>
      <c r="E28" s="2449"/>
      <c r="F28" s="2449"/>
    </row>
    <row r="29" spans="1:6" ht="20.65" customHeight="1" x14ac:dyDescent="0.2">
      <c r="A29" s="1280"/>
      <c r="B29" s="1281"/>
      <c r="C29" s="1282"/>
      <c r="D29" s="2449"/>
      <c r="E29" s="2449"/>
      <c r="F29" s="244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3" t="s">
        <v>1732</v>
      </c>
      <c r="B32" s="2453"/>
      <c r="C32" s="2453"/>
      <c r="D32" s="2453"/>
      <c r="E32" s="2453"/>
      <c r="F32" s="245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4">
        <f>+C33+C34</f>
        <v>0</v>
      </c>
      <c r="F34" s="245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6" t="s">
        <v>1590</v>
      </c>
      <c r="C49" s="2456"/>
      <c r="D49" s="2456"/>
      <c r="E49" s="1396"/>
    </row>
    <row r="50" spans="1:5" s="1297" customFormat="1" ht="3.75" customHeight="1" x14ac:dyDescent="0.2">
      <c r="A50" s="1296"/>
      <c r="B50" s="1845"/>
      <c r="C50" s="1845"/>
      <c r="D50" s="1845"/>
      <c r="E50" s="1396"/>
    </row>
    <row r="51" spans="1:5" s="1297" customFormat="1" ht="20.25" customHeight="1" x14ac:dyDescent="0.2">
      <c r="A51" s="1298">
        <v>6</v>
      </c>
      <c r="B51" s="2452" t="s">
        <v>1551</v>
      </c>
      <c r="C51" s="2452"/>
      <c r="D51" s="2452"/>
    </row>
    <row r="52" spans="1:5" ht="14.25" customHeight="1" x14ac:dyDescent="0.2">
      <c r="A52" s="1298"/>
      <c r="B52" s="2452"/>
      <c r="C52" s="2452"/>
      <c r="D52" s="245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Galena USD 120</v>
      </c>
      <c r="C1" s="2462"/>
      <c r="D1" s="2462"/>
      <c r="E1" s="2462"/>
      <c r="F1" s="2462"/>
      <c r="G1" s="2462"/>
      <c r="H1" s="2462"/>
      <c r="I1" s="2462"/>
      <c r="J1" s="1406"/>
    </row>
    <row r="2" spans="2:10" s="317" customFormat="1" ht="12.75" customHeight="1" x14ac:dyDescent="0.2">
      <c r="B2" s="2463">
        <f>'Single Audit Cover'!E7</f>
        <v>8043120022</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c r="E29" s="2468"/>
      <c r="F29" s="2468"/>
      <c r="G29" s="2468"/>
      <c r="H29" s="2468"/>
      <c r="I29" s="246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9" t="s">
        <v>1751</v>
      </c>
      <c r="D37" s="2470"/>
      <c r="E37" s="2470"/>
      <c r="F37" s="2471"/>
      <c r="G37" s="2469" t="s">
        <v>1592</v>
      </c>
      <c r="H37" s="2470"/>
      <c r="I37" s="2471"/>
    </row>
    <row r="38" spans="2:9" ht="16.5" customHeight="1" x14ac:dyDescent="0.2">
      <c r="B38" s="1428"/>
      <c r="C38" s="2457"/>
      <c r="D38" s="2458"/>
      <c r="E38" s="2458"/>
      <c r="F38" s="2459"/>
      <c r="G38" s="2472"/>
      <c r="H38" s="2473"/>
      <c r="I38" s="2474"/>
    </row>
    <row r="39" spans="2:9" ht="16.5" customHeight="1" x14ac:dyDescent="0.2">
      <c r="B39" s="1428"/>
      <c r="C39" s="2457"/>
      <c r="D39" s="2458"/>
      <c r="E39" s="2458"/>
      <c r="F39" s="2459"/>
      <c r="G39" s="2460"/>
      <c r="H39" s="2460"/>
      <c r="I39" s="2460"/>
    </row>
    <row r="40" spans="2:9" ht="16.5" customHeight="1" x14ac:dyDescent="0.2">
      <c r="B40" s="1428"/>
      <c r="C40" s="2457"/>
      <c r="D40" s="2458"/>
      <c r="E40" s="2458"/>
      <c r="F40" s="2459"/>
      <c r="G40" s="2460"/>
      <c r="H40" s="2460"/>
      <c r="I40" s="2460"/>
    </row>
    <row r="41" spans="2:9" ht="16.5" customHeight="1" x14ac:dyDescent="0.2">
      <c r="B41" s="1428"/>
      <c r="C41" s="2457"/>
      <c r="D41" s="2458"/>
      <c r="E41" s="2458"/>
      <c r="F41" s="2459"/>
      <c r="G41" s="2460"/>
      <c r="H41" s="2460"/>
      <c r="I41" s="2460"/>
    </row>
    <row r="42" spans="2:9" ht="16.5" customHeight="1" x14ac:dyDescent="0.2">
      <c r="B42" s="1428"/>
      <c r="C42" s="2457"/>
      <c r="D42" s="2458"/>
      <c r="E42" s="2458"/>
      <c r="F42" s="2459"/>
      <c r="G42" s="2460"/>
      <c r="H42" s="2460"/>
      <c r="I42" s="2460"/>
    </row>
    <row r="43" spans="2:9" ht="16.5" customHeight="1" x14ac:dyDescent="0.2">
      <c r="B43" s="1428"/>
      <c r="C43" s="2475" t="s">
        <v>1593</v>
      </c>
      <c r="D43" s="2476"/>
      <c r="E43" s="2476"/>
      <c r="F43" s="2477"/>
      <c r="G43" s="2478">
        <f>SUM(G38:I42)</f>
        <v>0</v>
      </c>
      <c r="H43" s="2478"/>
      <c r="I43" s="2478"/>
    </row>
    <row r="44" spans="2:9" ht="12.75" customHeight="1" x14ac:dyDescent="0.2"/>
    <row r="45" spans="2:9" ht="12.75" customHeight="1" x14ac:dyDescent="0.2">
      <c r="B45" s="1419" t="s">
        <v>1841</v>
      </c>
      <c r="D45" s="2479">
        <v>0</v>
      </c>
      <c r="E45" s="248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81"/>
      <c r="F49" s="2481"/>
      <c r="G49" s="248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Galena USD 120</v>
      </c>
      <c r="C1" s="2461"/>
      <c r="D1" s="2461"/>
      <c r="E1" s="2461"/>
      <c r="F1" s="2461"/>
      <c r="G1" s="2461"/>
      <c r="H1" s="2461"/>
      <c r="I1" s="2461"/>
      <c r="J1" s="2461"/>
      <c r="K1" s="2461"/>
      <c r="L1" s="1371"/>
      <c r="M1" s="1371"/>
    </row>
    <row r="2" spans="1:13" ht="12" customHeight="1" x14ac:dyDescent="0.2">
      <c r="B2" s="2463">
        <f>'Single Audit Cover'!E7</f>
        <v>8043120022</v>
      </c>
      <c r="C2" s="2463"/>
      <c r="D2" s="2463"/>
      <c r="E2" s="2463"/>
      <c r="F2" s="2463"/>
      <c r="G2" s="2463"/>
      <c r="H2" s="2463"/>
      <c r="I2" s="2463"/>
      <c r="J2" s="2463"/>
      <c r="K2" s="2463"/>
      <c r="L2" s="1372"/>
      <c r="M2" s="1373"/>
    </row>
    <row r="3" spans="1:13" ht="10.35" customHeight="1" x14ac:dyDescent="0.2">
      <c r="B3" s="2484" t="s">
        <v>1285</v>
      </c>
      <c r="C3" s="2484"/>
      <c r="D3" s="2484"/>
      <c r="E3" s="2484"/>
      <c r="F3" s="2484"/>
      <c r="G3" s="2484"/>
      <c r="H3" s="2484"/>
      <c r="I3" s="2484"/>
      <c r="J3" s="2484"/>
      <c r="K3" s="2484"/>
      <c r="L3" s="1374"/>
      <c r="M3" s="1374"/>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5" t="s">
        <v>1296</v>
      </c>
      <c r="C7" s="2485"/>
      <c r="D7" s="2486"/>
      <c r="E7" s="2486"/>
      <c r="F7" s="2486"/>
      <c r="G7" s="2486"/>
      <c r="H7" s="2486"/>
      <c r="I7" s="2486"/>
      <c r="J7" s="2486"/>
      <c r="K7" s="248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3"/>
      <c r="C14" s="2483"/>
      <c r="D14" s="2483"/>
      <c r="E14" s="2483"/>
      <c r="F14" s="2483"/>
      <c r="G14" s="2483"/>
      <c r="H14" s="2483"/>
      <c r="I14" s="2483"/>
      <c r="J14" s="2483"/>
      <c r="K14" s="248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3"/>
      <c r="C17" s="2483"/>
      <c r="D17" s="2483"/>
      <c r="E17" s="2483"/>
      <c r="F17" s="2483"/>
      <c r="G17" s="2483"/>
      <c r="H17" s="2483"/>
      <c r="I17" s="2483"/>
      <c r="J17" s="2483"/>
      <c r="K17" s="248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7"/>
      <c r="C20" s="2487"/>
      <c r="D20" s="2483"/>
      <c r="E20" s="2483"/>
      <c r="F20" s="2483"/>
      <c r="G20" s="2483"/>
      <c r="H20" s="2483"/>
      <c r="I20" s="2483"/>
      <c r="J20" s="2483"/>
      <c r="K20" s="248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3"/>
      <c r="C23" s="2483"/>
      <c r="D23" s="2483"/>
      <c r="E23" s="2483"/>
      <c r="F23" s="2483"/>
      <c r="G23" s="2483"/>
      <c r="H23" s="2483"/>
      <c r="I23" s="2483"/>
      <c r="J23" s="2483"/>
      <c r="K23" s="248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3"/>
      <c r="C26" s="2483"/>
      <c r="D26" s="2483"/>
      <c r="E26" s="2483"/>
      <c r="F26" s="2483"/>
      <c r="G26" s="2483"/>
      <c r="H26" s="2483"/>
      <c r="I26" s="2483"/>
      <c r="J26" s="2483"/>
      <c r="K26" s="248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2"/>
      <c r="C29" s="2482"/>
      <c r="D29" s="2483"/>
      <c r="E29" s="2483"/>
      <c r="F29" s="2483"/>
      <c r="G29" s="2483"/>
      <c r="H29" s="2483"/>
      <c r="I29" s="2483"/>
      <c r="J29" s="2483"/>
      <c r="K29" s="248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82"/>
      <c r="C32" s="2482"/>
      <c r="D32" s="2483"/>
      <c r="E32" s="2483"/>
      <c r="F32" s="2483"/>
      <c r="G32" s="2483"/>
      <c r="H32" s="2483"/>
      <c r="I32" s="2483"/>
      <c r="J32" s="2483"/>
      <c r="K32" s="248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Galena USD 120</v>
      </c>
      <c r="C1" s="2488"/>
      <c r="D1" s="2488"/>
      <c r="E1" s="2488"/>
      <c r="F1" s="2488"/>
      <c r="G1" s="2488"/>
      <c r="H1" s="2488"/>
      <c r="I1" s="2488"/>
      <c r="J1" s="2488"/>
      <c r="K1" s="2488"/>
      <c r="L1" s="1449"/>
    </row>
    <row r="2" spans="1:12" ht="12.75" customHeight="1" x14ac:dyDescent="0.2">
      <c r="B2" s="2489">
        <f>'Single Audit Cover'!E7</f>
        <v>8043120022</v>
      </c>
      <c r="C2" s="2489"/>
      <c r="D2" s="2489"/>
      <c r="E2" s="2489"/>
      <c r="F2" s="2489"/>
      <c r="G2" s="2489"/>
      <c r="H2" s="2489"/>
      <c r="I2" s="2489"/>
      <c r="J2" s="2489"/>
      <c r="K2" s="2489"/>
      <c r="L2" s="1450"/>
    </row>
    <row r="3" spans="1:12" ht="12.75" customHeight="1" x14ac:dyDescent="0.2">
      <c r="B3" s="2484" t="s">
        <v>1285</v>
      </c>
      <c r="C3" s="2484"/>
      <c r="D3" s="2484"/>
      <c r="E3" s="2484"/>
      <c r="F3" s="2484"/>
      <c r="G3" s="2484"/>
      <c r="H3" s="2484"/>
      <c r="I3" s="2484"/>
      <c r="J3" s="2484"/>
      <c r="K3" s="2484"/>
      <c r="L3" s="1374"/>
    </row>
    <row r="4" spans="1:12" ht="12.75" customHeight="1" x14ac:dyDescent="0.2">
      <c r="B4" s="2484" t="str">
        <f>'Single Audit Cover'!A4</f>
        <v>Year Ending June 30, 2019</v>
      </c>
      <c r="C4" s="2484"/>
      <c r="D4" s="2484"/>
      <c r="E4" s="2484"/>
      <c r="F4" s="2484"/>
      <c r="G4" s="2484"/>
      <c r="H4" s="2484"/>
      <c r="I4" s="2484"/>
      <c r="J4" s="2484"/>
      <c r="K4" s="2484"/>
      <c r="L4" s="1374"/>
    </row>
    <row r="5" spans="1:12" ht="5.25" customHeight="1" x14ac:dyDescent="0.2">
      <c r="B5" s="1257" t="s">
        <v>1169</v>
      </c>
      <c r="C5" s="1257"/>
      <c r="L5" s="322"/>
    </row>
    <row r="6" spans="1:12" ht="30.75" customHeight="1" x14ac:dyDescent="0.2">
      <c r="A6" s="322"/>
      <c r="B6" s="2490" t="s">
        <v>1308</v>
      </c>
      <c r="C6" s="2490"/>
      <c r="D6" s="2490"/>
      <c r="E6" s="2490"/>
      <c r="F6" s="2490"/>
      <c r="G6" s="2490"/>
      <c r="H6" s="2490"/>
      <c r="I6" s="2490"/>
      <c r="J6" s="2490"/>
      <c r="K6" s="249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1"/>
      <c r="E14" s="2491"/>
      <c r="F14" s="2491"/>
      <c r="H14" s="1459" t="s">
        <v>1303</v>
      </c>
      <c r="I14" s="2492"/>
      <c r="J14" s="2492"/>
      <c r="K14" s="249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2"/>
      <c r="E16" s="2492"/>
      <c r="F16" s="2492"/>
      <c r="G16" s="2492"/>
      <c r="H16" s="2492"/>
      <c r="I16" s="2492"/>
      <c r="J16" s="2492"/>
      <c r="K16" s="2492"/>
      <c r="L16" s="322"/>
    </row>
    <row r="17" spans="2:12" ht="13.5" customHeight="1" x14ac:dyDescent="0.2">
      <c r="B17" s="1384" t="s">
        <v>1301</v>
      </c>
      <c r="C17" s="1384"/>
      <c r="D17" s="2493"/>
      <c r="E17" s="2493"/>
      <c r="F17" s="2493"/>
      <c r="G17" s="2493"/>
      <c r="H17" s="2493"/>
      <c r="I17" s="2493"/>
      <c r="J17" s="2493"/>
      <c r="K17" s="249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3"/>
      <c r="C20" s="2483"/>
      <c r="D20" s="2483"/>
      <c r="E20" s="2483"/>
      <c r="F20" s="2483"/>
      <c r="G20" s="2483"/>
      <c r="H20" s="2483"/>
      <c r="I20" s="2483"/>
      <c r="J20" s="2483"/>
      <c r="K20" s="248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Galena USD 120</v>
      </c>
      <c r="C1" s="2461"/>
      <c r="D1" s="2461"/>
      <c r="E1" s="1469"/>
    </row>
    <row r="2" spans="2:5" s="1279" customFormat="1" ht="12.75" customHeight="1" x14ac:dyDescent="0.2">
      <c r="B2" s="2463">
        <f>'Single Audit Cover'!E7</f>
        <v>8043120022</v>
      </c>
      <c r="C2" s="2463"/>
      <c r="D2" s="2463"/>
      <c r="E2" s="1470"/>
    </row>
    <row r="3" spans="2:5" ht="12.75" customHeight="1" x14ac:dyDescent="0.2">
      <c r="B3" s="2484" t="s">
        <v>1766</v>
      </c>
      <c r="C3" s="2484"/>
      <c r="D3" s="2484"/>
      <c r="E3" s="1271"/>
    </row>
    <row r="4" spans="2:5" s="1279" customFormat="1" ht="12.75" customHeight="1" x14ac:dyDescent="0.2">
      <c r="B4" s="2494" t="str">
        <f>'Single Audit Cover'!A4</f>
        <v>Year Ending June 30, 2019</v>
      </c>
      <c r="C4" s="2494"/>
      <c r="D4" s="249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4d435f69-8686-490b-bd6d-b153bf22ab50"/>
    <ds:schemaRef ds:uri="d21dc803-237d-4c68-8692-8d731fd29118"/>
    <ds:schemaRef ds:uri="6ce3111e-7420-4802-b50a-75d4e9a0b980"/>
    <ds:schemaRef ds:uri="http://purl.org/dc/elements/1.1/"/>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2019-10-31T13:27:11Z</cp:lastPrinted>
  <dcterms:created xsi:type="dcterms:W3CDTF">2003-10-29T19:06:34Z</dcterms:created>
  <dcterms:modified xsi:type="dcterms:W3CDTF">2019-12-09T21:38:50Z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