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ED98DB5-07D1-4858-9EE1-C199D87D133B}" xr6:coauthVersionLast="36" xr6:coauthVersionMax="36" xr10:uidLastSave="{00000000-0000-0000-0000-000000000000}"/>
  <bookViews>
    <workbookView xWindow="-24120" yWindow="-120" windowWidth="24240" windowHeight="13140" tabRatio="76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3" i="12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1" i="106" s="1"/>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0" i="127"/>
  <c r="B61" i="127"/>
  <c r="D26" i="108"/>
  <c r="E26" i="108"/>
  <c r="F26" i="108"/>
  <c r="D27" i="108"/>
  <c r="E27" i="108"/>
  <c r="F27" i="108"/>
  <c r="G27" i="108"/>
  <c r="F31" i="108"/>
  <c r="F36" i="108"/>
  <c r="F37" i="108"/>
  <c r="G28" i="108"/>
  <c r="E29" i="108"/>
  <c r="D31" i="108"/>
  <c r="D36" i="108"/>
  <c r="D37"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22" i="37"/>
  <c r="J22" i="37"/>
  <c r="L22" i="37"/>
  <c r="L5" i="11"/>
  <c r="B2056" i="106" s="1"/>
  <c r="D2056" i="106" s="1"/>
  <c r="D9" i="7"/>
  <c r="B1767" i="106" s="1"/>
  <c r="D1767" i="106" s="1"/>
  <c r="H33" i="118" l="1"/>
  <c r="F49" i="34"/>
  <c r="B4268" i="106"/>
  <c r="D4268" i="106" s="1"/>
  <c r="C342" i="29"/>
  <c r="B7216" i="106" s="1"/>
  <c r="D7216" i="106" s="1"/>
  <c r="F64" i="34"/>
  <c r="G39" i="108"/>
  <c r="E28" i="108"/>
  <c r="F28" i="108"/>
  <c r="F41" i="108" s="1"/>
  <c r="G43" i="108" s="1"/>
  <c r="B6995" i="106"/>
  <c r="D6995" i="106" s="1"/>
  <c r="E30" i="108"/>
  <c r="G30" i="108"/>
  <c r="H342" i="29"/>
  <c r="K28" i="118"/>
  <c r="O27" i="118" s="1"/>
  <c r="O29" i="118" s="1"/>
  <c r="F46" i="34"/>
  <c r="F77" i="4"/>
  <c r="B3255" i="106" s="1"/>
  <c r="D3255" i="106" s="1"/>
  <c r="F44" i="34"/>
  <c r="J41" i="3"/>
  <c r="L342" i="29"/>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C151" i="29" s="1"/>
  <c r="B1226" i="106" s="1"/>
  <c r="D1226" i="106" s="1"/>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G170" i="5" l="1"/>
  <c r="B1225" i="106"/>
  <c r="D1225" i="106" s="1"/>
  <c r="C114" i="29"/>
  <c r="B757" i="106" s="1"/>
  <c r="D757" i="106" s="1"/>
  <c r="D7256" i="106"/>
  <c r="D7251" i="106"/>
  <c r="L16" i="11"/>
  <c r="B2061" i="106" s="1"/>
  <c r="D2061" i="106" s="1"/>
  <c r="L114" i="29"/>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5778" i="106" l="1"/>
  <c r="D5778" i="106" s="1"/>
  <c r="G6" i="4"/>
  <c r="B2604" i="106" s="1"/>
  <c r="D260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B6227" i="106"/>
  <c r="D6227" i="106" s="1"/>
  <c r="D8" i="146"/>
  <c r="J20" i="4"/>
  <c r="J78" i="4"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<sst xmlns="http://schemas.openxmlformats.org/spreadsheetml/2006/main" count="5123" uniqueCount="2117">
  <si>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</si>
  <si>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</si>
  <si>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</si>
  <si>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</si>
  <si>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</si>
  <si>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</si>
  <si>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</si>
  <si>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</si>
  <si>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</si>
  <si>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</si>
  <si>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</si>
  <si>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</si>
  <si>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</si>
  <si>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</si>
  <si>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</si>
  <si>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</si>
  <si>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</si>
  <si>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</si>
  <si>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</si>
  <si>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</si>
  <si>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</si>
  <si>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</si>
  <si>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</si>
  <si>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</si>
  <si>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</si>
  <si>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</si>
  <si>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</si>
  <si>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</si>
  <si>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</si>
  <si>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</si>
  <si>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</si>
  <si>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</si>
  <si>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</si>
  <si>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</si>
  <si>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</si>
  <si>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</si>
  <si>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</si>
  <si>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</si>
  <si>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</si>
  <si>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</si>
  <si>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</si>
  <si>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</si>
  <si>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</si>
  <si>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</si>
  <si>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</si>
  <si>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</si>
  <si>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</si>
  <si>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</si>
  <si>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</si>
  <si>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</si>
  <si>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</si>
  <si>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</si>
  <si>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</si>
  <si>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</si>
  <si>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</si>
  <si>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</si>
  <si>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</si>
  <si>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</si>
  <si>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</si>
  <si>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</si>
  <si>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</si>
  <si>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</si>
  <si>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</si>
  <si>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</si>
  <si>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</si>
  <si>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</si>
  <si>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</si>
  <si>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</si>
  <si>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</si>
  <si>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</si>
  <si>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</si>
  <si>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</si>
  <si>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</si>
  <si>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</si>
  <si>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</si>
  <si>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</si>
  <si>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</si>
  <si>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</si>
  <si>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</si>
  <si>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</si>
  <si>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</si>
  <si>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</si>
  <si>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</si>
  <si>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</si>
  <si>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</si>
  <si>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</si>
  <si>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</si>
  <si>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</si>
  <si>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</si>
  <si>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</si>
  <si>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</si>
  <si>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</si>
  <si>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</si>
  <si>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</si>
  <si>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</si>
  <si>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</si>
  <si>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</si>
  <si>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</si>
  <si>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</si>
  <si>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</si>
  <si>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</si>
  <si>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</si>
  <si>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</si>
  <si>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</si>
  <si>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</si>
  <si>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</si>
  <si>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</si>
  <si>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</si>
  <si>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</si>
  <si>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</si>
  <si>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</si>
  <si>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</si>
  <si>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</si>
  <si>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</si>
  <si>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</si>
  <si>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</si>
  <si>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</si>
  <si>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</si>
  <si>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</si>
  <si>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</si>
  <si>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</si>
  <si>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</si>
  <si>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</si>
  <si>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</si>
  <si>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</si>
  <si>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</si>
  <si>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</si>
  <si>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</si>
  <si>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</si>
  <si>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</si>
  <si>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</si>
  <si>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</si>
  <si>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</si>
  <si>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</si>
  <si>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</si>
  <si>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</si>
  <si>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</si>
  <si>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</si>
  <si>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</si>
  <si>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</si>
  <si>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</si>
  <si>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</si>
  <si>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</si>
  <si>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</si>
  <si>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</si>
  <si>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</si>
  <si>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</si>
  <si>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</si>
  <si>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</si>
  <si>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</si>
  <si>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</si>
  <si>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</si>
  <si>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</si>
  <si>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</si>
  <si>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</si>
  <si>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</si>
  <si>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</si>
  <si>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</si>
  <si>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</si>
  <si>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</si>
  <si>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</si>
  <si>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</si>
  <si>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</si>
  <si>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</si>
  <si>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</si>
  <si>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</si>
  <si>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</si>
  <si>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</si>
  <si>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</si>
  <si>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</si>
  <si>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</si>
  <si>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</si>
  <si>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</si>
  <si>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</si>
  <si>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</si>
  <si>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</si>
  <si>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</si>
  <si>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</si>
  <si>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</si>
  <si>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</si>
  <si>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</si>
  <si>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</si>
  <si>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</si>
  <si>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</si>
  <si>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</si>
  <si>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</si>
  <si>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</si>
  <si>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</si>
  <si>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</si>
  <si>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</si>
  <si>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</si>
  <si>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</si>
  <si>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</si>
  <si>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</si>
  <si>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</si>
  <si>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</si>
  <si>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</si>
  <si>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</si>
  <si>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</si>
  <si>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</si>
  <si>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</si>
  <si>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</si>
  <si>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</si>
  <si>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</si>
  <si>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</si>
  <si>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</si>
  <si>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</si>
  <si>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</si>
  <si>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</si>
  <si>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</si>
  <si>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</si>
  <si>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</si>
  <si>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</si>
  <si>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</si>
  <si>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</si>
  <si>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</si>
  <si>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</si>
  <si>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</si>
  <si>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</si>
  <si>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</si>
  <si>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</si>
  <si>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</si>
  <si>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</si>
  <si>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</si>
  <si>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</si>
  <si>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</si>
  <si>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</si>
  <si>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</si>
  <si>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</si>
  <si>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</si>
  <si>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</si>
  <si>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</si>
  <si>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</si>
  <si>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</si>
  <si>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</si>
  <si>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</si>
  <si>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</si>
  <si>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</si>
  <si>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</si>
  <si>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</si>
  <si>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</si>
  <si>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</si>
  <si>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</si>
  <si>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</si>
  <si>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</si>
  <si>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</si>
  <si>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</si>
  <si>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</si>
  <si>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</si>
  <si>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</si>
  <si>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</si>
  <si>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</si>
  <si>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</si>
  <si>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</si>
  <si>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</si>
  <si>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</si>
  <si>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</si>
  <si>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</si>
  <si>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</si>
  <si>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</si>
  <si>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</si>
  <si>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</si>
  <si>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</si>
  <si>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</si>
  <si>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</si>
  <si>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</si>
  <si>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</si>
  <si>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</si>
  <si>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</si>
  <si>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</si>
  <si>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</si>
  <si>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</si>
  <si>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</si>
  <si>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</si>
  <si>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</si>
  <si>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</si>
  <si>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</si>
  <si>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</si>
  <si>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</si>
  <si>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</si>
  <si>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</si>
  <si>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</si>
  <si>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</si>
  <si>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</si>
  <si>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</si>
  <si>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</si>
  <si>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</si>
  <si>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</si>
  <si>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</si>
  <si>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</si>
  <si>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</si>
  <si>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</si>
  <si>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</si>
  <si>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</si>
  <si>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</si>
  <si>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</si>
  <si>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</si>
  <si>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</si>
  <si>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</si>
  <si>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</si>
  <si>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</si>
  <si>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</si>
  <si>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</si>
  <si>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</si>
  <si>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</si>
  <si>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</si>
  <si>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</si>
  <si>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</si>
  <si>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</si>
  <si>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</si>
  <si>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</si>
  <si>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</si>
  <si>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</si>
  <si>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</si>
  <si>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</si>
  <si>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</si>
  <si>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</si>
  <si>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</si>
  <si>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</si>
  <si>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</si>
  <si>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</si>
  <si>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</si>
  <si>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</si>
  <si>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</si>
  <si>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</si>
  <si>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</si>
  <si>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</si>
  <si>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</si>
  <si>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</si>
  <si>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</si>
  <si>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</si>
  <si>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</si>
  <si>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</si>
  <si>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</si>
  <si>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</si>
  <si>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</si>
  <si>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</si>
  <si>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</si>
  <si>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</si>
  <si>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</si>
  <si>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</si>
  <si>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</si>
  <si>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</si>
  <si>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</si>
  <si>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</si>
  <si>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</si>
  <si>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</si>
  <si>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</si>
  <si>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</si>
  <si>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</si>
  <si>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</si>
  <si>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</si>
  <si>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</si>
  <si>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</si>
  <si>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</si>
  <si>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</si>
  <si>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</si>
  <si>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</si>
  <si>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</si>
  <si>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</si>
  <si>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</si>
  <si>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</si>
  <si>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</si>
  <si>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</si>
  <si>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</si>
  <si>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</si>
  <si>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</si>
  <si>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</si>
  <si>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</si>
  <si>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</si>
  <si>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</si>
  <si>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</si>
  <si>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</si>
  <si>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</si>
  <si>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</si>
  <si>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</si>
  <si>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</si>
  <si>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</si>
  <si>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</si>
  <si>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</si>
  <si>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</si>
  <si>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</si>
  <si>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</si>
  <si>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</si>
  <si>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</si>
  <si>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</si>
  <si>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</si>
  <si>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</si>
  <si>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</si>
  <si>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</si>
  <si>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</si>
  <si>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</si>
  <si>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</si>
  <si>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</si>
  <si>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</si>
  <si>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</si>
  <si>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</si>
  <si>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</si>
  <si>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</si>
  <si>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</si>
  <si>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</si>
  <si>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</si>
  <si>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</si>
  <si>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</si>
  <si>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</si>
  <si>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</si>
  <si>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</si>
  <si>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</si>
  <si>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</si>
  <si>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</si>
  <si>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</si>
  <si>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</si>
  <si>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</si>
  <si>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</si>
  <si>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</si>
  <si>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</si>
  <si>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</si>
  <si>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</si>
  <si>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</si>
  <si>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</si>
  <si>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</si>
  <si>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</si>
  <si>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</si>
  <si>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</si>
  <si>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</si>
  <si>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</si>
  <si>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</si>
  <si>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</si>
  <si>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</si>
  <si>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</si>
  <si>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</si>
  <si>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</si>
  <si>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</si>
  <si>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</si>
  <si>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</si>
  <si>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</si>
  <si>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</si>
  <si>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</si>
  <si>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</si>
  <si>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</si>
  <si>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</si>
  <si>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</si>
  <si>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</si>
  <si>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</si>
  <si>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</si>
  <si>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</si>
  <si>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</si>
  <si>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</si>
  <si>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</si>
  <si>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</si>
  <si>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</si>
  <si>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</si>
  <si>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</si>
  <si>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</si>
  <si>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</si>
  <si>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</si>
  <si>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</si>
  <si>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</si>
  <si>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</si>
  <si>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</si>
  <si>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</si>
  <si>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</si>
  <si>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</si>
  <si>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</si>
  <si>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</si>
  <si>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</si>
  <si>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</si>
  <si>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</si>
  <si>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</si>
  <si>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</si>
  <si>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</si>
  <si>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</si>
  <si>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</si>
  <si>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</si>
  <si>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</si>
  <si>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</si>
  <si>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</si>
  <si>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</si>
  <si>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</si>
  <si>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</si>
  <si>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</si>
  <si>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</si>
  <si>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</si>
  <si>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</si>
  <si>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</si>
  <si>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</si>
  <si>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</si>
  <si>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</si>
  <si>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</si>
  <si>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</si>
  <si>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</si>
  <si>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</si>
  <si>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</si>
  <si>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</si>
  <si>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</si>
  <si>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</si>
  <si>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</si>
  <si>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</si>
  <si>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</si>
  <si>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</si>
  <si>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</si>
  <si>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</si>
  <si>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</si>
  <si>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</si>
  <si>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</si>
  <si>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</si>
  <si>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</si>
  <si>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</si>
  <si>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</si>
  <si>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</si>
  <si>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</si>
  <si>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</si>
  <si>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</si>
  <si>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</si>
  <si>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</si>
  <si>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</si>
  <si>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</si>
  <si>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</si>
  <si>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</si>
  <si>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</si>
  <si>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</si>
  <si>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</si>
  <si>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</si>
  <si>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</si>
  <si>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</si>
  <si>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</si>
  <si>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</si>
  <si>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</si>
  <si>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</si>
  <si>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</si>
  <si>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</si>
  <si>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</si>
  <si>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</si>
  <si>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</si>
  <si>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</si>
  <si>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</si>
  <si>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</si>
  <si>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</si>
  <si>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</si>
  <si>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</si>
  <si>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</si>
  <si>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</si>
  <si>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</si>
  <si>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</si>
  <si>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</si>
  <si>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</si>
  <si>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</si>
  <si>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</si>
  <si>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</si>
  <si>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</si>
  <si>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</si>
  <si>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</si>
  <si>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</si>
  <si>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</si>
  <si>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</si>
  <si>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</si>
  <si>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</si>
  <si>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</si>
  <si>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</si>
  <si>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</si>
  <si>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</si>
  <si>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</si>
  <si>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</si>
  <si>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</si>
  <si>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</si>
  <si>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</si>
  <si>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</si>
  <si>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</si>
  <si>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</si>
  <si>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</si>
  <si>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</si>
  <si>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</si>
  <si>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</si>
  <si>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</si>
  <si>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</si>
  <si>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</si>
  <si>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</si>
  <si>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</si>
  <si>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</si>
  <si>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</si>
  <si>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</si>
  <si>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</si>
  <si>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</si>
  <si>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</si>
  <si>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</si>
  <si>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</si>
  <si>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</si>
  <si>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</si>
  <si>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</si>
  <si>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</si>
  <si>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</si>
  <si>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</si>
  <si>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</si>
  <si>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</si>
  <si>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</si>
  <si>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</si>
  <si>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</si>
  <si>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</si>
  <si>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</si>
  <si>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</si>
  <si>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</si>
  <si>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</si>
  <si>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</si>
  <si>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</si>
  <si>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</si>
  <si>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</si>
  <si>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</si>
  <si>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</si>
  <si>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</si>
  <si>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</si>
  <si>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</si>
  <si>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</si>
  <si>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</si>
  <si>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</si>
  <si>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</si>
  <si>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</si>
  <si>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</si>
  <si>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</si>
  <si>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</si>
  <si>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</si>
  <si>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</si>
  <si>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</si>
  <si>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</si>
  <si>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</si>
  <si>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</si>
  <si>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</si>
  <si>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</si>
  <si>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</si>
  <si>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</si>
  <si>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</si>
  <si>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</si>
  <si>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</si>
  <si>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</si>
  <si>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</si>
  <si>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</si>
  <si>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</si>
  <si>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</si>
  <si>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</si>
  <si>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</si>
  <si>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</si>
  <si>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</si>
  <si>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</si>
  <si>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</si>
  <si>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</si>
  <si>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</si>
  <si>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</si>
  <si>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</si>
  <si>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</si>
  <si>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</si>
  <si>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</si>
  <si>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</si>
  <si>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</si>
  <si>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</si>
  <si>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</si>
  <si>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</si>
  <si>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</si>
  <si>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</si>
  <si>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</si>
  <si>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</si>
  <si>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</si>
  <si>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</si>
  <si>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</si>
  <si>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</si>
  <si>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</si>
  <si>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</si>
  <si>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</si>
  <si>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</si>
  <si>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</si>
  <si>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</si>
  <si>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</si>
  <si>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</si>
  <si>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</si>
  <si>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</si>
  <si>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</si>
  <si>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</si>
  <si>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</si>
  <si>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</si>
  <si>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</si>
  <si>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</si>
  <si>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</si>
  <si>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</si>
  <si>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</si>
  <si>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</si>
  <si>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</si>
  <si>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</si>
  <si>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</si>
  <si>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</si>
  <si>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</si>
  <si>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</si>
  <si>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</si>
  <si>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</si>
  <si>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</si>
  <si>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</si>
  <si>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</si>
  <si>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</si>
  <si>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</si>
  <si>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</si>
  <si>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</si>
  <si>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</si>
  <si>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</si>
  <si>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</si>
  <si>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</si>
  <si>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</si>
  <si>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</si>
  <si>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</si>
  <si>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</si>
  <si>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</si>
  <si>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</si>
  <si>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</si>
  <si>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</si>
  <si>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</si>
  <si>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</si>
  <si>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</si>
  <si>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</si>
  <si>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</si>
  <si>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</si>
  <si>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</si>
  <si>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</si>
  <si>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</si>
  <si>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</si>
  <si>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</si>
  <si>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</si>
  <si>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</si>
  <si>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</si>
  <si>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</si>
  <si>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</si>
  <si>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</si>
  <si>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</si>
  <si>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</si>
  <si>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</si>
  <si>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</si>
  <si>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</si>
  <si>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</si>
  <si>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</si>
  <si>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</si>
  <si>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</si>
  <si>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</si>
  <si>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</si>
  <si>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</si>
  <si>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</si>
  <si>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</si>
  <si>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</si>
  <si>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</si>
  <si>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</si>
  <si>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</si>
  <si>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</si>
  <si>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</si>
  <si>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</si>
  <si>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</si>
  <si>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</si>
  <si>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</si>
  <si>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</si>
  <si>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</si>
  <si>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</si>
  <si>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</si>
  <si>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</si>
  <si>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</si>
  <si>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</si>
  <si>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</si>
  <si>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</si>
  <si>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</si>
  <si>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</si>
  <si>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</si>
  <si>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</si>
  <si>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</si>
  <si>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</si>
  <si>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</si>
  <si>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</si>
  <si>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</si>
  <si>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</si>
  <si>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</si>
  <si>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</si>
  <si>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</si>
  <si>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</si>
  <si>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</si>
  <si>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</si>
  <si>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</si>
  <si>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</si>
  <si>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</si>
  <si>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</si>
  <si>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</si>
  <si>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</si>
  <si>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</si>
  <si>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</si>
  <si>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</si>
  <si>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</si>
  <si>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</si>
  <si>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</si>
  <si>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</si>
  <si>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</si>
  <si>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</si>
  <si>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</si>
  <si>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</si>
  <si>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</si>
  <si>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</si>
  <si>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</si>
  <si>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</si>
  <si>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</si>
  <si>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</si>
  <si>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</si>
  <si>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</si>
  <si>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</si>
  <si>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</si>
  <si>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</si>
  <si>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</si>
  <si>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</si>
  <si>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</si>
  <si>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</si>
  <si>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</si>
  <si>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</si>
  <si>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</si>
  <si>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</si>
  <si>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</si>
  <si>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</si>
  <si>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</si>
  <si>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</si>
  <si>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</si>
  <si>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</si>
  <si>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</si>
  <si>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</si>
  <si>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</si>
  <si>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</si>
  <si>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</si>
  <si>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</si>
  <si>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</si>
  <si>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</si>
  <si>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</si>
  <si>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</si>
  <si>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</si>
  <si>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</si>
  <si>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</si>
  <si>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</si>
  <si>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</si>
  <si>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</si>
  <si>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</si>
  <si>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</si>
  <si>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</si>
  <si>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</si>
  <si>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</si>
  <si>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</si>
  <si>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</si>
  <si>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</si>
  <si>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</si>
  <si>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</si>
  <si>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</si>
  <si>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</si>
  <si>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</si>
  <si>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</si>
  <si>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</si>
  <si>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</si>
  <si>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</si>
  <si>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</si>
  <si>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</si>
  <si>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</si>
  <si>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</si>
  <si>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</si>
  <si>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</si>
  <si>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</si>
  <si>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</si>
  <si>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</si>
  <si>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</si>
  <si>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</si>
  <si>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</si>
  <si>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</si>
  <si>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</si>
  <si>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</si>
  <si>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</si>
  <si>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</si>
  <si>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</si>
  <si>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</si>
  <si>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</si>
  <si>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</si>
  <si>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</si>
  <si>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</si>
  <si>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</si>
  <si>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</si>
  <si>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</si>
  <si>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</si>
  <si>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</si>
  <si>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</si>
  <si>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</si>
  <si>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</si>
  <si>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</si>
  <si>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</si>
  <si>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</si>
  <si>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</si>
  <si>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</si>
  <si>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</si>
  <si>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</si>
  <si>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</si>
  <si>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</si>
  <si>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</si>
  <si>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</si>
  <si>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</si>
  <si>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</si>
  <si>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</si>
  <si>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</si>
  <si>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</si>
  <si>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</si>
  <si>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</si>
  <si>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</si>
  <si>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</si>
  <si>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</si>
  <si>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</si>
  <si>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</si>
  <si>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</si>
  <si>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</si>
  <si>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</si>
  <si>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</si>
  <si>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</si>
  <si>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</si>
  <si>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</si>
  <si>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</si>
  <si>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</si>
  <si>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</si>
  <si>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</si>
  <si>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</si>
  <si>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</si>
  <si>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</si>
  <si>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</si>
  <si>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</si>
  <si>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</si>
  <si>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</si>
  <si>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</si>
  <si>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</si>
  <si>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</si>
  <si>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</si>
  <si>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</si>
  <si>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</si>
  <si>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</si>
  <si>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</si>
  <si>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</si>
  <si>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</si>
  <si>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</si>
  <si>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</si>
  <si>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</si>
  <si>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</si>
  <si>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</si>
  <si>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</si>
  <si>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</si>
  <si>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</si>
  <si>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</si>
  <si>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</si>
  <si>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</si>
  <si>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</si>
  <si>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</si>
  <si>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</si>
  <si>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</si>
  <si>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</si>
  <si>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</si>
  <si>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</si>
  <si>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</si>
  <si>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</si>
  <si>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</si>
  <si>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</si>
  <si>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</si>
  <si>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</si>
  <si>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</si>
  <si>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</si>
  <si>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</si>
  <si>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</si>
  <si>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</si>
  <si>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</si>
  <si>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</si>
  <si>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</si>
  <si>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</si>
  <si>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</si>
  <si>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</si>
  <si>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</si>
  <si>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</si>
  <si>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</si>
  <si>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</si>
  <si>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</si>
  <si>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</si>
  <si>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</si>
  <si>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</si>
  <si>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</si>
  <si>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</si>
  <si>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</si>
  <si>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</si>
  <si>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</si>
  <si>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</si>
  <si>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</si>
  <si>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</si>
  <si>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</si>
  <si>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</si>
  <si>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</si>
  <si>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</si>
  <si>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</si>
  <si>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</si>
  <si>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</si>
  <si>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</si>
  <si>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</si>
  <si>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</si>
  <si>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</si>
  <si>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</si>
  <si>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</si>
  <si>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</si>
  <si>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</si>
  <si>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</si>
  <si>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</si>
  <si>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</si>
  <si>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</si>
  <si>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</si>
  <si>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</si>
  <si>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</si>
  <si>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</si>
  <si>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</si>
  <si>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</si>
  <si>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</si>
  <si>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</si>
  <si>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</si>
  <si>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</si>
  <si>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</si>
  <si>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</si>
  <si>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</si>
  <si>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</si>
  <si>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</si>
  <si>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</si>
  <si>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</si>
  <si>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</si>
  <si>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</si>
  <si>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</si>
  <si>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</si>
  <si>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</si>
  <si>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</si>
  <si>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</si>
  <si>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</si>
  <si>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</si>
  <si>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</si>
  <si>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</si>
  <si>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</si>
  <si>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</si>
  <si>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</si>
  <si>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</si>
  <si>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</si>
  <si>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</si>
  <si>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</si>
  <si>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</si>
  <si>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</si>
  <si>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</si>
  <si>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</si>
  <si>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</si>
  <si>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</si>
  <si>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</si>
  <si>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</si>
  <si>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</si>
  <si>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</si>
  <si>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</si>
  <si>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</si>
  <si>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</si>
  <si>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</si>
  <si>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</si>
  <si>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</si>
  <si>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</si>
  <si>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</si>
  <si>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</si>
  <si>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</si>
  <si>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</si>
  <si>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</si>
  <si>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</si>
  <si>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</si>
  <si>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</si>
  <si>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</si>
  <si>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</si>
  <si>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</si>
  <si>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</si>
  <si>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</si>
  <si>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</si>
  <si>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</si>
  <si>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</si>
  <si>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</si>
  <si>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</si>
  <si>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</si>
  <si>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</si>
  <si>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</si>
  <si>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</si>
  <si>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</si>
  <si>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</si>
  <si>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</si>
  <si>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</si>
  <si>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</si>
  <si>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</si>
  <si>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</si>
  <si>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</si>
  <si>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</si>
  <si>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</si>
  <si>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</si>
  <si>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</si>
  <si>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</si>
  <si>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</si>
  <si>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</si>
  <si>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</si>
  <si>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</si>
  <si>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</si>
  <si>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</si>
  <si>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</si>
  <si>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</si>
  <si>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</si>
  <si>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</si>
  <si>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</si>
  <si>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</si>
  <si>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</si>
  <si>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</si>
  <si>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</si>
  <si>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</si>
  <si>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</si>
  <si>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</si>
  <si>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</si>
  <si>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</si>
  <si>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</si>
  <si>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</si>
  <si>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</si>
  <si>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</si>
  <si>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</si>
  <si>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</si>
  <si>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</si>
  <si>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</si>
  <si>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</si>
  <si>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</si>
  <si>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</si>
  <si>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</si>
  <si>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</si>
  <si>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</si>
  <si>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</si>
  <si>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</si>
  <si>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</si>
  <si>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</si>
  <si>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</si>
  <si>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</si>
  <si>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</si>
  <si>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</si>
  <si>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</si>
  <si>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</si>
  <si>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</si>
  <si>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</si>
  <si>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</si>
  <si>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</si>
  <si>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</si>
  <si>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</si>
  <si>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</si>
  <si>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</si>
  <si>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</si>
  <si>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</si>
  <si>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</si>
  <si>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</si>
  <si>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</si>
  <si>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</si>
  <si>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</si>
  <si>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</si>
  <si>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</si>
  <si>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</si>
  <si>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</si>
  <si>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</si>
  <si>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</si>
  <si>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</si>
  <si>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</si>
  <si>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</si>
  <si>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</si>
  <si>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</si>
  <si>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</si>
  <si>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</si>
  <si>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</si>
  <si>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</si>
  <si>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</si>
  <si>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</si>
  <si>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</si>
  <si>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</si>
  <si>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</si>
  <si>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</si>
  <si>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</si>
  <si>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</si>
  <si>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</si>
  <si>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</si>
  <si>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</si>
  <si>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</si>
  <si>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</si>
  <si>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</si>
  <si>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</si>
  <si>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</si>
  <si>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</si>
  <si>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</si>
  <si>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</si>
  <si>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</si>
  <si>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</si>
  <si>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</si>
  <si>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</si>
  <si>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</si>
  <si>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</si>
  <si>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</si>
  <si>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</si>
  <si>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</si>
  <si>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</si>
  <si>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</si>
  <si>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</si>
  <si>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</si>
  <si>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</si>
  <si>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</si>
  <si>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</si>
  <si>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</si>
  <si>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</si>
  <si>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</si>
  <si>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</si>
  <si>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</si>
  <si>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</si>
  <si>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</si>
  <si>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</si>
  <si>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</si>
  <si>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</si>
  <si>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</si>
  <si>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</si>
  <si>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</si>
  <si>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</si>
  <si>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</si>
  <si>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</si>
  <si>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</si>
  <si>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</si>
  <si>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</si>
  <si>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</si>
  <si>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</si>
  <si>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</si>
  <si>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</si>
  <si>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</si>
  <si>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</si>
  <si>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</si>
  <si>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</si>
  <si>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</si>
  <si>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</si>
  <si>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</si>
  <si>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</si>
  <si>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</si>
  <si>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</si>
  <si>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</si>
  <si>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</si>
  <si>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</si>
  <si>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</si>
  <si>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</si>
  <si>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</si>
  <si>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</si>
  <si>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</si>
  <si>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</si>
  <si>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</si>
  <si>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</si>
  <si>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</si>
  <si>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</si>
  <si>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</si>
  <si>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</si>
  <si>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</si>
  <si>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</si>
  <si>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</si>
  <si>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</si>
  <si>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</si>
  <si>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</si>
  <si>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</si>
  <si>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</si>
  <si>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</si>
  <si>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</si>
  <si>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</si>
  <si>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</si>
  <si>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</si>
  <si>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</si>
  <si>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</si>
  <si>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</si>
  <si>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</si>
  <si>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</si>
  <si>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</si>
  <si>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</si>
  <si>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</si>
  <si>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</si>
  <si>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</si>
  <si>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</si>
  <si>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</si>
  <si>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</si>
  <si>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</si>
  <si>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</si>
  <si>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</si>
  <si>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</si>
  <si>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</si>
  <si>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</si>
  <si>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</si>
  <si>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</si>
  <si>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</si>
  <si>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</si>
  <si>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</si>
  <si>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</si>
  <si>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</si>
  <si>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</si>
  <si>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</si>
  <si>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</si>
  <si>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</si>
  <si>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</si>
  <si>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</si>
  <si>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</si>
  <si>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</si>
  <si>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</si>
  <si>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</si>
  <si>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</si>
  <si>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</si>
  <si>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</si>
  <si>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</si>
  <si>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</si>
  <si>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</si>
  <si>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</si>
  <si>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</si>
  <si>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</si>
  <si>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</si>
  <si>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</si>
  <si>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</si>
  <si>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</si>
  <si>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</si>
  <si>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</si>
  <si>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</si>
  <si>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</si>
  <si>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</si>
  <si>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</si>
  <si>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</si>
  <si>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</si>
  <si>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</si>
  <si>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</si>
  <si>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</si>
  <si>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</si>
  <si>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</si>
  <si>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</si>
  <si>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</si>
  <si>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</si>
  <si>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</si>
  <si>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</si>
  <si>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</si>
  <si>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</si>
  <si>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</si>
  <si>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</si>
  <si>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</si>
  <si>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</si>
  <si>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</si>
  <si>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</si>
  <si>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</si>
  <si>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</si>
  <si>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</si>
  <si>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</si>
  <si>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</si>
  <si>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</si>
  <si>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</si>
  <si>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</si>
  <si>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</si>
  <si>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</si>
  <si>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</si>
  <si>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</si>
  <si>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</si>
  <si>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</si>
  <si>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</si>
  <si>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</si>
  <si>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</si>
  <si>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</si>
  <si>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</si>
  <si>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</si>
  <si>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</si>
  <si>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</si>
  <si>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</si>
  <si>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</si>
  <si>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</si>
  <si>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</si>
  <si>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</si>
  <si>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</si>
  <si>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</si>
  <si>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</si>
  <si>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</si>
  <si>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</si>
  <si>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</si>
  <si>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</si>
  <si>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</si>
  <si>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</si>
  <si>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</si>
  <si>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</si>
  <si>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</si>
  <si>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</si>
  <si>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</si>
  <si>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</si>
  <si>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</si>
  <si>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</si>
  <si>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</si>
  <si>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</si>
  <si>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</si>
  <si>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</si>
  <si>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</si>
  <si>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</si>
  <si>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</si>
  <si>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</si>
  <si>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</si>
  <si>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</si>
  <si>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</si>
  <si>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</si>
  <si>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</si>
  <si>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</si>
  <si>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</si>
  <si>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</si>
  <si>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</si>
  <si>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</si>
  <si>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</si>
  <si>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</si>
  <si>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</si>
  <si>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</si>
  <si>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</si>
  <si>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</si>
  <si>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</si>
  <si>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</si>
  <si>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</si>
  <si>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</si>
  <si>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</si>
  <si>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</si>
  <si>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</si>
  <si>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</si>
  <si>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</si>
  <si>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</si>
  <si>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</si>
  <si>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</si>
  <si>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</si>
  <si>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</si>
  <si>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</si>
  <si>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</si>
  <si>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</si>
  <si>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</si>
  <si>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</si>
  <si>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</si>
  <si>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</si>
  <si>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</si>
  <si>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</si>
  <si>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</si>
  <si>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</si>
  <si>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</si>
  <si>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</si>
  <si>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</si>
  <si>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</si>
  <si>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</si>
  <si>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</si>
  <si>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</si>
  <si>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</si>
  <si>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</si>
  <si>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</si>
  <si>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</si>
  <si>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</si>
  <si>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</si>
  <si>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</si>
  <si>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</si>
  <si>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</si>
  <si>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</si>
  <si>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</si>
  <si>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</si>
  <si>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</si>
  <si>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</si>
  <si>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</si>
  <si>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</si>
  <si>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</si>
  <si>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</si>
  <si>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</si>
  <si>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</si>
  <si>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</si>
  <si>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</si>
  <si>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</si>
  <si>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</si>
  <si>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</si>
  <si>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</si>
  <si>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</si>
  <si>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</si>
  <si>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</si>
  <si>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</si>
  <si>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</si>
  <si>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</si>
  <si>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</si>
  <si>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</si>
  <si>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</si>
  <si>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</si>
  <si>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</si>
  <si>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</si>
  <si>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</si>
  <si>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</si>
  <si>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</si>
  <si>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</si>
  <si>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</si>
  <si>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</si>
  <si>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</si>
  <si>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</si>
  <si>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</si>
  <si>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</si>
  <si>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</si>
  <si>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</si>
  <si>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</si>
  <si>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</si>
  <si>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</si>
  <si>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</si>
  <si>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</si>
  <si>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</si>
  <si>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</si>
  <si>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</si>
  <si>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</si>
  <si>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</si>
  <si>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</si>
  <si>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</si>
  <si>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</si>
  <si>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</si>
  <si>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</si>
  <si>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</si>
  <si>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</si>
  <si>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</si>
  <si>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</si>
  <si>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</si>
  <si>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</si>
  <si>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</si>
  <si>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</si>
  <si>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</si>
  <si>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</si>
  <si>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</si>
  <si>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</si>
  <si>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</si>
  <si>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</si>
  <si>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</si>
  <si>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</si>
  <si>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</si>
  <si>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</si>
  <si>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</si>
  <si>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</si>
  <si>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</si>
  <si>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</si>
  <si>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</si>
  <si>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</si>
  <si>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</si>
  <si>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</si>
  <si>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</si>
  <si>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</si>
  <si>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</si>
  <si>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</si>
  <si>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</si>
  <si>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</si>
  <si>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</si>
  <si>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</si>
  <si>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</si>
  <si>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</si>
  <si>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</si>
  <si>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</si>
  <si>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</si>
  <si>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</si>
  <si>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</si>
  <si>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</si>
  <si>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</si>
  <si>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</si>
  <si>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</si>
  <si>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</si>
  <si>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</si>
  <si>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</si>
  <si>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</si>
  <si>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</si>
  <si>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</si>
  <si>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</si>
  <si>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</si>
  <si>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</si>
  <si>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</si>
  <si>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</si>
  <si>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</si>
  <si>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</si>
  <si>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</si>
  <si>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</si>
  <si>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</si>
  <si>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</si>
  <si>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</si>
  <si>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</si>
  <si>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</si>
  <si>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</si>
  <si>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</si>
  <si>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</si>
  <si>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</si>
  <si>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</si>
  <si>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</si>
  <si>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</si>
  <si>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</si>
  <si>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</si>
  <si>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</si>
  <si>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</si>
  <si>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</si>
  <si>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</si>
  <si>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</si>
  <si>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</si>
  <si>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</si>
  <si>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</si>
  <si>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</si>
  <si>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</si>
  <si>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</si>
  <si>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</si>
  <si>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</si>
  <si>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</si>
  <si>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</si>
  <si>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</si>
  <si>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</si>
  <si>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</si>
  <si>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</si>
  <si>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</si>
  <si>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</si>
  <si>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</si>
  <si>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</si>
  <si>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</si>
  <si>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</si>
  <si>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</si>
  <si>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</si>
  <si>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</si>
  <si>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</si>
  <si>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</si>
  <si>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</si>
  <si>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</si>
  <si>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</si>
  <si>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</si>
  <si>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</si>
  <si>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</si>
  <si>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</si>
  <si>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</si>
  <si>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</si>
  <si>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</si>
  <si>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</si>
  <si>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</si>
  <si>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</si>
  <si>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</si>
  <si>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</si>
  <si>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</si>
  <si>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</si>
  <si>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</si>
  <si>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</si>
  <si>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</si>
  <si>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</si>
  <si>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</si>
  <si>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</si>
  <si>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</si>
  <si>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</si>
  <si>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</si>
  <si>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</si>
  <si>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</si>
  <si>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</si>
  <si>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</si>
  <si>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</si>
  <si>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</si>
  <si>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</si>
  <si>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</si>
  <si>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</si>
  <si>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</si>
  <si>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</si>
  <si>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</si>
  <si>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</si>
  <si>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</si>
  <si>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</si>
  <si>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</si>
  <si>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</si>
  <si>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</si>
  <si>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</si>
  <si>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</si>
  <si>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</si>
  <si>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</si>
  <si>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</si>
  <si>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</si>
  <si>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</si>
  <si>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</si>
  <si>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</si>
  <si>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</si>
  <si>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</si>
  <si>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</si>
  <si>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</si>
  <si>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</si>
  <si>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</si>
  <si>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</si>
  <si>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</si>
  <si>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</si>
  <si>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</si>
  <si>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</si>
  <si>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</si>
  <si>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</si>
  <si>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</si>
  <si>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</si>
  <si>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</si>
  <si>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</si>
  <si>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</si>
  <si>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</si>
  <si>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</si>
  <si>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</si>
  <si>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</si>
  <si>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</si>
  <si>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</si>
  <si>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</si>
  <si>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</si>
  <si>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</si>
  <si>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</si>
  <si>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</si>
  <si>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</si>
  <si>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</si>
  <si>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</si>
  <si>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</si>
  <si>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</si>
  <si>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</si>
  <si>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</si>
  <si>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</si>
  <si>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</si>
  <si>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</si>
  <si>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</si>
  <si>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</si>
  <si>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</si>
  <si>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</si>
  <si>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</si>
  <si>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</si>
  <si>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</si>
  <si>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</si>
  <si>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</si>
  <si>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</si>
  <si>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</si>
  <si>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</si>
  <si>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</si>
  <si>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</si>
  <si>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</si>
  <si>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</si>
  <si>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</si>
  <si>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</si>
  <si>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</si>
  <si>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</si>
  <si>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</si>
  <si>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</si>
  <si>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</si>
  <si>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</si>
  <si>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</si>
  <si>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</si>
  <si>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</si>
  <si>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</si>
  <si>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</si>
  <si>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</si>
  <si>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</si>
  <si>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</si>
  <si>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</si>
  <si>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</si>
  <si>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</si>
  <si>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</si>
  <si>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</si>
  <si>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</si>
  <si>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</si>
  <si>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</si>
  <si>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</si>
  <si>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</si>
  <si>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</si>
  <si>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</si>
  <si>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</si>
  <si>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</si>
  <si>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</si>
  <si>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</si>
  <si>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</si>
  <si>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</si>
  <si>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</si>
  <si>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</si>
  <si>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</si>
  <si>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</si>
  <si>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</si>
  <si>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</si>
  <si>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</si>
  <si>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</si>
  <si>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</si>
  <si>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</si>
  <si>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</si>
  <si>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</si>
  <si>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</si>
  <si>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</si>
  <si>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</si>
  <si>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</si>
  <si>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</si>
  <si>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</si>
  <si>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</si>
  <si>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</si>
  <si>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</si>
  <si>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</si>
  <si>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</si>
  <si>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</si>
  <si>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</si>
  <si>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</si>
  <si>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</si>
  <si>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</si>
  <si>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</si>
  <si>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</si>
  <si>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</si>
  <si>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</si>
  <si>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</si>
  <si>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</si>
  <si>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</si>
  <si>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</si>
  <si>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</si>
  <si>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</si>
  <si>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</si>
  <si>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</si>
  <si>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</si>
  <si>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</si>
  <si>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</si>
  <si>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</si>
  <si>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</si>
  <si>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</si>
  <si>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</si>
  <si>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</si>
  <si>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</si>
  <si>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</si>
  <si>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</si>
  <si>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</si>
  <si>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</si>
  <si>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</si>
  <si>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</si>
  <si>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</si>
  <si>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</si>
  <si>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</si>
  <si>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</si>
  <si>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</si>
  <si>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</si>
  <si>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</si>
  <si>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</si>
  <si>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</si>
  <si>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</si>
  <si>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</si>
  <si>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</si>
  <si>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</si>
  <si>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</si>
  <si>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</si>
  <si>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</si>
  <si>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</si>
  <si>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</si>
  <si>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</si>
  <si>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</si>
  <si>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</si>
  <si>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</si>
  <si>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</si>
  <si>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</si>
  <si>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</si>
  <si>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</si>
  <si>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</si>
  <si>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</si>
  <si>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</si>
  <si>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</si>
  <si>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</si>
  <si>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</si>
  <si>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</si>
  <si>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</si>
  <si>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</si>
  <si>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</si>
  <si>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</si>
  <si>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</si>
  <si>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</si>
  <si>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</si>
  <si>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</si>
  <si>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</si>
  <si>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</si>
  <si>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</si>
  <si>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</si>
  <si>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</si>
  <si>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</si>
  <si>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</si>
  <si>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</si>
  <si>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</si>
  <si>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</si>
  <si>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</si>
  <si>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</si>
  <si>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</si>
  <si>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</si>
  <si>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</si>
  <si>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</si>
  <si>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</si>
  <si>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</si>
  <si>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</si>
  <si>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</si>
  <si>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</si>
  <si>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</si>
  <si>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</si>
  <si>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</si>
  <si>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</si>
  <si>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</si>
  <si>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</si>
  <si>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</si>
  <si>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</si>
  <si>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</si>
  <si>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</si>
  <si>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</si>
  <si>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</si>
  <si>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</si>
  <si>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</si>
  <si>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</si>
  <si>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</si>
  <si>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</si>
  <si>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</si>
  <si>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</si>
  <si>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</si>
  <si>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</si>
  <si>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</si>
  <si>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</si>
  <si>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</si>
  <si>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</si>
  <si>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</si>
  <si>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</si>
  <si>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</si>
  <si>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</si>
  <si>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</si>
  <si>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</si>
  <si>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</si>
  <si>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</si>
  <si>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</si>
  <si>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</si>
  <si>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</si>
  <si>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</si>
  <si>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</si>
  <si>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</si>
  <si>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</si>
  <si>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</si>
  <si>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</si>
  <si>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</si>
  <si>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</si>
  <si>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</si>
  <si>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</si>
  <si>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</si>
  <si>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</si>
  <si>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</si>
  <si>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</si>
  <si>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</si>
  <si>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</si>
  <si>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</si>
  <si>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</si>
  <si>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</si>
  <si>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</si>
  <si>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</si>
  <si>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</si>
  <si>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</si>
  <si>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</si>
  <si>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</si>
  <si>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</si>
  <si>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</si>
  <si>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</si>
  <si>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</si>
  <si>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</si>
  <si>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</si>
  <si>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</si>
  <si>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</si>
  <si>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</si>
  <si>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</si>
  <si>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</si>
  <si>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</si>
  <si>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</si>
  <si>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</si>
  <si>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</si>
  <si>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</si>
  <si>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</si>
  <si>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</si>
  <si>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</si>
  <si>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</si>
  <si>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</si>
  <si>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</si>
  <si>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</si>
  <si>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</si>
  <si>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</si>
  <si>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</si>
  <si>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</si>
  <si>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</si>
  <si>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</si>
  <si>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</si>
  <si>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</si>
  <si>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</si>
  <si>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</si>
  <si>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</si>
  <si>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</si>
  <si>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</si>
  <si>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</si>
  <si>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</si>
  <si>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</si>
  <si>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</si>
  <si>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</si>
  <si>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</si>
  <si>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</si>
  <si>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</si>
  <si>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</si>
  <si>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</si>
  <si>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</si>
  <si>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</si>
  <si>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</si>
  <si>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</si>
  <si>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</si>
  <si>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</si>
  <si>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</si>
  <si>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</si>
  <si>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</si>
  <si>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</si>
  <si>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</si>
  <si>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</si>
  <si>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</si>
  <si>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</si>
  <si>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</si>
  <si>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</si>
  <si>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</si>
  <si>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</si>
  <si>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</si>
  <si>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</si>
  <si>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</si>
  <si>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</si>
  <si>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</si>
  <si>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</si>
  <si>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</si>
  <si>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</si>
  <si>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</si>
  <si>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</si>
  <si>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</si>
  <si>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</si>
  <si>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</si>
  <si>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</si>
  <si>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</si>
  <si>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</si>
  <si>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</si>
  <si>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</si>
  <si>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</si>
  <si>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</si>
  <si>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</si>
  <si>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</si>
  <si>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</si>
  <si>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</si>
  <si>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</si>
  <si>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</si>
  <si>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</si>
  <si>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</si>
  <si>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</si>
  <si>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</si>
  <si>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</si>
  <si>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</si>
  <si>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</si>
  <si>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</si>
  <si>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</si>
  <si>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</si>
  <si>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</si>
  <si>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</si>
  <si>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</si>
  <si>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</si>
  <si>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</si>
  <si>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</si>
  <si>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</si>
  <si>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</si>
  <si>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</si>
  <si>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</si>
  <si>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</si>
  <si>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</si>
  <si>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</si>
  <si>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</si>
  <si>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</si>
  <si>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</si>
  <si>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</si>
  <si>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</si>
  <si>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</si>
  <si>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</si>
  <si>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</si>
  <si>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</si>
  <si>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</si>
  <si>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</si>
  <si>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</si>
  <si>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</si>
  <si>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</si>
  <si>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</si>
  <si>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</si>
  <si>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</si>
  <si>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</si>
  <si>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</si>
  <si>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</si>
  <si>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</si>
  <si>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</si>
  <si>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</si>
  <si>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</si>
  <si>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</si>
  <si>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</si>
  <si>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</si>
  <si>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</si>
  <si>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</si>
  <si>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</si>
  <si>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</si>
  <si>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</si>
  <si>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</si>
  <si>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</si>
  <si>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</si>
  <si>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</si>
  <si>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x</t>
  </si>
  <si>
    <t>Carroll</t>
  </si>
  <si>
    <t>815-493-6301</t>
  </si>
  <si>
    <t>Aaron Mercier</t>
  </si>
  <si>
    <t>amercier@roe8.com</t>
  </si>
  <si>
    <t>815-599-1408</t>
  </si>
  <si>
    <t>815-297-9032</t>
  </si>
  <si>
    <t>X</t>
  </si>
  <si>
    <t>Illinois School Employers Benefits Consortium</t>
  </si>
  <si>
    <t>Illinois Education Job Bank</t>
  </si>
  <si>
    <t>Bi-County Special Education Cooperative</t>
  </si>
  <si>
    <t>Whiteside Area Career Center</t>
  </si>
  <si>
    <t>Moodle hosting for 1 district</t>
  </si>
  <si>
    <t>Shared bus transportation with Chadwick-Milledgeville</t>
  </si>
  <si>
    <t>Co-ops for golf, football, track, wrestling, speech and theater</t>
  </si>
  <si>
    <t>A: Early step pre-school consortium with Chadwick-Milledgeville</t>
  </si>
  <si>
    <t>See B</t>
  </si>
  <si>
    <t>See A</t>
  </si>
  <si>
    <t>Taxable General Obligation Bonds, Series 2010B</t>
  </si>
  <si>
    <t>General Obligation Bond, Series 2016A</t>
  </si>
  <si>
    <t>Capital Lease - Computers</t>
  </si>
  <si>
    <t>Capital Lease - School Bus</t>
  </si>
  <si>
    <t>Capitalized leases - computers</t>
  </si>
  <si>
    <t>Capitalized leases - buses</t>
  </si>
  <si>
    <t>Account</t>
  </si>
  <si>
    <t>Page</t>
  </si>
  <si>
    <t>Line #</t>
  </si>
  <si>
    <t>Other Athletic Admissions - COOPS</t>
  </si>
  <si>
    <t>ERATE</t>
  </si>
  <si>
    <t>REAP Grant</t>
  </si>
  <si>
    <t>Alex Kashner</t>
  </si>
  <si>
    <t>mkashner@eastland308.com</t>
  </si>
  <si>
    <t>815-493-6343</t>
  </si>
  <si>
    <t>OM-Oper. &amp; Maint. Plant Services-Purchased Services</t>
  </si>
  <si>
    <t>20-2540-300</t>
  </si>
  <si>
    <t>Kaus Seed, Inc.</t>
  </si>
  <si>
    <t>Consolidated paper order with the Regional Office of Education</t>
  </si>
  <si>
    <t>B: FY17/18 the district held PE Training (open to other districts)</t>
  </si>
  <si>
    <r>
      <rPr>
        <b/>
        <sz val="10"/>
        <rFont val="Calibri"/>
        <family val="2"/>
        <scheme val="minor"/>
      </rPr>
      <t>Audit Check</t>
    </r>
    <r>
      <rPr>
        <sz val="10"/>
        <rFont val="Calibri"/>
        <family val="2"/>
        <scheme val="minor"/>
      </rPr>
      <t xml:space="preserve"> - Error message #8 is a result of payments for three bus leases totaling $49,923 being paid out of the transportation fund.</t>
    </r>
  </si>
  <si>
    <t>Cafeteria Resales</t>
  </si>
  <si>
    <t>FFA Miscellaneous Receipts</t>
  </si>
  <si>
    <t>601 S. Chestnut St.</t>
  </si>
  <si>
    <t>Shannon</t>
  </si>
  <si>
    <t>Eastland CUSD 308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</si>
</sst>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u val="doubleAccounting"/>
      <sz val="10"/>
      <name val="Calibri"/>
      <family val="2"/>
      <scheme val="minor"/>
    </font>
    <font>
      <u val="sing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cellStyleXfs>
  <cellXfs count="249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57" fillId="0" borderId="0" xfId="0" applyFont="1" applyAlignment="1">
      <alignment horizontal="center"/>
    </xf>
    <xf numFmtId="0" fontId="75" fillId="0" borderId="0" xfId="0" applyFont="1" applyAlignment="1">
      <alignment horizontal="center"/>
    </xf>
    <xf numFmtId="0" fontId="75" fillId="0" borderId="0" xfId="0" applyFont="1" applyAlignment="1">
      <alignment horizontal="left"/>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66" fillId="0" borderId="0" xfId="0" applyFont="1" applyAlignment="1">
      <alignment horizontal="center"/>
    </xf>
    <xf numFmtId="181" fontId="139" fillId="0" borderId="0" xfId="19" applyNumberFormat="1" applyFont="1" applyBorder="1"/>
    <xf numFmtId="181" fontId="57" fillId="0" borderId="0" xfId="19" applyNumberFormat="1" applyFont="1" applyBorder="1"/>
    <xf numFmtId="181" fontId="140" fillId="0" borderId="0" xfId="19" applyNumberFormat="1"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129885</xdr:colOff>
          <xdr:row>3</xdr:row>
          <xdr:rowOff>51955</xdr:rowOff>
        </xdr:from>
        <xdr:to>
          <xdr:col>1</xdr:col>
          <xdr:colOff>1044285</xdr:colOff>
          <xdr:row>7</xdr:row>
          <xdr:rowOff>90055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1238250</xdr:colOff>
          <xdr:row>3</xdr:row>
          <xdr:rowOff>43296</xdr:rowOff>
        </xdr:from>
        <xdr:to>
          <xdr:col>1</xdr:col>
          <xdr:colOff>2152650</xdr:colOff>
          <xdr:row>8</xdr:row>
          <xdr:rowOff>2598</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49100C3A-9841-4C71-9787-4A74A3DE27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sheetPr>
  <dimension ref="A1:AB48"/>
  <sheetViews>
    <sheetView showGridLines="0" tabSelected="1" topLeftCell="A7"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9" t="s">
        <v>405</v>
      </c>
      <c r="J1" s="1990"/>
      <c r="K1" s="1990"/>
      <c r="L1" s="1990"/>
      <c r="M1" s="1990"/>
      <c r="N1" s="1990"/>
      <c r="O1" s="1990"/>
      <c r="P1" s="1990"/>
      <c r="Q1" s="1990"/>
      <c r="R1" s="1990"/>
      <c r="S1" s="1990"/>
    </row>
    <row r="2" spans="1:28" ht="12" customHeight="1" x14ac:dyDescent="0.2">
      <c r="A2" s="47" t="s">
        <v>1993</v>
      </c>
      <c r="D2" s="48"/>
      <c r="I2" s="1991" t="s">
        <v>979</v>
      </c>
      <c r="J2" s="1990"/>
      <c r="K2" s="1990"/>
      <c r="L2" s="1990"/>
      <c r="M2" s="1990"/>
      <c r="N2" s="1990"/>
      <c r="O2" s="1990"/>
      <c r="P2" s="1990"/>
      <c r="Q2" s="1990"/>
      <c r="R2" s="1990"/>
      <c r="S2" s="1990"/>
    </row>
    <row r="3" spans="1:28" ht="12" customHeight="1" x14ac:dyDescent="0.2">
      <c r="A3" s="155" t="s">
        <v>1945</v>
      </c>
      <c r="B3" s="156"/>
      <c r="C3" s="156"/>
      <c r="D3" s="157"/>
      <c r="I3" s="1991" t="s">
        <v>52</v>
      </c>
      <c r="J3" s="1990"/>
      <c r="K3" s="1990"/>
      <c r="L3" s="1990"/>
      <c r="M3" s="1990"/>
      <c r="N3" s="1990"/>
      <c r="O3" s="1990"/>
      <c r="P3" s="1990"/>
      <c r="Q3" s="1990"/>
      <c r="R3" s="1990"/>
      <c r="S3" s="1990"/>
    </row>
    <row r="4" spans="1:28" ht="12" customHeight="1" x14ac:dyDescent="0.2">
      <c r="A4" s="37"/>
      <c r="I4" s="1991" t="s">
        <v>524</v>
      </c>
      <c r="J4" s="1990"/>
      <c r="K4" s="1990"/>
      <c r="L4" s="1990"/>
      <c r="M4" s="1990"/>
      <c r="N4" s="1990"/>
      <c r="O4" s="1990"/>
      <c r="P4" s="1990"/>
      <c r="Q4" s="1990"/>
      <c r="R4" s="1990"/>
      <c r="S4" s="1990"/>
    </row>
    <row r="5" spans="1:28" ht="14.1" customHeight="1" x14ac:dyDescent="0.2">
      <c r="B5" s="104" t="s">
        <v>2073</v>
      </c>
      <c r="C5" s="26" t="s">
        <v>910</v>
      </c>
      <c r="D5" s="84"/>
      <c r="E5" s="84"/>
      <c r="H5" s="38"/>
      <c r="I5" s="1999" t="s">
        <v>680</v>
      </c>
      <c r="J5" s="1998"/>
      <c r="K5" s="1998"/>
      <c r="L5" s="1998"/>
      <c r="M5" s="1998"/>
      <c r="N5" s="1998"/>
      <c r="O5" s="1998"/>
      <c r="P5" s="1998"/>
      <c r="Q5" s="1998"/>
      <c r="R5" s="1998"/>
      <c r="S5" s="1998"/>
    </row>
    <row r="6" spans="1:28" ht="14.1" customHeight="1" x14ac:dyDescent="0.2">
      <c r="B6" s="104"/>
      <c r="C6" s="26" t="s">
        <v>911</v>
      </c>
      <c r="D6" s="84"/>
      <c r="E6" s="84"/>
      <c r="I6" s="1997" t="s">
        <v>883</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674</v>
      </c>
      <c r="J9" s="1995"/>
      <c r="K9" s="1995"/>
      <c r="L9" s="1995"/>
      <c r="M9" s="1995"/>
      <c r="N9" s="1995"/>
      <c r="O9" s="1995"/>
      <c r="P9" s="1995"/>
      <c r="Q9" s="1995"/>
      <c r="R9" s="1995"/>
      <c r="S9" s="1996"/>
      <c r="T9" s="2010" t="s">
        <v>533</v>
      </c>
      <c r="U9" s="2011"/>
      <c r="V9" s="2011"/>
      <c r="W9" s="2011"/>
      <c r="X9" s="2011"/>
      <c r="Y9" s="2011"/>
      <c r="Z9" s="2011"/>
      <c r="AA9" s="2012"/>
    </row>
    <row r="10" spans="1:28" ht="13.5" customHeight="1" x14ac:dyDescent="0.2">
      <c r="A10" s="2017" t="s">
        <v>675</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955</v>
      </c>
      <c r="B11" s="2021"/>
      <c r="C11" s="2021"/>
      <c r="D11" s="2021"/>
      <c r="E11" s="2021"/>
      <c r="F11" s="2021"/>
      <c r="G11" s="2021"/>
      <c r="H11" s="2022"/>
      <c r="I11" s="27"/>
      <c r="J11" s="74"/>
      <c r="K11" s="27"/>
      <c r="O11" s="148" t="s">
        <v>2073</v>
      </c>
      <c r="P11" s="100" t="s">
        <v>201</v>
      </c>
      <c r="Q11" s="30"/>
      <c r="R11" s="28"/>
      <c r="S11" s="27"/>
      <c r="T11" s="2014"/>
      <c r="U11" s="2015"/>
      <c r="V11" s="2015"/>
      <c r="W11" s="2015"/>
      <c r="X11" s="2015"/>
      <c r="Y11" s="2015"/>
      <c r="Z11" s="2015"/>
      <c r="AA11" s="201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4">
        <v>8008308026</v>
      </c>
      <c r="B13" s="2025"/>
      <c r="C13" s="2025"/>
      <c r="D13" s="2025"/>
      <c r="E13" s="2025"/>
      <c r="F13" s="2025"/>
      <c r="G13" s="2025"/>
      <c r="H13" s="2026"/>
      <c r="I13" s="31"/>
      <c r="J13" s="30"/>
      <c r="K13" s="28"/>
      <c r="L13" s="30"/>
      <c r="M13" s="30"/>
      <c r="N13" s="30"/>
      <c r="O13" s="30"/>
      <c r="P13" s="30"/>
      <c r="Q13" s="30"/>
      <c r="R13" s="30"/>
      <c r="S13" s="30"/>
      <c r="T13" s="2029" t="s">
        <v>2064</v>
      </c>
      <c r="U13" s="2030"/>
      <c r="V13" s="2030"/>
      <c r="W13" s="2030"/>
      <c r="X13" s="2030"/>
      <c r="Y13" s="2031"/>
      <c r="Z13" s="2031"/>
      <c r="AA13" s="203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3" t="s">
        <v>2074</v>
      </c>
      <c r="B15" s="2027"/>
      <c r="C15" s="2027"/>
      <c r="D15" s="2027"/>
      <c r="E15" s="2027"/>
      <c r="F15" s="2027"/>
      <c r="G15" s="2027"/>
      <c r="H15" s="2028"/>
      <c r="T15" s="2033" t="s">
        <v>2065</v>
      </c>
      <c r="U15" s="1977"/>
      <c r="V15" s="1977"/>
      <c r="W15" s="1977"/>
      <c r="X15" s="1977"/>
      <c r="Y15" s="2034"/>
      <c r="Z15" s="2034"/>
      <c r="AA15" s="203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3" t="s">
        <v>2116</v>
      </c>
      <c r="B17" s="1984"/>
      <c r="C17" s="1984"/>
      <c r="D17" s="1984"/>
      <c r="E17" s="1984"/>
      <c r="F17" s="1984"/>
      <c r="G17" s="1984"/>
      <c r="H17" s="2009"/>
      <c r="T17" s="2040" t="s">
        <v>2066</v>
      </c>
      <c r="U17" s="2041"/>
      <c r="V17" s="2041"/>
      <c r="W17" s="2041"/>
      <c r="X17" s="2041"/>
      <c r="Y17" s="2041"/>
      <c r="Z17" s="2041"/>
      <c r="AA17" s="2042"/>
    </row>
    <row r="18" spans="1:27" ht="13.5" customHeight="1" x14ac:dyDescent="0.2">
      <c r="A18" s="85" t="s">
        <v>530</v>
      </c>
      <c r="B18" s="76"/>
      <c r="C18" s="72"/>
      <c r="D18" s="76"/>
      <c r="E18" s="76"/>
      <c r="F18" s="76"/>
      <c r="G18" s="76"/>
      <c r="H18" s="56"/>
      <c r="I18" s="2008" t="s">
        <v>676</v>
      </c>
      <c r="J18" s="1959"/>
      <c r="K18" s="1959"/>
      <c r="L18" s="1959"/>
      <c r="M18" s="1959"/>
      <c r="N18" s="1959"/>
      <c r="O18" s="1959"/>
      <c r="P18" s="1959"/>
      <c r="Q18" s="1959"/>
      <c r="R18" s="1959"/>
      <c r="S18" s="1960"/>
      <c r="T18" s="85" t="s">
        <v>711</v>
      </c>
      <c r="U18" s="51"/>
      <c r="V18" s="72"/>
      <c r="W18" s="50"/>
      <c r="X18" s="85" t="s">
        <v>266</v>
      </c>
      <c r="Y18" s="81"/>
      <c r="Z18" s="159" t="s">
        <v>677</v>
      </c>
      <c r="AA18" s="46"/>
    </row>
    <row r="19" spans="1:27" ht="13.5" customHeight="1" x14ac:dyDescent="0.2">
      <c r="A19" s="2023" t="s">
        <v>2114</v>
      </c>
      <c r="B19" s="1969"/>
      <c r="C19" s="1969"/>
      <c r="D19" s="1969"/>
      <c r="E19" s="1969"/>
      <c r="F19" s="1969"/>
      <c r="G19" s="1969"/>
      <c r="H19" s="1949"/>
      <c r="I19" s="30"/>
      <c r="J19" s="99"/>
      <c r="K19" s="40"/>
      <c r="L19" s="38"/>
      <c r="M19" s="112" t="s">
        <v>315</v>
      </c>
      <c r="P19" s="27"/>
      <c r="Q19" s="27"/>
      <c r="R19" s="27"/>
      <c r="S19" s="31"/>
      <c r="T19" s="2023" t="s">
        <v>2067</v>
      </c>
      <c r="U19" s="1948"/>
      <c r="V19" s="1948"/>
      <c r="W19" s="1949"/>
      <c r="X19" s="2038" t="s">
        <v>2068</v>
      </c>
      <c r="Y19" s="2039"/>
      <c r="Z19" s="2036">
        <v>61032</v>
      </c>
      <c r="AA19" s="203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7" t="s">
        <v>2115</v>
      </c>
      <c r="B21" s="1948"/>
      <c r="C21" s="1948"/>
      <c r="D21" s="1948"/>
      <c r="E21" s="1948"/>
      <c r="F21" s="1948"/>
      <c r="G21" s="1948"/>
      <c r="H21" s="1949"/>
      <c r="I21" s="2003" t="s">
        <v>678</v>
      </c>
      <c r="J21" s="1998"/>
      <c r="K21" s="1998"/>
      <c r="L21" s="1998"/>
      <c r="M21" s="1998"/>
      <c r="N21" s="1998"/>
      <c r="O21" s="1998"/>
      <c r="P21" s="1998"/>
      <c r="Q21" s="1998"/>
      <c r="R21" s="1998"/>
      <c r="S21" s="2004"/>
      <c r="T21" s="2047" t="s">
        <v>2069</v>
      </c>
      <c r="U21" s="2048"/>
      <c r="V21" s="2048"/>
      <c r="W21" s="2048"/>
      <c r="X21" s="2053" t="s">
        <v>2070</v>
      </c>
      <c r="Y21" s="2054"/>
      <c r="Z21" s="2054"/>
      <c r="AA21" s="2055"/>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0"/>
      <c r="B23" s="2001"/>
      <c r="C23" s="2001"/>
      <c r="D23" s="2001"/>
      <c r="E23" s="2001"/>
      <c r="F23" s="2001"/>
      <c r="G23" s="2001"/>
      <c r="H23" s="2002"/>
      <c r="T23" s="1983" t="s">
        <v>2071</v>
      </c>
      <c r="U23" s="2046"/>
      <c r="V23" s="2046"/>
      <c r="W23" s="2046"/>
      <c r="X23" s="2050">
        <v>44530</v>
      </c>
      <c r="Y23" s="2051"/>
      <c r="Z23" s="2051"/>
      <c r="AA23" s="2052"/>
    </row>
    <row r="24" spans="1:27" ht="14.1" customHeight="1" x14ac:dyDescent="0.2">
      <c r="A24" s="88" t="s">
        <v>677</v>
      </c>
      <c r="B24" s="49"/>
      <c r="C24" s="49"/>
      <c r="D24" s="49"/>
      <c r="E24" s="49"/>
      <c r="F24" s="49"/>
      <c r="G24" s="49"/>
      <c r="H24" s="61"/>
      <c r="J24" s="1970">
        <f>IF(B5="x",IF(AUDITCHECK!D29="AFR form Incomplete.","",IF(AUDITCHECK!D29="Deficit reduction plan is required.","School District must complete a deficit reduction plan in the 2019-2020 Budget",)),"")</f>
        <v>0</v>
      </c>
      <c r="K24" s="1970"/>
      <c r="L24" s="1970"/>
      <c r="M24" s="1970"/>
      <c r="N24" s="1970"/>
      <c r="O24" s="1970"/>
      <c r="P24" s="1970"/>
      <c r="Q24" s="1970"/>
      <c r="R24" s="1970"/>
      <c r="S24" s="1971"/>
      <c r="T24" s="105" t="s">
        <v>531</v>
      </c>
      <c r="U24" s="106"/>
      <c r="V24" s="106"/>
      <c r="W24" s="106"/>
      <c r="X24" s="107"/>
      <c r="Y24" s="107"/>
      <c r="Z24" s="107"/>
      <c r="AA24" s="108"/>
    </row>
    <row r="25" spans="1:27" ht="14.1" customHeight="1" x14ac:dyDescent="0.2">
      <c r="A25" s="1947">
        <v>61078</v>
      </c>
      <c r="B25" s="1948"/>
      <c r="C25" s="1948"/>
      <c r="D25" s="1948"/>
      <c r="E25" s="1948"/>
      <c r="F25" s="1948"/>
      <c r="G25" s="1948"/>
      <c r="H25" s="1949"/>
      <c r="I25" s="113"/>
      <c r="J25" s="1972"/>
      <c r="K25" s="1972"/>
      <c r="L25" s="1972"/>
      <c r="M25" s="1972"/>
      <c r="N25" s="1972"/>
      <c r="O25" s="1972"/>
      <c r="P25" s="1972"/>
      <c r="Q25" s="1972"/>
      <c r="R25" s="1972"/>
      <c r="S25" s="1973"/>
      <c r="T25" s="2043" t="s">
        <v>2072</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8" t="s">
        <v>1511</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2073</v>
      </c>
      <c r="M29" s="40" t="s">
        <v>99</v>
      </c>
      <c r="N29" s="32" t="s">
        <v>1523</v>
      </c>
      <c r="O29" s="32"/>
      <c r="P29" s="32"/>
      <c r="Q29" s="32"/>
      <c r="R29" s="32"/>
      <c r="S29" s="123"/>
      <c r="T29" s="6"/>
      <c r="U29" s="6"/>
      <c r="V29" s="6"/>
      <c r="W29" s="6"/>
      <c r="X29" s="6"/>
      <c r="Y29" s="6"/>
      <c r="Z29" s="6"/>
      <c r="AA29" s="132"/>
    </row>
    <row r="30" spans="1:27" ht="13.5" customHeight="1" x14ac:dyDescent="0.2">
      <c r="A30" s="153"/>
      <c r="B30" s="136" t="s">
        <v>2073</v>
      </c>
      <c r="C30" s="124" t="s">
        <v>1164</v>
      </c>
      <c r="D30" s="28"/>
      <c r="E30" s="28"/>
      <c r="F30" s="140"/>
      <c r="G30" s="114"/>
      <c r="H30" s="114"/>
      <c r="I30" s="54"/>
      <c r="J30" s="102"/>
      <c r="K30" s="28" t="s">
        <v>576</v>
      </c>
      <c r="L30" s="148" t="s">
        <v>2073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3" t="s">
        <v>2103</v>
      </c>
      <c r="B38" s="1984"/>
      <c r="C38" s="1984"/>
      <c r="D38" s="1984"/>
      <c r="E38" s="1984"/>
      <c r="F38" s="1948"/>
      <c r="G38" s="1948"/>
      <c r="H38" s="1949"/>
      <c r="I38" s="1976"/>
      <c r="J38" s="1977"/>
      <c r="K38" s="1977"/>
      <c r="L38" s="1977"/>
      <c r="M38" s="1977"/>
      <c r="N38" s="1977"/>
      <c r="O38" s="1977"/>
      <c r="P38" s="1978"/>
      <c r="Q38" s="1978"/>
      <c r="R38" s="1978"/>
      <c r="S38" s="1979"/>
      <c r="T38" s="2033" t="s">
        <v>2076</v>
      </c>
      <c r="U38" s="1977"/>
      <c r="V38" s="1977"/>
      <c r="W38" s="1977"/>
      <c r="X38" s="1978"/>
      <c r="Y38" s="1978"/>
      <c r="Z38" s="1978"/>
      <c r="AA38" s="1979"/>
    </row>
    <row r="39" spans="1:27" ht="12" customHeight="1" x14ac:dyDescent="0.2">
      <c r="A39" s="1953" t="s">
        <v>531</v>
      </c>
      <c r="B39" s="1954"/>
      <c r="C39" s="72"/>
      <c r="D39" s="69"/>
      <c r="E39" s="69"/>
      <c r="F39" s="79"/>
      <c r="G39" s="69"/>
      <c r="H39" s="56"/>
      <c r="I39" s="1953" t="s">
        <v>531</v>
      </c>
      <c r="J39" s="1954"/>
      <c r="K39" s="1954"/>
      <c r="L39" s="1954"/>
      <c r="M39" s="1954"/>
      <c r="N39" s="67"/>
      <c r="O39" s="72"/>
      <c r="P39" s="72"/>
      <c r="Q39" s="78"/>
      <c r="R39" s="72"/>
      <c r="S39" s="56"/>
      <c r="T39" s="72" t="s">
        <v>531</v>
      </c>
      <c r="U39" s="51"/>
      <c r="V39" s="72"/>
      <c r="W39" s="50"/>
      <c r="X39" s="78"/>
      <c r="Y39" s="45"/>
      <c r="Z39" s="45"/>
      <c r="AA39" s="46"/>
    </row>
    <row r="40" spans="1:27" ht="13.5" customHeight="1" x14ac:dyDescent="0.2">
      <c r="A40" s="1961" t="s">
        <v>2104</v>
      </c>
      <c r="B40" s="1962"/>
      <c r="C40" s="1963"/>
      <c r="D40" s="1963"/>
      <c r="E40" s="1963"/>
      <c r="F40" s="1964"/>
      <c r="G40" s="1964"/>
      <c r="H40" s="1965"/>
      <c r="I40" s="1986"/>
      <c r="J40" s="1987"/>
      <c r="K40" s="1987"/>
      <c r="L40" s="1987"/>
      <c r="M40" s="1987"/>
      <c r="N40" s="1987"/>
      <c r="O40" s="1987"/>
      <c r="P40" s="1987"/>
      <c r="Q40" s="1987"/>
      <c r="R40" s="1987"/>
      <c r="S40" s="1988"/>
      <c r="T40" s="1986" t="s">
        <v>2077</v>
      </c>
      <c r="U40" s="2049"/>
      <c r="V40" s="1987"/>
      <c r="W40" s="1987"/>
      <c r="X40" s="1987"/>
      <c r="Y40" s="1987"/>
      <c r="Z40" s="1987"/>
      <c r="AA40" s="198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5" t="s">
        <v>2075</v>
      </c>
      <c r="B42" s="1967"/>
      <c r="C42" s="1968"/>
      <c r="D42" s="1966" t="s">
        <v>2105</v>
      </c>
      <c r="E42" s="1967"/>
      <c r="F42" s="1967"/>
      <c r="G42" s="1967"/>
      <c r="H42" s="1968"/>
      <c r="I42" s="1950"/>
      <c r="J42" s="1951"/>
      <c r="K42" s="1951"/>
      <c r="L42" s="1951"/>
      <c r="M42" s="1951"/>
      <c r="N42" s="1951"/>
      <c r="O42" s="1952"/>
      <c r="P42" s="1985"/>
      <c r="Q42" s="1951"/>
      <c r="R42" s="1951"/>
      <c r="S42" s="1952"/>
      <c r="T42" s="1950" t="s">
        <v>2078</v>
      </c>
      <c r="U42" s="1951"/>
      <c r="V42" s="1951"/>
      <c r="W42" s="1952"/>
      <c r="X42" s="1985" t="s">
        <v>2079</v>
      </c>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F36"/>
  <sheetViews>
    <sheetView showGridLines="0" defaultGridColor="0" colorId="8" zoomScale="110" zoomScaleNormal="110" workbookViewId="0">
      <selection activeCell="H14" sqref="H1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9" t="s">
        <v>1802</v>
      </c>
      <c r="B2" s="1528" t="s">
        <v>1951</v>
      </c>
      <c r="C2" s="714" t="s">
        <v>1952</v>
      </c>
      <c r="D2" s="714" t="s">
        <v>1953</v>
      </c>
      <c r="E2" s="714" t="s">
        <v>1954</v>
      </c>
      <c r="F2" s="714" t="s">
        <v>1955</v>
      </c>
    </row>
    <row r="3" spans="1:6" ht="12" customHeight="1" x14ac:dyDescent="0.2">
      <c r="A3" s="2190"/>
      <c r="B3" s="1525"/>
      <c r="C3" s="1526"/>
      <c r="D3" s="1527" t="s">
        <v>256</v>
      </c>
      <c r="E3" s="1526"/>
      <c r="F3" s="1527" t="s">
        <v>257</v>
      </c>
    </row>
    <row r="4" spans="1:6" ht="13.7" customHeight="1" x14ac:dyDescent="0.2">
      <c r="A4" s="715" t="s">
        <v>1155</v>
      </c>
      <c r="B4" s="1749">
        <f>'Revenues 9-14'!C5</f>
        <v>4281270</v>
      </c>
      <c r="C4" s="1524">
        <v>1060457</v>
      </c>
      <c r="D4" s="1752">
        <f>B4-C4</f>
        <v>3220813</v>
      </c>
      <c r="E4" s="1524">
        <v>4634910</v>
      </c>
      <c r="F4" s="1752">
        <f>E4-C4</f>
        <v>3574453</v>
      </c>
    </row>
    <row r="5" spans="1:6" ht="13.7" customHeight="1" x14ac:dyDescent="0.2">
      <c r="A5" s="715" t="s">
        <v>870</v>
      </c>
      <c r="B5" s="1750">
        <f>'Revenues 9-14'!D5</f>
        <v>1027452</v>
      </c>
      <c r="C5" s="585">
        <v>254508</v>
      </c>
      <c r="D5" s="1753">
        <f t="shared" ref="D5:D18" si="0">B5-C5</f>
        <v>772944</v>
      </c>
      <c r="E5" s="585">
        <v>1112379</v>
      </c>
      <c r="F5" s="1753">
        <f>E5-C5</f>
        <v>857871</v>
      </c>
    </row>
    <row r="6" spans="1:6" ht="13.7" customHeight="1" x14ac:dyDescent="0.2">
      <c r="A6" s="715" t="s">
        <v>411</v>
      </c>
      <c r="B6" s="1750">
        <f>'Revenues 9-14'!E5</f>
        <v>1097361</v>
      </c>
      <c r="C6" s="585">
        <v>270463</v>
      </c>
      <c r="D6" s="1753">
        <f t="shared" si="0"/>
        <v>826898</v>
      </c>
      <c r="E6" s="585">
        <v>1182111</v>
      </c>
      <c r="F6" s="1753">
        <f t="shared" ref="F6:F18" si="1">E6-C6</f>
        <v>911648</v>
      </c>
    </row>
    <row r="7" spans="1:6" ht="13.7" customHeight="1" x14ac:dyDescent="0.2">
      <c r="A7" s="715" t="s">
        <v>155</v>
      </c>
      <c r="B7" s="1750">
        <f>'Revenues 9-14'!F5</f>
        <v>332006</v>
      </c>
      <c r="C7" s="585">
        <v>74360</v>
      </c>
      <c r="D7" s="1753">
        <f t="shared" si="0"/>
        <v>257646</v>
      </c>
      <c r="E7" s="585">
        <v>325005</v>
      </c>
      <c r="F7" s="1753">
        <f t="shared" si="1"/>
        <v>250645</v>
      </c>
    </row>
    <row r="8" spans="1:6" ht="13.7" customHeight="1" x14ac:dyDescent="0.2">
      <c r="A8" s="715" t="s">
        <v>1179</v>
      </c>
      <c r="B8" s="1750">
        <f>'Revenues 9-14'!G5</f>
        <v>106856</v>
      </c>
      <c r="C8" s="585">
        <v>27916</v>
      </c>
      <c r="D8" s="1753">
        <f t="shared" si="0"/>
        <v>78940</v>
      </c>
      <c r="E8" s="585">
        <v>122016</v>
      </c>
      <c r="F8" s="1753">
        <f t="shared" si="1"/>
        <v>94100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85622</v>
      </c>
      <c r="C10" s="585">
        <v>21212</v>
      </c>
      <c r="D10" s="1753">
        <f t="shared" si="0"/>
        <v>64410</v>
      </c>
      <c r="E10" s="585">
        <v>92715</v>
      </c>
      <c r="F10" s="1753">
        <f t="shared" si="1"/>
        <v>71503</v>
      </c>
    </row>
    <row r="11" spans="1:6" x14ac:dyDescent="0.2">
      <c r="A11" s="715" t="s">
        <v>409</v>
      </c>
      <c r="B11" s="1750">
        <f>'Revenues 9-14'!J5</f>
        <v>179415</v>
      </c>
      <c r="C11" s="585">
        <v>52577</v>
      </c>
      <c r="D11" s="1753">
        <f t="shared" si="0"/>
        <v>126838</v>
      </c>
      <c r="E11" s="585">
        <v>229800</v>
      </c>
      <c r="F11" s="1753">
        <f t="shared" si="1"/>
        <v>177223</v>
      </c>
    </row>
    <row r="12" spans="1:6" ht="13.7" customHeight="1" x14ac:dyDescent="0.2">
      <c r="A12" s="715" t="s">
        <v>157</v>
      </c>
      <c r="B12" s="1750">
        <f>'Revenues 9-14'!K5</f>
        <v>85622</v>
      </c>
      <c r="C12" s="585">
        <v>21212</v>
      </c>
      <c r="D12" s="1753">
        <f t="shared" si="0"/>
        <v>64410</v>
      </c>
      <c r="E12" s="585">
        <v>92715</v>
      </c>
      <c r="F12" s="1753">
        <f t="shared" si="1"/>
        <v>71503</v>
      </c>
    </row>
    <row r="13" spans="1:6" ht="13.7" customHeight="1" x14ac:dyDescent="0.2">
      <c r="A13" s="715" t="s">
        <v>936</v>
      </c>
      <c r="B13" s="1750">
        <f>SUM('Revenues 9-14'!C6:D6)</f>
        <v>85622</v>
      </c>
      <c r="C13" s="585">
        <v>21212</v>
      </c>
      <c r="D13" s="1753">
        <f t="shared" si="0"/>
        <v>64410</v>
      </c>
      <c r="E13" s="585">
        <v>92715</v>
      </c>
      <c r="F13" s="1753">
        <f t="shared" si="1"/>
        <v>71503</v>
      </c>
    </row>
    <row r="14" spans="1:6" ht="13.7" customHeight="1" x14ac:dyDescent="0.2">
      <c r="A14" s="715" t="s">
        <v>410</v>
      </c>
      <c r="B14" s="1750">
        <f>SUM('Revenues 9-14'!C7:D7,'Revenues 9-14'!F7:H7)</f>
        <v>68423</v>
      </c>
      <c r="C14" s="585">
        <v>16893</v>
      </c>
      <c r="D14" s="1753">
        <f t="shared" si="0"/>
        <v>51530</v>
      </c>
      <c r="E14" s="585">
        <v>74172</v>
      </c>
      <c r="F14" s="1753">
        <f t="shared" si="1"/>
        <v>57279</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118136</v>
      </c>
      <c r="C16" s="585">
        <v>32031</v>
      </c>
      <c r="D16" s="1753">
        <f t="shared" si="0"/>
        <v>86105</v>
      </c>
      <c r="E16" s="585">
        <v>140002</v>
      </c>
      <c r="F16" s="1753">
        <f t="shared" si="1"/>
        <v>107971</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7467785</v>
      </c>
      <c r="C19" s="1751">
        <f>SUM(C4:C18)</f>
        <v>1852841</v>
      </c>
      <c r="D19" s="1751">
        <f>SUM(D4:D18)</f>
        <v>5614944</v>
      </c>
      <c r="E19" s="1751">
        <f>SUM(E4:E18)</f>
        <v>8098540</v>
      </c>
      <c r="F19" s="1751">
        <f>SUM(F4:F18)</f>
        <v>6245699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topLeftCell="A28" colorId="8" zoomScaleNormal="100" workbookViewId="0">
      <selection activeCell="H35" sqref="H35:H3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629</v>
      </c>
      <c r="B1" s="2209"/>
      <c r="C1" s="721"/>
    </row>
    <row r="2" spans="1:7" ht="33.75" x14ac:dyDescent="0.2">
      <c r="A2" s="2216" t="s">
        <v>1802</v>
      </c>
      <c r="B2" s="2217"/>
      <c r="C2" s="1884" t="s">
        <v>1956</v>
      </c>
      <c r="D2" s="723" t="s">
        <v>1957</v>
      </c>
      <c r="E2" s="723" t="s">
        <v>1958</v>
      </c>
      <c r="F2" s="1884" t="s">
        <v>1959</v>
      </c>
    </row>
    <row r="3" spans="1:7" ht="15.75" customHeight="1" x14ac:dyDescent="0.2">
      <c r="A3" s="2218" t="s">
        <v>1114</v>
      </c>
      <c r="B3" s="2219"/>
      <c r="C3" s="2212"/>
      <c r="D3" s="2213"/>
      <c r="E3" s="2213"/>
      <c r="F3" s="2214"/>
    </row>
    <row r="4" spans="1:7" ht="12.75" customHeight="1" thickBot="1" x14ac:dyDescent="0.25">
      <c r="A4" s="2206" t="s">
        <v>630</v>
      </c>
      <c r="B4" s="2207"/>
      <c r="C4" s="581"/>
      <c r="D4" s="581"/>
      <c r="E4" s="581"/>
      <c r="F4" s="1755">
        <f>SUM(C4+D4)-E4</f>
        <v>0</v>
      </c>
    </row>
    <row r="5" spans="1:7" ht="15.75" customHeight="1" thickTop="1" x14ac:dyDescent="0.2">
      <c r="A5" s="2210" t="s">
        <v>1110</v>
      </c>
      <c r="B5" s="2205"/>
      <c r="C5" s="2199"/>
      <c r="D5" s="2200"/>
      <c r="E5" s="2200"/>
      <c r="F5" s="2201"/>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2" t="s">
        <v>631</v>
      </c>
      <c r="B15" s="2203"/>
      <c r="C15" s="1755">
        <f>SUM(C6:C14)</f>
        <v>0</v>
      </c>
      <c r="D15" s="1755">
        <f>SUM(D6:D14)</f>
        <v>0</v>
      </c>
      <c r="E15" s="1755">
        <f>SUM(E6:E14)</f>
        <v>0</v>
      </c>
      <c r="F15" s="1755">
        <f>SUM(F6:F14)</f>
        <v>0</v>
      </c>
      <c r="G15" s="552"/>
    </row>
    <row r="16" spans="1:7" s="202" customFormat="1" ht="15.75" customHeight="1" thickTop="1" x14ac:dyDescent="0.2">
      <c r="A16" s="2215" t="s">
        <v>1111</v>
      </c>
      <c r="B16" s="2205"/>
      <c r="C16" s="2199"/>
      <c r="D16" s="2200"/>
      <c r="E16" s="2200"/>
      <c r="F16" s="2201"/>
    </row>
    <row r="17" spans="1:11" ht="12.75" customHeight="1" thickBot="1" x14ac:dyDescent="0.25">
      <c r="A17" s="2197" t="s">
        <v>64</v>
      </c>
      <c r="B17" s="2198"/>
      <c r="C17" s="726"/>
      <c r="D17" s="585"/>
      <c r="E17" s="726"/>
      <c r="F17" s="1755">
        <f>SUM(C17+D17)-E17</f>
        <v>0</v>
      </c>
    </row>
    <row r="18" spans="1:11" ht="12.75" customHeight="1" thickTop="1" thickBot="1" x14ac:dyDescent="0.25">
      <c r="A18" s="2197" t="s">
        <v>6</v>
      </c>
      <c r="B18" s="2198"/>
      <c r="C18" s="726"/>
      <c r="D18" s="585"/>
      <c r="E18" s="726"/>
      <c r="F18" s="1755">
        <f>SUM(C18+D18)-E18</f>
        <v>0</v>
      </c>
    </row>
    <row r="19" spans="1:11" ht="12.75" customHeight="1" thickTop="1" thickBot="1" x14ac:dyDescent="0.25">
      <c r="A19" s="2197" t="s">
        <v>388</v>
      </c>
      <c r="B19" s="2198"/>
      <c r="C19" s="726"/>
      <c r="D19" s="585"/>
      <c r="E19" s="726"/>
      <c r="F19" s="1755">
        <f>SUM(C19+D19)-E19</f>
        <v>0</v>
      </c>
    </row>
    <row r="20" spans="1:11" ht="12.75" customHeight="1" thickTop="1" thickBot="1" x14ac:dyDescent="0.25">
      <c r="A20" s="2197" t="s">
        <v>448</v>
      </c>
      <c r="B20" s="2198"/>
      <c r="C20" s="726"/>
      <c r="D20" s="585"/>
      <c r="E20" s="726"/>
      <c r="F20" s="1755">
        <f>SUM(C20+D20)-E20</f>
        <v>0</v>
      </c>
    </row>
    <row r="21" spans="1:11" ht="14.25" thickTop="1" thickBot="1" x14ac:dyDescent="0.25">
      <c r="A21" s="2202" t="s">
        <v>632</v>
      </c>
      <c r="B21" s="2203"/>
      <c r="C21" s="1755">
        <f>SUM(C17:C20)</f>
        <v>0</v>
      </c>
      <c r="D21" s="1755">
        <f>SUM(D17:D20)</f>
        <v>0</v>
      </c>
      <c r="E21" s="1755">
        <f>SUM(E17:E20)</f>
        <v>0</v>
      </c>
      <c r="F21" s="1755">
        <f>SUM(F17:F20)</f>
        <v>0</v>
      </c>
      <c r="G21" s="552"/>
    </row>
    <row r="22" spans="1:11" ht="15.75" customHeight="1" thickTop="1" x14ac:dyDescent="0.2">
      <c r="A22" s="2204" t="s">
        <v>1112</v>
      </c>
      <c r="B22" s="2205"/>
      <c r="C22" s="2199"/>
      <c r="D22" s="2200"/>
      <c r="E22" s="2200"/>
      <c r="F22" s="2201"/>
    </row>
    <row r="23" spans="1:11" ht="13.5" thickBot="1" x14ac:dyDescent="0.25">
      <c r="A23" s="2206" t="s">
        <v>633</v>
      </c>
      <c r="B23" s="2207"/>
      <c r="C23" s="581"/>
      <c r="D23" s="581"/>
      <c r="E23" s="581"/>
      <c r="F23" s="1755">
        <f>SUM(C23+D23)-E23</f>
        <v>0</v>
      </c>
      <c r="G23" s="552"/>
    </row>
    <row r="24" spans="1:11" ht="15.75" customHeight="1" thickTop="1" x14ac:dyDescent="0.2">
      <c r="A24" s="2204" t="s">
        <v>1113</v>
      </c>
      <c r="B24" s="2205"/>
      <c r="C24" s="2199"/>
      <c r="D24" s="2200"/>
      <c r="E24" s="2200"/>
      <c r="F24" s="2201"/>
    </row>
    <row r="25" spans="1:11" ht="13.5" thickBot="1" x14ac:dyDescent="0.25">
      <c r="A25" s="2206" t="s">
        <v>634</v>
      </c>
      <c r="B25" s="2207"/>
      <c r="C25" s="581"/>
      <c r="D25" s="581"/>
      <c r="E25" s="581"/>
      <c r="F25" s="1755">
        <f>SUM(C25+D25)-E25</f>
        <v>0</v>
      </c>
      <c r="G25" s="552"/>
    </row>
    <row r="26" spans="1:11" ht="15.75" customHeight="1" thickTop="1" x14ac:dyDescent="0.2">
      <c r="A26" s="2210" t="s">
        <v>657</v>
      </c>
      <c r="B26" s="2205"/>
      <c r="C26" s="727"/>
      <c r="D26" s="727"/>
      <c r="E26" s="727"/>
      <c r="F26" s="728"/>
    </row>
    <row r="27" spans="1:11" ht="13.5" thickBot="1" x14ac:dyDescent="0.25">
      <c r="A27" s="2202" t="s">
        <v>1070</v>
      </c>
      <c r="B27" s="2203"/>
      <c r="C27" s="585"/>
      <c r="D27" s="585"/>
      <c r="E27" s="585"/>
      <c r="F27" s="1755">
        <f>SUM(C27+D27)-E27</f>
        <v>0</v>
      </c>
      <c r="G27" s="552"/>
    </row>
    <row r="28" spans="1:11" ht="7.5" customHeight="1" thickTop="1" x14ac:dyDescent="0.2">
      <c r="A28" s="593"/>
    </row>
    <row r="29" spans="1:11" ht="23.25" customHeight="1" x14ac:dyDescent="0.2">
      <c r="A29" s="2208" t="s">
        <v>582</v>
      </c>
      <c r="B29" s="2209"/>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2091</v>
      </c>
      <c r="B31" s="733">
        <v>40290</v>
      </c>
      <c r="C31" s="734">
        <v>7000000</v>
      </c>
      <c r="D31" s="735">
        <v>6</v>
      </c>
      <c r="E31" s="734">
        <v>6590000</v>
      </c>
      <c r="F31" s="734"/>
      <c r="G31" s="734"/>
      <c r="H31" s="734">
        <v>425000</v>
      </c>
      <c r="I31" s="1756">
        <f>((E31+F31)-H31)+G31</f>
        <v>6165000</v>
      </c>
      <c r="J31" s="734">
        <v>5784691</v>
      </c>
      <c r="K31" s="736"/>
    </row>
    <row r="32" spans="1:11" ht="12" customHeight="1" x14ac:dyDescent="0.2">
      <c r="A32" s="732" t="s">
        <v>2092</v>
      </c>
      <c r="B32" s="733">
        <v>42418</v>
      </c>
      <c r="C32" s="734">
        <v>3500000</v>
      </c>
      <c r="D32" s="735">
        <v>1</v>
      </c>
      <c r="E32" s="734">
        <v>2635000</v>
      </c>
      <c r="F32" s="734"/>
      <c r="G32" s="734"/>
      <c r="H32" s="734">
        <v>465000</v>
      </c>
      <c r="I32" s="1756">
        <f>((E32+F32)-H32)+G32</f>
        <v>2170000</v>
      </c>
      <c r="J32" s="734">
        <v>2170000</v>
      </c>
      <c r="K32" s="736"/>
    </row>
    <row r="33" spans="1:11" ht="12" customHeight="1" x14ac:dyDescent="0.2">
      <c r="A33" s="732" t="s">
        <v>2093</v>
      </c>
      <c r="B33" s="733">
        <v>42214</v>
      </c>
      <c r="C33" s="734">
        <v>102185</v>
      </c>
      <c r="D33" s="735">
        <v>7</v>
      </c>
      <c r="E33" s="734">
        <v>25938</v>
      </c>
      <c r="F33" s="734"/>
      <c r="G33" s="734"/>
      <c r="H33" s="734">
        <v>25938</v>
      </c>
      <c r="I33" s="1756">
        <f t="shared" ref="I33:I48" si="1">((E33+F33)-H33)+G33</f>
        <v>0</v>
      </c>
      <c r="J33" s="734">
        <v>0</v>
      </c>
      <c r="K33" s="736"/>
    </row>
    <row r="34" spans="1:11" ht="12" customHeight="1" x14ac:dyDescent="0.2">
      <c r="A34" s="732" t="s">
        <v>2093</v>
      </c>
      <c r="B34" s="733">
        <v>42569</v>
      </c>
      <c r="C34" s="734">
        <v>39533</v>
      </c>
      <c r="D34" s="735">
        <v>7</v>
      </c>
      <c r="E34" s="734">
        <v>19757</v>
      </c>
      <c r="F34" s="734"/>
      <c r="G34" s="734"/>
      <c r="H34" s="734">
        <v>9722</v>
      </c>
      <c r="I34" s="1756">
        <f t="shared" si="1"/>
        <v>10035</v>
      </c>
      <c r="J34" s="734">
        <v>10035</v>
      </c>
      <c r="K34" s="737"/>
    </row>
    <row r="35" spans="1:11" ht="12" customHeight="1" x14ac:dyDescent="0.2">
      <c r="A35" s="732" t="s">
        <v>2094</v>
      </c>
      <c r="B35" s="733">
        <v>41852</v>
      </c>
      <c r="C35" s="738">
        <v>108583</v>
      </c>
      <c r="D35" s="735">
        <v>8</v>
      </c>
      <c r="E35" s="738">
        <v>22313</v>
      </c>
      <c r="F35" s="738"/>
      <c r="G35" s="738"/>
      <c r="H35" s="738">
        <v>22313</v>
      </c>
      <c r="I35" s="1756">
        <f t="shared" si="1"/>
        <v>0</v>
      </c>
      <c r="J35" s="738">
        <v>0</v>
      </c>
      <c r="K35" s="737"/>
    </row>
    <row r="36" spans="1:11" ht="12" customHeight="1" x14ac:dyDescent="0.2">
      <c r="A36" s="732" t="s">
        <v>2094</v>
      </c>
      <c r="B36" s="733">
        <v>42206</v>
      </c>
      <c r="C36" s="734">
        <v>90638</v>
      </c>
      <c r="D36" s="735">
        <v>8</v>
      </c>
      <c r="E36" s="734">
        <v>36774</v>
      </c>
      <c r="F36" s="734"/>
      <c r="G36" s="734"/>
      <c r="H36" s="734">
        <v>18111</v>
      </c>
      <c r="I36" s="1756">
        <f t="shared" si="1"/>
        <v>18663</v>
      </c>
      <c r="J36" s="734">
        <v>18663</v>
      </c>
      <c r="K36" s="739"/>
    </row>
    <row r="37" spans="1:11" ht="12" customHeight="1" x14ac:dyDescent="0.2">
      <c r="A37" s="732" t="s">
        <v>2094</v>
      </c>
      <c r="B37" s="733">
        <v>42569</v>
      </c>
      <c r="C37" s="467">
        <v>48908</v>
      </c>
      <c r="D37" s="740">
        <v>8</v>
      </c>
      <c r="E37" s="467">
        <v>29329</v>
      </c>
      <c r="F37" s="467"/>
      <c r="G37" s="467"/>
      <c r="H37" s="467">
        <v>9499</v>
      </c>
      <c r="I37" s="1756">
        <f t="shared" si="1"/>
        <v>19830</v>
      </c>
      <c r="J37" s="467">
        <v>19830</v>
      </c>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10889847</v>
      </c>
      <c r="D49" s="745"/>
      <c r="E49" s="1756">
        <f t="shared" ref="E49:J49" si="2">SUM(E31:E48)</f>
        <v>9359111</v>
      </c>
      <c r="F49" s="1756">
        <f t="shared" si="2"/>
        <v>0</v>
      </c>
      <c r="G49" s="1756">
        <f t="shared" si="2"/>
        <v>0</v>
      </c>
      <c r="H49" s="1756">
        <f t="shared" si="2"/>
        <v>975583</v>
      </c>
      <c r="I49" s="1756">
        <f t="shared" si="2"/>
        <v>8383528</v>
      </c>
      <c r="J49" s="1756">
        <f t="shared" si="2"/>
        <v>8003219</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1" t="s">
        <v>584</v>
      </c>
      <c r="C52" s="2192"/>
      <c r="D52" s="2192"/>
      <c r="E52" s="749" t="s">
        <v>845</v>
      </c>
      <c r="F52" s="2193" t="s">
        <v>2095</v>
      </c>
      <c r="G52" s="2194"/>
      <c r="H52" s="736"/>
      <c r="I52" s="736"/>
      <c r="J52" s="746"/>
    </row>
    <row r="53" spans="1:11" ht="11.25" customHeight="1" x14ac:dyDescent="0.2">
      <c r="A53" s="750" t="s">
        <v>913</v>
      </c>
      <c r="B53" s="751" t="s">
        <v>951</v>
      </c>
      <c r="C53" s="746"/>
      <c r="D53" s="737"/>
      <c r="E53" s="749" t="s">
        <v>497</v>
      </c>
      <c r="F53" s="2195" t="s">
        <v>2096</v>
      </c>
      <c r="G53" s="2196"/>
      <c r="H53" s="736"/>
      <c r="I53" s="736"/>
      <c r="J53" s="746"/>
    </row>
    <row r="54" spans="1:11" ht="11.25" customHeight="1" x14ac:dyDescent="0.2">
      <c r="A54" s="752" t="s">
        <v>914</v>
      </c>
      <c r="B54" s="747" t="s">
        <v>952</v>
      </c>
      <c r="C54" s="746"/>
      <c r="D54" s="737"/>
      <c r="E54" s="749" t="s">
        <v>498</v>
      </c>
      <c r="F54" s="2195"/>
      <c r="G54" s="219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K48"/>
  <sheetViews>
    <sheetView showGridLines="0" defaultGridColor="0" colorId="8" zoomScale="110" zoomScaleNormal="110" workbookViewId="0">
      <selection activeCell="K10" sqref="K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856</v>
      </c>
      <c r="B1" s="2221"/>
      <c r="C1" s="2221"/>
      <c r="D1" s="2221"/>
      <c r="E1" s="2221"/>
      <c r="F1" s="2221"/>
      <c r="G1" s="2222"/>
      <c r="H1" s="1530"/>
      <c r="I1" s="760"/>
      <c r="J1" s="433"/>
    </row>
    <row r="2" spans="1:11" ht="26.25" x14ac:dyDescent="0.2">
      <c r="A2" s="2239" t="s">
        <v>1677</v>
      </c>
      <c r="B2" s="2240"/>
      <c r="C2" s="2240"/>
      <c r="D2" s="2240"/>
      <c r="E2" s="2241"/>
      <c r="F2" s="761" t="s">
        <v>904</v>
      </c>
      <c r="G2" s="762" t="s">
        <v>1674</v>
      </c>
      <c r="H2" s="762" t="s">
        <v>410</v>
      </c>
      <c r="I2" s="762" t="s">
        <v>1158</v>
      </c>
      <c r="J2" s="762" t="s">
        <v>1812</v>
      </c>
      <c r="K2" s="762" t="s">
        <v>138</v>
      </c>
    </row>
    <row r="3" spans="1:11" x14ac:dyDescent="0.2">
      <c r="A3" s="2242" t="s">
        <v>1964</v>
      </c>
      <c r="B3" s="2243"/>
      <c r="C3" s="2243"/>
      <c r="D3" s="2243"/>
      <c r="E3" s="2244"/>
      <c r="F3" s="763"/>
      <c r="G3" s="764"/>
      <c r="H3" s="764"/>
      <c r="I3" s="764"/>
      <c r="J3" s="765"/>
      <c r="K3" s="765"/>
    </row>
    <row r="4" spans="1:11" x14ac:dyDescent="0.2">
      <c r="A4" s="2245" t="s">
        <v>369</v>
      </c>
      <c r="B4" s="2246"/>
      <c r="C4" s="2246"/>
      <c r="D4" s="2246"/>
      <c r="E4" s="2192"/>
      <c r="F4" s="766"/>
      <c r="G4" s="767"/>
      <c r="H4" s="768"/>
      <c r="I4" s="767"/>
      <c r="J4" s="769"/>
      <c r="K4" s="769"/>
    </row>
    <row r="5" spans="1:11" x14ac:dyDescent="0.2">
      <c r="A5" s="2223" t="s">
        <v>1069</v>
      </c>
      <c r="B5" s="2224"/>
      <c r="C5" s="2224"/>
      <c r="D5" s="2224"/>
      <c r="E5" s="2225"/>
      <c r="F5" s="770" t="s">
        <v>848</v>
      </c>
      <c r="G5" s="771"/>
      <c r="H5" s="764">
        <v>68423</v>
      </c>
      <c r="I5" s="772"/>
      <c r="J5" s="773"/>
      <c r="K5" s="773"/>
    </row>
    <row r="6" spans="1:11" x14ac:dyDescent="0.2">
      <c r="A6" s="774" t="s">
        <v>720</v>
      </c>
      <c r="B6" s="775"/>
      <c r="C6" s="775"/>
      <c r="D6" s="775"/>
      <c r="E6" s="776"/>
      <c r="F6" s="777" t="s">
        <v>849</v>
      </c>
      <c r="G6" s="764"/>
      <c r="H6" s="764">
        <v>5</v>
      </c>
      <c r="I6" s="764"/>
      <c r="J6" s="765"/>
      <c r="K6" s="765"/>
    </row>
    <row r="7" spans="1:11" x14ac:dyDescent="0.2">
      <c r="A7" s="778" t="s">
        <v>246</v>
      </c>
      <c r="B7" s="779"/>
      <c r="C7" s="779"/>
      <c r="D7" s="779"/>
      <c r="E7" s="780"/>
      <c r="F7" s="770" t="s">
        <v>850</v>
      </c>
      <c r="G7" s="767"/>
      <c r="H7" s="767"/>
      <c r="I7" s="767"/>
      <c r="J7" s="781"/>
      <c r="K7" s="765">
        <v>2400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9577</v>
      </c>
    </row>
    <row r="10" spans="1:11" x14ac:dyDescent="0.2">
      <c r="A10" s="2223" t="s">
        <v>1813</v>
      </c>
      <c r="B10" s="2224"/>
      <c r="C10" s="2224"/>
      <c r="D10" s="2224"/>
      <c r="E10" s="2226"/>
      <c r="F10" s="783" t="s">
        <v>862</v>
      </c>
      <c r="G10" s="782"/>
      <c r="H10" s="784"/>
      <c r="I10" s="764"/>
      <c r="J10" s="765"/>
      <c r="K10" s="765"/>
    </row>
    <row r="11" spans="1:11" x14ac:dyDescent="0.2">
      <c r="A11" s="2223" t="s">
        <v>160</v>
      </c>
      <c r="B11" s="2224"/>
      <c r="C11" s="2224"/>
      <c r="D11" s="2224"/>
      <c r="E11" s="2225"/>
      <c r="F11" s="770" t="s">
        <v>852</v>
      </c>
      <c r="G11" s="771"/>
      <c r="H11" s="764"/>
      <c r="I11" s="764"/>
      <c r="J11" s="765"/>
      <c r="K11" s="773"/>
    </row>
    <row r="12" spans="1:11" ht="13.5" thickBot="1" x14ac:dyDescent="0.25">
      <c r="A12" s="2250" t="s">
        <v>905</v>
      </c>
      <c r="B12" s="2251"/>
      <c r="C12" s="2251"/>
      <c r="D12" s="2251"/>
      <c r="E12" s="2252"/>
      <c r="F12" s="1757"/>
      <c r="G12" s="1758">
        <f>SUM(G5:G11)</f>
        <v>0</v>
      </c>
      <c r="H12" s="1758">
        <f>SUM(H5:H11)</f>
        <v>68428</v>
      </c>
      <c r="I12" s="1758">
        <f>SUM(I5:I11)</f>
        <v>0</v>
      </c>
      <c r="J12" s="1758">
        <f>SUM(J5:J11)</f>
        <v>0</v>
      </c>
      <c r="K12" s="1758">
        <f>SUM(K5:K11)</f>
        <v>11977</v>
      </c>
    </row>
    <row r="13" spans="1:11" ht="13.5" thickTop="1" x14ac:dyDescent="0.2">
      <c r="A13" s="2247" t="s">
        <v>370</v>
      </c>
      <c r="B13" s="2248"/>
      <c r="C13" s="2248"/>
      <c r="D13" s="2248"/>
      <c r="E13" s="2249"/>
      <c r="F13" s="785"/>
      <c r="G13" s="786"/>
      <c r="H13" s="787"/>
      <c r="I13" s="788"/>
      <c r="J13" s="788"/>
      <c r="K13" s="788"/>
    </row>
    <row r="14" spans="1:11" x14ac:dyDescent="0.2">
      <c r="A14" s="2230" t="s">
        <v>456</v>
      </c>
      <c r="B14" s="2230"/>
      <c r="C14" s="2230"/>
      <c r="D14" s="2230"/>
      <c r="E14" s="2231"/>
      <c r="F14" s="789" t="s">
        <v>854</v>
      </c>
      <c r="G14" s="782"/>
      <c r="H14" s="764">
        <v>68428</v>
      </c>
      <c r="I14" s="771"/>
      <c r="J14" s="773"/>
      <c r="K14" s="765">
        <v>11977</v>
      </c>
    </row>
    <row r="15" spans="1:11" x14ac:dyDescent="0.2">
      <c r="A15" s="2224" t="s">
        <v>4</v>
      </c>
      <c r="B15" s="2224"/>
      <c r="C15" s="2224"/>
      <c r="D15" s="2224"/>
      <c r="E15" s="2225"/>
      <c r="F15" s="789" t="s">
        <v>855</v>
      </c>
      <c r="G15" s="771"/>
      <c r="H15" s="764"/>
      <c r="I15" s="764"/>
      <c r="J15" s="765"/>
      <c r="K15" s="765"/>
    </row>
    <row r="16" spans="1:11" x14ac:dyDescent="0.2">
      <c r="A16" s="2224" t="s">
        <v>298</v>
      </c>
      <c r="B16" s="2224"/>
      <c r="C16" s="2224"/>
      <c r="D16" s="2224"/>
      <c r="E16" s="2225"/>
      <c r="F16" s="789" t="s">
        <v>923</v>
      </c>
      <c r="G16" s="772"/>
      <c r="H16" s="767"/>
      <c r="I16" s="767"/>
      <c r="J16" s="769"/>
      <c r="K16" s="769"/>
    </row>
    <row r="17" spans="1:11" x14ac:dyDescent="0.2">
      <c r="A17" s="2255" t="s">
        <v>935</v>
      </c>
      <c r="B17" s="2255"/>
      <c r="C17" s="2255"/>
      <c r="D17" s="2255"/>
      <c r="E17" s="2256"/>
      <c r="F17" s="790"/>
      <c r="G17" s="791"/>
      <c r="H17" s="792"/>
      <c r="I17" s="792"/>
      <c r="J17" s="793"/>
      <c r="K17" s="794"/>
    </row>
    <row r="18" spans="1:11" x14ac:dyDescent="0.2">
      <c r="A18" s="2234" t="s">
        <v>368</v>
      </c>
      <c r="B18" s="2235"/>
      <c r="C18" s="2235"/>
      <c r="D18" s="2235"/>
      <c r="E18" s="2236"/>
      <c r="F18" s="789" t="s">
        <v>932</v>
      </c>
      <c r="G18" s="782"/>
      <c r="H18" s="782"/>
      <c r="I18" s="782"/>
      <c r="J18" s="765"/>
      <c r="K18" s="795"/>
    </row>
    <row r="19" spans="1:11" ht="21.75" customHeight="1" x14ac:dyDescent="0.2">
      <c r="A19" s="2232" t="s">
        <v>1809</v>
      </c>
      <c r="B19" s="2232"/>
      <c r="C19" s="2232"/>
      <c r="D19" s="2232"/>
      <c r="E19" s="2233"/>
      <c r="F19" s="789" t="s">
        <v>933</v>
      </c>
      <c r="G19" s="782"/>
      <c r="H19" s="782"/>
      <c r="I19" s="782"/>
      <c r="J19" s="765"/>
      <c r="K19" s="795"/>
    </row>
    <row r="20" spans="1:11" x14ac:dyDescent="0.2">
      <c r="A20" s="2234" t="s">
        <v>1814</v>
      </c>
      <c r="B20" s="2235"/>
      <c r="C20" s="2235"/>
      <c r="D20" s="2235"/>
      <c r="E20" s="2236"/>
      <c r="F20" s="789" t="s">
        <v>934</v>
      </c>
      <c r="G20" s="782"/>
      <c r="H20" s="782"/>
      <c r="I20" s="782"/>
      <c r="J20" s="765"/>
      <c r="K20" s="795"/>
    </row>
    <row r="21" spans="1:11" ht="13.5" thickBot="1" x14ac:dyDescent="0.25">
      <c r="A21" s="2253" t="s">
        <v>638</v>
      </c>
      <c r="B21" s="2253"/>
      <c r="C21" s="2253"/>
      <c r="D21" s="2253"/>
      <c r="E21" s="2253"/>
      <c r="F21" s="1759"/>
      <c r="G21" s="792"/>
      <c r="H21" s="796"/>
      <c r="I21" s="796"/>
      <c r="J21" s="1760">
        <f>SUM(J18:J20)</f>
        <v>0</v>
      </c>
      <c r="K21" s="793"/>
    </row>
    <row r="22" spans="1:11" ht="13.5" thickTop="1" x14ac:dyDescent="0.2">
      <c r="A22" s="2224" t="s">
        <v>1815</v>
      </c>
      <c r="B22" s="2224"/>
      <c r="C22" s="2224"/>
      <c r="D22" s="2224"/>
      <c r="E22" s="2225"/>
      <c r="F22" s="789" t="s">
        <v>862</v>
      </c>
      <c r="G22" s="782"/>
      <c r="H22" s="764"/>
      <c r="I22" s="764"/>
      <c r="J22" s="797"/>
      <c r="K22" s="765"/>
    </row>
    <row r="23" spans="1:11" ht="13.5" thickBot="1" x14ac:dyDescent="0.25">
      <c r="A23" s="2254" t="s">
        <v>906</v>
      </c>
      <c r="B23" s="2253"/>
      <c r="C23" s="2253"/>
      <c r="D23" s="2253"/>
      <c r="E23" s="2253"/>
      <c r="F23" s="1761"/>
      <c r="G23" s="1758">
        <f>SUM(G14:G16,G21,G22)</f>
        <v>0</v>
      </c>
      <c r="H23" s="1758">
        <f>SUM(H14:H16,H21,H22)</f>
        <v>68428</v>
      </c>
      <c r="I23" s="1758">
        <f>SUM(I14:I16,I21,I22)</f>
        <v>0</v>
      </c>
      <c r="J23" s="1758">
        <f>SUM(J14:J16,J21,J22)</f>
        <v>0</v>
      </c>
      <c r="K23" s="1758">
        <f>SUM(K14:K16,K21,K22)</f>
        <v>11977</v>
      </c>
    </row>
    <row r="24" spans="1:11" ht="14.25" thickTop="1" thickBot="1" x14ac:dyDescent="0.25">
      <c r="A24" s="2254" t="s">
        <v>1965</v>
      </c>
      <c r="B24" s="2253"/>
      <c r="C24" s="2253"/>
      <c r="D24" s="2253"/>
      <c r="E24" s="2253"/>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7"/>
      <c r="I31" s="2228"/>
      <c r="J31" s="2228"/>
      <c r="K31" s="2228"/>
    </row>
    <row r="32" spans="1:11" x14ac:dyDescent="0.2">
      <c r="A32" s="809"/>
      <c r="B32" s="237"/>
      <c r="C32" s="237"/>
      <c r="D32" s="237"/>
      <c r="E32" s="805"/>
      <c r="F32" s="811" t="s">
        <v>540</v>
      </c>
      <c r="G32" s="764"/>
      <c r="H32" s="2229"/>
      <c r="I32" s="2228"/>
      <c r="J32" s="2228"/>
      <c r="K32" s="2228"/>
    </row>
    <row r="33" spans="1:11" ht="1.5" customHeight="1" x14ac:dyDescent="0.2">
      <c r="A33" s="812" t="s">
        <v>1169</v>
      </c>
      <c r="B33" s="364"/>
      <c r="C33" s="364"/>
      <c r="D33" s="364"/>
      <c r="E33" s="364"/>
      <c r="F33" s="364"/>
      <c r="G33" s="813"/>
      <c r="H33" s="2229"/>
      <c r="I33" s="2228"/>
      <c r="J33" s="2228"/>
      <c r="K33" s="222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4" t="s">
        <v>541</v>
      </c>
      <c r="B41" s="2237"/>
      <c r="C41" s="2237"/>
      <c r="D41" s="2237"/>
      <c r="E41" s="2237"/>
      <c r="F41" s="223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topLeftCell="A4" colorId="8" zoomScale="110" zoomScaleNormal="110" workbookViewId="0">
      <selection activeCell="H10" sqref="H1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1909</v>
      </c>
      <c r="B1" s="2260"/>
      <c r="C1" s="2261"/>
      <c r="D1" s="826"/>
      <c r="E1" s="827"/>
      <c r="F1" s="827"/>
      <c r="G1" s="828"/>
      <c r="H1" s="829"/>
      <c r="I1" s="830"/>
      <c r="J1" s="2257"/>
      <c r="K1" s="2258"/>
      <c r="L1" s="2258"/>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63500</v>
      </c>
      <c r="D5" s="841"/>
      <c r="E5" s="841"/>
      <c r="F5" s="1760">
        <f>(C5+D5)-E5</f>
        <v>63500</v>
      </c>
      <c r="G5" s="837"/>
      <c r="H5" s="842"/>
      <c r="I5" s="842"/>
      <c r="J5" s="842"/>
      <c r="K5" s="793"/>
      <c r="L5" s="1769">
        <f>F5-K5</f>
        <v>63500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22954100</v>
      </c>
      <c r="D8" s="844">
        <v>69988</v>
      </c>
      <c r="E8" s="844"/>
      <c r="F8" s="1760">
        <f>(C8+D8)-E8</f>
        <v>23024088</v>
      </c>
      <c r="G8" s="843">
        <v>50</v>
      </c>
      <c r="H8" s="765">
        <v>7186558</v>
      </c>
      <c r="I8" s="765">
        <v>424182</v>
      </c>
      <c r="J8" s="765"/>
      <c r="K8" s="1769">
        <f>(H8+I8)-J8</f>
        <v>7610740</v>
      </c>
      <c r="L8" s="1769">
        <f>F8-K8</f>
        <v>15413348</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672896</v>
      </c>
      <c r="D10" s="846">
        <v>200701</v>
      </c>
      <c r="E10" s="846"/>
      <c r="F10" s="1764">
        <f>(C10+D10)-E10</f>
        <v>873597</v>
      </c>
      <c r="G10" s="843">
        <v>20</v>
      </c>
      <c r="H10" s="847">
        <v>521016</v>
      </c>
      <c r="I10" s="847">
        <v>24095</v>
      </c>
      <c r="J10" s="847"/>
      <c r="K10" s="1769">
        <f>(H10+I10)-J10</f>
        <v>545111</v>
      </c>
      <c r="L10" s="1769">
        <f>F10-K10</f>
        <v>328486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1791756</v>
      </c>
      <c r="D12" s="844">
        <v>140103</v>
      </c>
      <c r="E12" s="844"/>
      <c r="F12" s="1760">
        <f>(C12+D12)-E12</f>
        <v>1931859</v>
      </c>
      <c r="G12" s="843">
        <v>10</v>
      </c>
      <c r="H12" s="765">
        <v>883637</v>
      </c>
      <c r="I12" s="765">
        <v>181666</v>
      </c>
      <c r="J12" s="765"/>
      <c r="K12" s="1769">
        <f>(H12+I12)-J12</f>
        <v>1065303</v>
      </c>
      <c r="L12" s="1769">
        <f>F12-K12</f>
        <v>866556</v>
      </c>
    </row>
    <row r="13" spans="1:14" ht="14.25" thickTop="1" thickBot="1" x14ac:dyDescent="0.25">
      <c r="A13" s="848" t="s">
        <v>1122</v>
      </c>
      <c r="B13" s="840">
        <v>252</v>
      </c>
      <c r="C13" s="844">
        <v>912067</v>
      </c>
      <c r="D13" s="844">
        <v>97130</v>
      </c>
      <c r="E13" s="844">
        <v>86811</v>
      </c>
      <c r="F13" s="1760">
        <f>(C13+D13)-E13</f>
        <v>922386</v>
      </c>
      <c r="G13" s="843">
        <v>5</v>
      </c>
      <c r="H13" s="765">
        <v>750785</v>
      </c>
      <c r="I13" s="765">
        <v>66995</v>
      </c>
      <c r="J13" s="765">
        <v>86811</v>
      </c>
      <c r="K13" s="1769">
        <f>(H13+I13)-J13</f>
        <v>730969</v>
      </c>
      <c r="L13" s="1769">
        <f>F13-K13</f>
        <v>191417</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26394319</v>
      </c>
      <c r="D16" s="1760">
        <f>SUM(D3,D5:D6,D8:D10,D12:D15)</f>
        <v>507922</v>
      </c>
      <c r="E16" s="1760">
        <f>SUM(E3,E5:E6,E8:E10,E12:E15)</f>
        <v>86811</v>
      </c>
      <c r="F16" s="1760">
        <f>SUM(F3,F5:F6,F8:F10,F12:F15)</f>
        <v>26815430</v>
      </c>
      <c r="G16" s="843"/>
      <c r="H16" s="1760">
        <f>SUM(H3,H6,H8:H10,H12:H14,)</f>
        <v>9341996</v>
      </c>
      <c r="I16" s="1760">
        <f>SUM(I3,I6,I8:I10,I12:I14,)</f>
        <v>696938</v>
      </c>
      <c r="J16" s="1760">
        <f>SUM(J3,J6,J8:J10,J12:J14,)</f>
        <v>86811</v>
      </c>
      <c r="K16" s="1760">
        <f>(H16+I16)-J16</f>
        <v>9952123</v>
      </c>
      <c r="L16" s="1760">
        <f>F16-K16</f>
        <v>16863307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696938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H202"/>
  <sheetViews>
    <sheetView showGridLines="0" defaultGridColor="0" colorId="8" zoomScale="110" zoomScaleNormal="110" workbookViewId="0">
      <pane ySplit="5" topLeftCell="A63"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1975</v>
      </c>
      <c r="B1" s="2266"/>
      <c r="C1" s="2266"/>
      <c r="D1" s="2266"/>
      <c r="E1" s="2266"/>
      <c r="F1" s="2267"/>
      <c r="G1" s="855"/>
    </row>
    <row r="2" spans="1:7" ht="15" customHeight="1" thickBot="1" x14ac:dyDescent="0.25">
      <c r="A2" s="2268" t="s">
        <v>477</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1"/>
      <c r="B5" s="2272"/>
      <c r="C5" s="2272"/>
      <c r="D5" s="2272"/>
      <c r="E5" s="2272"/>
      <c r="F5" s="2272"/>
    </row>
    <row r="6" spans="1:7" ht="13.5" customHeight="1" thickBot="1" x14ac:dyDescent="0.25">
      <c r="A6" s="2262" t="s">
        <v>1104</v>
      </c>
      <c r="B6" s="2263"/>
      <c r="C6" s="2263"/>
      <c r="D6" s="2263"/>
      <c r="E6" s="2263"/>
      <c r="F6" s="226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5580967</v>
      </c>
      <c r="G8" s="865"/>
    </row>
    <row r="9" spans="1:7" x14ac:dyDescent="0.2">
      <c r="A9" s="869" t="s">
        <v>460</v>
      </c>
      <c r="B9" s="870" t="s">
        <v>1877</v>
      </c>
      <c r="C9" s="871"/>
      <c r="D9" s="869" t="s">
        <v>501</v>
      </c>
      <c r="E9" s="868"/>
      <c r="F9" s="1909">
        <f>'Expenditures 15-22'!K151</f>
        <v>1056533</v>
      </c>
      <c r="G9" s="872"/>
    </row>
    <row r="10" spans="1:7" x14ac:dyDescent="0.2">
      <c r="A10" s="869" t="s">
        <v>499</v>
      </c>
      <c r="B10" s="870" t="s">
        <v>1878</v>
      </c>
      <c r="C10" s="871"/>
      <c r="D10" s="869" t="s">
        <v>501</v>
      </c>
      <c r="E10" s="868"/>
      <c r="F10" s="1909">
        <f>'Expenditures 15-22'!K174</f>
        <v>1338106</v>
      </c>
      <c r="G10" s="872"/>
    </row>
    <row r="11" spans="1:7" x14ac:dyDescent="0.2">
      <c r="A11" s="869" t="s">
        <v>461</v>
      </c>
      <c r="B11" s="870" t="s">
        <v>1879</v>
      </c>
      <c r="C11" s="871"/>
      <c r="D11" s="869" t="s">
        <v>501</v>
      </c>
      <c r="E11" s="868"/>
      <c r="F11" s="1909">
        <f>'Expenditures 15-22'!K210</f>
        <v>578568</v>
      </c>
      <c r="G11" s="872"/>
    </row>
    <row r="12" spans="1:7" x14ac:dyDescent="0.2">
      <c r="A12" s="869" t="s">
        <v>462</v>
      </c>
      <c r="B12" s="870" t="s">
        <v>1880</v>
      </c>
      <c r="C12" s="871"/>
      <c r="D12" s="869" t="s">
        <v>501</v>
      </c>
      <c r="E12" s="868"/>
      <c r="F12" s="1909">
        <f>'Expenditures 15-22'!K295</f>
        <v>249640</v>
      </c>
      <c r="G12" s="872"/>
    </row>
    <row r="13" spans="1:7" x14ac:dyDescent="0.2">
      <c r="A13" s="869" t="s">
        <v>106</v>
      </c>
      <c r="B13" s="870" t="s">
        <v>1881</v>
      </c>
      <c r="C13" s="871"/>
      <c r="D13" s="869" t="s">
        <v>501</v>
      </c>
      <c r="E13" s="868"/>
      <c r="F13" s="1909">
        <f>'Expenditures 15-22'!K342</f>
        <v>210367</v>
      </c>
      <c r="G13" s="873"/>
    </row>
    <row r="14" spans="1:7" ht="12" customHeight="1" thickBot="1" x14ac:dyDescent="0.25">
      <c r="A14" s="1770"/>
      <c r="B14" s="1771"/>
      <c r="C14" s="1772"/>
      <c r="D14" s="1773" t="s">
        <v>501</v>
      </c>
      <c r="E14" s="1774" t="s">
        <v>958</v>
      </c>
      <c r="F14" s="1775">
        <f>SUM(F8:F13)</f>
        <v>9014181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18199</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17332</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8413</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245</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867</v>
      </c>
      <c r="G52" s="865"/>
    </row>
    <row r="53" spans="1:7" x14ac:dyDescent="0.2">
      <c r="A53" s="869" t="s">
        <v>459</v>
      </c>
      <c r="B53" s="869" t="s">
        <v>1475</v>
      </c>
      <c r="C53" s="889">
        <f>'Expenditures 15-22'!B102</f>
        <v>4000</v>
      </c>
      <c r="D53" s="888" t="str">
        <f>'Expenditures 15-22'!A102</f>
        <v>Total Payments to Other Govt Units</v>
      </c>
      <c r="E53" s="868"/>
      <c r="F53" s="1913">
        <f>'Expenditures 15-22'!K102</f>
        <v>123296</v>
      </c>
      <c r="G53" s="865"/>
    </row>
    <row r="54" spans="1:7" x14ac:dyDescent="0.2">
      <c r="A54" s="869" t="s">
        <v>459</v>
      </c>
      <c r="B54" s="869" t="s">
        <v>1476</v>
      </c>
      <c r="C54" s="889" t="s">
        <v>982</v>
      </c>
      <c r="D54" s="885" t="s">
        <v>1095</v>
      </c>
      <c r="E54" s="868"/>
      <c r="F54" s="1913">
        <f>'Expenditures 15-22'!G114</f>
        <v>58983</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11237</v>
      </c>
      <c r="G57" s="865"/>
    </row>
    <row r="58" spans="1:7" x14ac:dyDescent="0.2">
      <c r="A58" s="869" t="s">
        <v>460</v>
      </c>
      <c r="B58" s="869" t="s">
        <v>1883</v>
      </c>
      <c r="C58" s="886" t="s">
        <v>982</v>
      </c>
      <c r="D58" s="885" t="s">
        <v>1095</v>
      </c>
      <c r="E58" s="868"/>
      <c r="F58" s="1915">
        <f>'Expenditures 15-22'!G151</f>
        <v>230192</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925660</v>
      </c>
      <c r="G61" s="865"/>
    </row>
    <row r="62" spans="1:7" x14ac:dyDescent="0.2">
      <c r="A62" s="869" t="s">
        <v>461</v>
      </c>
      <c r="B62" s="869" t="s">
        <v>1887</v>
      </c>
      <c r="C62" s="886">
        <f>'Expenditures 15-22'!B185</f>
        <v>3000</v>
      </c>
      <c r="D62" s="876" t="s">
        <v>449</v>
      </c>
      <c r="E62" s="868"/>
      <c r="F62" s="1913">
        <f>'Expenditures 15-22'!K185-SUM('Expenditures 15-22'!G185,'Expenditures 15-22'!I185)</f>
        <v>45347</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49923</v>
      </c>
      <c r="G64" s="865"/>
    </row>
    <row r="65" spans="1:8" x14ac:dyDescent="0.2">
      <c r="A65" s="869" t="s">
        <v>461</v>
      </c>
      <c r="B65" s="869" t="s">
        <v>1890</v>
      </c>
      <c r="C65" s="886" t="s">
        <v>982</v>
      </c>
      <c r="D65" s="885" t="s">
        <v>1095</v>
      </c>
      <c r="E65" s="868"/>
      <c r="F65" s="1913">
        <f>'Expenditures 15-22'!G210</f>
        <v>90915</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120</v>
      </c>
      <c r="G71" s="865"/>
    </row>
    <row r="72" spans="1:8" x14ac:dyDescent="0.2">
      <c r="A72" s="869" t="s">
        <v>462</v>
      </c>
      <c r="B72" s="869" t="s">
        <v>1896</v>
      </c>
      <c r="C72" s="886">
        <f>'Expenditures 15-22'!B280</f>
        <v>3000</v>
      </c>
      <c r="D72" s="876" t="s">
        <v>449</v>
      </c>
      <c r="E72" s="868"/>
      <c r="F72" s="1913">
        <f>'Expenditures 15-22'!K280</f>
        <v>5712</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1586441</v>
      </c>
      <c r="G76" s="865"/>
    </row>
    <row r="77" spans="1:8" s="893" customFormat="1" ht="12" customHeight="1" thickTop="1" thickBot="1" x14ac:dyDescent="0.25">
      <c r="A77" s="1779"/>
      <c r="B77" s="1776"/>
      <c r="C77" s="1772"/>
      <c r="D77" s="1777" t="s">
        <v>1900</v>
      </c>
      <c r="E77" s="1774"/>
      <c r="F77" s="1780">
        <f>(F14-F76)</f>
        <v>7427740</v>
      </c>
      <c r="G77" s="869"/>
    </row>
    <row r="78" spans="1:8" s="893" customFormat="1" ht="12" customHeight="1" thickTop="1" x14ac:dyDescent="0.2">
      <c r="A78" s="1781"/>
      <c r="B78" s="1776"/>
      <c r="C78" s="1772"/>
      <c r="D78" s="1777" t="s">
        <v>2062</v>
      </c>
      <c r="E78" s="1774"/>
      <c r="F78" s="898">
        <v>553</v>
      </c>
      <c r="G78" s="899"/>
      <c r="H78" s="869"/>
    </row>
    <row r="79" spans="1:8" s="893" customFormat="1" ht="12" customHeight="1" thickBot="1" x14ac:dyDescent="0.25">
      <c r="A79" s="1782"/>
      <c r="B79" s="1776"/>
      <c r="C79" s="1772"/>
      <c r="D79" s="1777" t="s">
        <v>1901</v>
      </c>
      <c r="E79" s="1774" t="s">
        <v>958</v>
      </c>
      <c r="F79" s="1783">
        <f>IF(F78&gt;0,F77/F78," Complete Line 78")</f>
        <v>13431.717902350814</v>
      </c>
      <c r="G79" s="869"/>
    </row>
    <row r="80" spans="1:8" s="893" customFormat="1" ht="8.25" customHeight="1" thickTop="1" x14ac:dyDescent="0.2">
      <c r="A80" s="900"/>
      <c r="B80" s="869"/>
      <c r="C80" s="871"/>
      <c r="D80" s="901"/>
      <c r="E80" s="868"/>
      <c r="F80" s="902"/>
      <c r="G80" s="869"/>
    </row>
    <row r="81" spans="1:7" s="893" customFormat="1" ht="12" thickBot="1" x14ac:dyDescent="0.25">
      <c r="A81" s="2262" t="s">
        <v>1105</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163446</v>
      </c>
      <c r="G94" s="912"/>
    </row>
    <row r="95" spans="1:7" x14ac:dyDescent="0.2">
      <c r="A95" s="908" t="s">
        <v>140</v>
      </c>
      <c r="B95" s="908" t="s">
        <v>175</v>
      </c>
      <c r="C95" s="910">
        <v>1700</v>
      </c>
      <c r="D95" s="918" t="str">
        <f>'Revenues 9-14'!A82</f>
        <v>Total District/School Activity Income</v>
      </c>
      <c r="E95" s="906"/>
      <c r="F95" s="1789">
        <f>SUM('Revenues 9-14'!C82,'Revenues 9-14'!D82)</f>
        <v>41558</v>
      </c>
      <c r="G95" s="912"/>
    </row>
    <row r="96" spans="1:7" x14ac:dyDescent="0.2">
      <c r="A96" s="908" t="s">
        <v>459</v>
      </c>
      <c r="B96" s="908" t="s">
        <v>176</v>
      </c>
      <c r="C96" s="910">
        <f>'Revenues 9-14'!B84</f>
        <v>1811</v>
      </c>
      <c r="D96" s="911" t="str">
        <f>'Revenues 9-14'!A84</f>
        <v>Rentals - Regular Textbooks</v>
      </c>
      <c r="E96" s="906"/>
      <c r="F96" s="1789">
        <f>'Revenues 9-14'!C84</f>
        <v>20762</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10825</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696</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36106</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2497</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9577</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241284</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750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27637</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156476</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130940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12812</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119545</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119545</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18950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12326</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18627</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134829</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1159643</v>
      </c>
    </row>
    <row r="175" spans="1:7" ht="12" customHeight="1" x14ac:dyDescent="0.2">
      <c r="A175" s="1770"/>
      <c r="B175" s="1784"/>
      <c r="C175" s="1785"/>
      <c r="D175" s="1786" t="s">
        <v>2057</v>
      </c>
      <c r="E175" s="1787"/>
      <c r="F175" s="1789">
        <f>'PCTC-OEPP 27-28'!F77-F174</f>
        <v>6268097</v>
      </c>
    </row>
    <row r="176" spans="1:7" ht="12" customHeight="1" x14ac:dyDescent="0.2">
      <c r="A176" s="1770"/>
      <c r="B176" s="1784"/>
      <c r="C176" s="1785"/>
      <c r="D176" s="1786" t="s">
        <v>1817</v>
      </c>
      <c r="E176" s="1787"/>
      <c r="F176" s="1789">
        <f>'Cap Outlay Deprec 26'!I18</f>
        <v>696938</v>
      </c>
    </row>
    <row r="177" spans="1:7" ht="12" customHeight="1" x14ac:dyDescent="0.2">
      <c r="A177" s="1770"/>
      <c r="B177" s="1784"/>
      <c r="C177" s="1785"/>
      <c r="D177" s="1786" t="s">
        <v>2058</v>
      </c>
      <c r="E177" s="1787"/>
      <c r="F177" s="1789">
        <f>F175+F176</f>
        <v>6965035</v>
      </c>
    </row>
    <row r="178" spans="1:7" ht="12" customHeight="1" x14ac:dyDescent="0.2">
      <c r="A178" s="1770"/>
      <c r="B178" s="1790"/>
      <c r="C178" s="1785"/>
      <c r="D178" s="1786" t="str">
        <f>D78</f>
        <v>9 Month ADA from District Average Daily Attendance/Prior General State Aid Inquiry 2018-2019</v>
      </c>
      <c r="E178" s="1787"/>
      <c r="F178" s="1791">
        <f>'PCTC-OEPP 27-28'!F78</f>
        <v>553</v>
      </c>
      <c r="G178" s="930"/>
    </row>
    <row r="179" spans="1:7" ht="12" customHeight="1" thickBot="1" x14ac:dyDescent="0.25">
      <c r="A179" s="1770"/>
      <c r="B179" s="1790"/>
      <c r="C179" s="1785"/>
      <c r="D179" s="1786" t="s">
        <v>2059</v>
      </c>
      <c r="E179" s="1787" t="s">
        <v>1545</v>
      </c>
      <c r="F179" s="1792">
        <f>F177/F178</f>
        <v>12595</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H141"/>
  <sheetViews>
    <sheetView showGridLines="0" topLeftCell="A7" zoomScaleNormal="100" workbookViewId="0">
      <selection activeCell="D18" sqref="D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6" t="s">
        <v>1818</v>
      </c>
      <c r="B4" s="2277"/>
      <c r="C4" s="2277"/>
      <c r="D4" s="2277"/>
      <c r="E4" s="2277"/>
      <c r="F4" s="2277"/>
      <c r="G4" s="2278"/>
    </row>
    <row r="5" spans="1:7" x14ac:dyDescent="0.25">
      <c r="A5" s="2279"/>
      <c r="B5" s="2280"/>
      <c r="C5" s="2280"/>
      <c r="D5" s="2280"/>
      <c r="E5" s="2280"/>
      <c r="F5" s="2280"/>
      <c r="G5" s="2281"/>
    </row>
    <row r="6" spans="1:7" ht="18.75" x14ac:dyDescent="0.25">
      <c r="A6" s="1534" t="s">
        <v>1819</v>
      </c>
      <c r="B6" s="1535"/>
      <c r="C6" s="1535"/>
      <c r="D6" s="1535"/>
      <c r="E6" s="1535"/>
      <c r="F6" s="1535"/>
      <c r="G6" s="1536"/>
    </row>
    <row r="7" spans="1:7" ht="30.75" customHeight="1" x14ac:dyDescent="0.25">
      <c r="A7" s="2282" t="s">
        <v>1932</v>
      </c>
      <c r="B7" s="2283"/>
      <c r="C7" s="2283"/>
      <c r="D7" s="2283"/>
      <c r="E7" s="2283"/>
      <c r="F7" s="2283"/>
      <c r="G7" s="2284"/>
    </row>
    <row r="8" spans="1:7" ht="15.75" customHeight="1" x14ac:dyDescent="0.25">
      <c r="A8" s="2285" t="s">
        <v>1907</v>
      </c>
      <c r="B8" s="2286"/>
      <c r="C8" s="2286"/>
      <c r="D8" s="2286"/>
      <c r="E8" s="2286"/>
      <c r="F8" s="2286"/>
      <c r="G8" s="2287"/>
    </row>
    <row r="9" spans="1:7" ht="35.25" customHeight="1" x14ac:dyDescent="0.25">
      <c r="A9" s="2282" t="s">
        <v>1935</v>
      </c>
      <c r="B9" s="2283"/>
      <c r="C9" s="2283"/>
      <c r="D9" s="2283"/>
      <c r="E9" s="2283"/>
      <c r="F9" s="2283"/>
      <c r="G9" s="2284"/>
    </row>
    <row r="10" spans="1:7" ht="15" customHeight="1" x14ac:dyDescent="0.25">
      <c r="A10" s="1537" t="s">
        <v>1820</v>
      </c>
      <c r="B10" s="1538"/>
      <c r="C10" s="1538"/>
      <c r="D10" s="1538"/>
      <c r="E10" s="1538"/>
      <c r="F10" s="1538"/>
      <c r="G10" s="1539"/>
    </row>
    <row r="11" spans="1:7" ht="17.25" customHeight="1" x14ac:dyDescent="0.25">
      <c r="A11" s="2282" t="s">
        <v>1934</v>
      </c>
      <c r="B11" s="2283"/>
      <c r="C11" s="2283"/>
      <c r="D11" s="2283"/>
      <c r="E11" s="2283"/>
      <c r="F11" s="2283"/>
      <c r="G11" s="2284"/>
    </row>
    <row r="12" spans="1:7" ht="15" customHeight="1" x14ac:dyDescent="0.25">
      <c r="A12" s="1537" t="s">
        <v>1825</v>
      </c>
      <c r="B12" s="1538"/>
      <c r="C12" s="1538"/>
      <c r="D12" s="1538"/>
      <c r="E12" s="1538"/>
      <c r="F12" s="1538"/>
      <c r="G12" s="1539"/>
    </row>
    <row r="13" spans="1:7" ht="32.25" customHeight="1" x14ac:dyDescent="0.25">
      <c r="A13" s="2273" t="s">
        <v>1976</v>
      </c>
      <c r="B13" s="2274"/>
      <c r="C13" s="2274"/>
      <c r="D13" s="2274"/>
      <c r="E13" s="2274"/>
      <c r="F13" s="2274"/>
      <c r="G13" s="2275"/>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0" t="s">
        <v>2106</v>
      </c>
      <c r="B17" s="1941" t="s">
        <v>2107</v>
      </c>
      <c r="C17" s="1942" t="s">
        <v>2108</v>
      </c>
      <c r="D17" s="1844">
        <v>32219</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7219</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32219</v>
      </c>
      <c r="E141" s="1541">
        <f t="shared" si="0"/>
        <v>25000</v>
      </c>
      <c r="F141" s="1933">
        <f>SUM(F17:F140)</f>
        <v>25000</v>
      </c>
      <c r="G141" s="1795">
        <f>SUM(G17:G140)</f>
        <v>7219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8" t="s">
        <v>1679</v>
      </c>
      <c r="B5" s="2289"/>
      <c r="C5" s="2289"/>
      <c r="D5" s="2289"/>
      <c r="E5" s="2289"/>
      <c r="F5" s="2289"/>
      <c r="G5" s="229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156477</v>
      </c>
      <c r="F10" s="974"/>
      <c r="G10" s="975"/>
      <c r="H10" s="162"/>
      <c r="I10" s="162"/>
    </row>
    <row r="11" spans="1:9" s="668" customFormat="1" ht="22.5" customHeight="1" x14ac:dyDescent="0.2">
      <c r="A11" s="2293" t="s">
        <v>1977</v>
      </c>
      <c r="B11" s="2294"/>
      <c r="C11" s="2294"/>
      <c r="D11" s="2295"/>
      <c r="E11" s="977">
        <v>35182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4124726</v>
      </c>
      <c r="F19" s="1799"/>
      <c r="G19" s="1801">
        <f>'Expenditures 15-22'!K33-SUM('Expenditures 15-22'!G33,'Expenditures 15-22'!I33)+'Expenditures 15-22'!D229</f>
        <v>4124726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169422</v>
      </c>
      <c r="F21" s="1802"/>
      <c r="G21" s="1805">
        <f>'Expenditures 15-22'!K42-SUM('Expenditures 15-22'!G42,'Expenditures 15-22'!I42)+'Expenditures 15-22'!K120-SUM('Expenditures 15-22'!G120,'Expenditures 15-22'!I120)+'Expenditures 15-22'!K180-SUM('Expenditures 15-22'!G180,'Expenditures 15-22'!I180)+'Expenditures 15-22'!D238</f>
        <v>169422</v>
      </c>
      <c r="H21" s="987"/>
      <c r="I21" s="162"/>
    </row>
    <row r="22" spans="1:9" s="668" customFormat="1" ht="12" customHeight="1" x14ac:dyDescent="0.2">
      <c r="A22" s="994" t="s">
        <v>564</v>
      </c>
      <c r="B22" s="995"/>
      <c r="C22" s="993">
        <v>2200</v>
      </c>
      <c r="D22" s="1802"/>
      <c r="E22" s="1804">
        <f>'Expenditures 15-22'!K47-SUM('Expenditures 15-22'!G47,'Expenditures 15-22'!I47)+'Expenditures 15-22'!D243</f>
        <v>205473</v>
      </c>
      <c r="F22" s="1802"/>
      <c r="G22" s="1805">
        <f>'Expenditures 15-22'!K47-SUM('Expenditures 15-22'!G47,'Expenditures 15-22'!I47)+'Expenditures 15-22'!D243</f>
        <v>205473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431488</v>
      </c>
      <c r="F23" s="1802"/>
      <c r="G23" s="1804">
        <f>'Expenditures 15-22'!K53-SUM('Expenditures 15-22'!G53,'Expenditures 15-22'!I53)+'Expenditures 15-22'!D257+'Expenditures 15-22'!K330-SUM('Expenditures 15-22'!G330,'Expenditures 15-22'!I330)</f>
        <v>431488</v>
      </c>
      <c r="H23" s="987"/>
      <c r="I23" s="162"/>
    </row>
    <row r="24" spans="1:9" s="668" customFormat="1" ht="12" customHeight="1" x14ac:dyDescent="0.2">
      <c r="A24" s="994" t="s">
        <v>566</v>
      </c>
      <c r="B24" s="995"/>
      <c r="C24" s="993">
        <v>2400</v>
      </c>
      <c r="D24" s="1802"/>
      <c r="E24" s="1804">
        <f>'Expenditures 15-22'!K57-SUM('Expenditures 15-22'!G57,'Expenditures 15-22'!I57)+'Expenditures 15-22'!D261</f>
        <v>374677</v>
      </c>
      <c r="F24" s="1802"/>
      <c r="G24" s="1805">
        <f>'Expenditures 15-22'!K57-SUM('Expenditures 15-22'!G57,'Expenditures 15-22'!I57)+'Expenditures 15-22'!D261</f>
        <v>374677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97420</v>
      </c>
      <c r="E27" s="1804">
        <f>E8</f>
        <v>0</v>
      </c>
      <c r="F27" s="1804">
        <f>'Expenditures 15-22'!K60-SUM('Expenditures 15-22'!G60,'Expenditures 15-22'!I60)+'Expenditures 15-22'!D264-E8</f>
        <v>97420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862783</v>
      </c>
      <c r="F28" s="1806">
        <f>'Expenditures 15-22'!K61-SUM('Expenditures 15-22'!G61,'Expenditures 15-22'!I61)+'Expenditures 15-22'!K124-SUM('Expenditures 15-22'!G124,'Expenditures 15-22'!I124)+'Expenditures 15-22'!D266-E9</f>
        <v>862783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434349</v>
      </c>
      <c r="F29" s="1802"/>
      <c r="G29" s="1805">
        <f>'Expenditures 15-22'!K62-SUM('Expenditures 15-22'!G62,'Expenditures 15-22'!I62)+'Expenditures 15-22'!K125-SUM('Expenditures 15-22'!G125,'Expenditures 15-22'!I125)+'Expenditures 15-22'!K182-SUM('Expenditures 15-22'!G182,'Expenditures 15-22'!I182)+'Expenditures 15-22'!D267</f>
        <v>434349</v>
      </c>
      <c r="H29" s="985"/>
    </row>
    <row r="30" spans="1:9" ht="12" customHeight="1" x14ac:dyDescent="0.2">
      <c r="A30" s="994" t="s">
        <v>100</v>
      </c>
      <c r="B30" s="997"/>
      <c r="C30" s="993">
        <v>2560</v>
      </c>
      <c r="D30" s="1802"/>
      <c r="E30" s="1804">
        <f>'Expenditures 15-22'!K63-SUM('Expenditures 15-22'!G63,'Expenditures 15-22'!I63)+'Expenditures 15-22'!D268-E10</f>
        <v>181333</v>
      </c>
      <c r="F30" s="1802"/>
      <c r="G30" s="1804">
        <f>'Expenditures 15-22'!K63-SUM('Expenditures 15-22'!G63,'Expenditures 15-22'!I63)+'Expenditures 15-22'!D268-E10</f>
        <v>181333</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51926</v>
      </c>
      <c r="F39" s="1802"/>
      <c r="G39" s="1804">
        <f>'Expenditures 15-22'!K75-SUM('Expenditures 15-22'!G75,'Expenditures 15-22'!I75)+'Expenditures 15-22'!K130-SUM('Expenditures 15-22'!G130,'Expenditures 15-22'!I130)+'Expenditures 15-22'!K185-SUM('Expenditures 15-22'!G185,'Expenditures 15-22'!I185)+'Expenditures 15-22'!D280</f>
        <v>51926</v>
      </c>
    </row>
    <row r="40" spans="1:7" ht="12" customHeight="1" x14ac:dyDescent="0.2">
      <c r="A40" s="990" t="s">
        <v>1823</v>
      </c>
      <c r="B40" s="991"/>
      <c r="C40" s="993"/>
      <c r="D40" s="1802"/>
      <c r="E40" s="1806">
        <f>-'Contracts Paid in CY 29'!G141</f>
        <v>-7219</v>
      </c>
      <c r="F40" s="1802"/>
      <c r="G40" s="1806">
        <f>-'Contracts Paid in CY 29'!G141</f>
        <v>-7219</v>
      </c>
    </row>
    <row r="41" spans="1:7" ht="12" customHeight="1" x14ac:dyDescent="0.2">
      <c r="A41" s="998" t="s">
        <v>156</v>
      </c>
      <c r="B41" s="999"/>
      <c r="C41" s="1000"/>
      <c r="D41" s="1806">
        <f>SUM(D19:D39)</f>
        <v>97420</v>
      </c>
      <c r="E41" s="1806">
        <f>SUM(E19:E40)</f>
        <v>6828958</v>
      </c>
      <c r="F41" s="1806">
        <f>SUM(F19:F39)</f>
        <v>960203</v>
      </c>
      <c r="G41" s="1806">
        <f>SUM(G19:G40)</f>
        <v>5966175</v>
      </c>
    </row>
    <row r="42" spans="1:7" x14ac:dyDescent="0.2">
      <c r="A42" s="987"/>
      <c r="B42" s="162"/>
      <c r="C42" s="1001"/>
      <c r="D42" s="2291" t="s">
        <v>522</v>
      </c>
      <c r="E42" s="2292"/>
      <c r="F42" s="1002" t="s">
        <v>523</v>
      </c>
      <c r="G42" s="1003"/>
    </row>
    <row r="43" spans="1:7" ht="12" customHeight="1" x14ac:dyDescent="0.2">
      <c r="A43" s="987"/>
      <c r="B43" s="162"/>
      <c r="C43" s="1001"/>
      <c r="D43" s="1807" t="s">
        <v>473</v>
      </c>
      <c r="E43" s="1808">
        <f>D41</f>
        <v>97420</v>
      </c>
      <c r="F43" s="1807" t="s">
        <v>473</v>
      </c>
      <c r="G43" s="1808">
        <f>F41</f>
        <v>960203</v>
      </c>
    </row>
    <row r="44" spans="1:7" ht="12" customHeight="1" x14ac:dyDescent="0.2">
      <c r="A44" s="987"/>
      <c r="B44" s="162"/>
      <c r="C44" s="1001"/>
      <c r="D44" s="1807" t="s">
        <v>474</v>
      </c>
      <c r="E44" s="1808">
        <f>E41</f>
        <v>6828958</v>
      </c>
      <c r="F44" s="1807" t="s">
        <v>474</v>
      </c>
      <c r="G44" s="1808">
        <f>G41</f>
        <v>5966175</v>
      </c>
    </row>
    <row r="45" spans="1:7" ht="12" customHeight="1" x14ac:dyDescent="0.2">
      <c r="A45" s="987"/>
      <c r="B45" s="162"/>
      <c r="C45" s="162"/>
      <c r="D45" s="1809" t="s">
        <v>1006</v>
      </c>
      <c r="E45" s="1810">
        <f>(E43/E44)</f>
        <v>1.4265719601731333E-2</v>
      </c>
      <c r="F45" s="1809" t="s">
        <v>1006</v>
      </c>
      <c r="G45" s="1810">
        <f>(G43/G44)</f>
        <v>0.16094113900447105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sheetPr>
  <dimension ref="A1:L97"/>
  <sheetViews>
    <sheetView showGridLines="0" zoomScale="110" zoomScaleNormal="110" workbookViewId="0">
      <pane ySplit="4" topLeftCell="A5" activePane="bottomLeft" state="frozen"/>
      <selection activeCell="A47" sqref="A47"/>
      <selection pane="bottomLeft" activeCell="A37" sqref="A37:F3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1" t="s">
        <v>1379</v>
      </c>
      <c r="B1" s="2311"/>
      <c r="C1" s="2311"/>
      <c r="D1" s="2311"/>
      <c r="E1" s="2311"/>
      <c r="F1" s="2311"/>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12" t="s">
        <v>1546</v>
      </c>
      <c r="B5" s="2313"/>
      <c r="C5" s="2314"/>
      <c r="D5" s="2314"/>
      <c r="E5" s="2314"/>
      <c r="F5" s="2314"/>
    </row>
    <row r="6" spans="1:10" ht="12" customHeight="1" x14ac:dyDescent="0.25">
      <c r="A6" s="1850"/>
      <c r="B6" s="1851"/>
      <c r="C6" s="2315" t="str">
        <f>COVER!A17</f>
        <v>Eastland CUSD 308</v>
      </c>
      <c r="D6" s="2315"/>
      <c r="E6" s="2315"/>
      <c r="F6" s="1852"/>
    </row>
    <row r="7" spans="1:10" ht="11.25" customHeight="1" thickBot="1" x14ac:dyDescent="0.3">
      <c r="A7" s="1850"/>
      <c r="B7" s="1851"/>
      <c r="C7" s="2316">
        <f>COVER!A13</f>
        <v>8008308026</v>
      </c>
      <c r="D7" s="2316"/>
      <c r="E7" s="2316"/>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2073</v>
      </c>
      <c r="D13" s="1865" t="s">
        <v>2073</v>
      </c>
      <c r="E13" s="1868" t="s">
        <v>2073</v>
      </c>
      <c r="F13" s="1867"/>
      <c r="H13" s="1878">
        <f t="shared" si="0"/>
        <v>5</v>
      </c>
      <c r="I13" s="1878">
        <f t="shared" si="1"/>
        <v>5</v>
      </c>
      <c r="J13" s="1878">
        <f t="shared" si="2"/>
        <v>5</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2073</v>
      </c>
      <c r="D16" s="1865" t="s">
        <v>2073</v>
      </c>
      <c r="E16" s="1868" t="s">
        <v>2073</v>
      </c>
      <c r="F16" s="1867" t="s">
        <v>2090</v>
      </c>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2073</v>
      </c>
      <c r="D19" s="1865" t="s">
        <v>2073</v>
      </c>
      <c r="E19" s="1868" t="s">
        <v>2073</v>
      </c>
      <c r="F19" s="1867" t="s">
        <v>2081</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t="s">
        <v>2073</v>
      </c>
      <c r="D23" s="1865" t="s">
        <v>2073</v>
      </c>
      <c r="E23" s="1868" t="s">
        <v>2073</v>
      </c>
      <c r="F23" s="1867" t="s">
        <v>2082</v>
      </c>
      <c r="H23" s="1878">
        <f t="shared" si="0"/>
        <v>5</v>
      </c>
      <c r="I23" s="1878">
        <f t="shared" si="1"/>
        <v>5</v>
      </c>
      <c r="J23" s="1878">
        <f t="shared" si="2"/>
        <v>5</v>
      </c>
    </row>
    <row r="24" spans="1:12" ht="12" customHeight="1" x14ac:dyDescent="0.2">
      <c r="A24" s="1863" t="s">
        <v>1532</v>
      </c>
      <c r="B24" s="1864"/>
      <c r="C24" s="1865" t="s">
        <v>2073</v>
      </c>
      <c r="D24" s="1865"/>
      <c r="E24" s="1868"/>
      <c r="F24" s="1867" t="s">
        <v>2089</v>
      </c>
      <c r="H24" s="1878">
        <f t="shared" si="0"/>
        <v>5</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2073</v>
      </c>
      <c r="D26" s="1865" t="s">
        <v>2073</v>
      </c>
      <c r="E26" s="1868" t="s">
        <v>2073</v>
      </c>
      <c r="F26" s="1867" t="s">
        <v>2083</v>
      </c>
      <c r="H26" s="1878">
        <f t="shared" si="0"/>
        <v>5</v>
      </c>
      <c r="I26" s="1878">
        <f t="shared" si="1"/>
        <v>5</v>
      </c>
      <c r="J26" s="1878">
        <f t="shared" si="2"/>
        <v>5</v>
      </c>
    </row>
    <row r="27" spans="1:12" ht="18.75" x14ac:dyDescent="0.2">
      <c r="A27" s="1863" t="s">
        <v>1535</v>
      </c>
      <c r="B27" s="1864"/>
      <c r="C27" s="1865" t="s">
        <v>2073</v>
      </c>
      <c r="D27" s="1865" t="s">
        <v>2073</v>
      </c>
      <c r="E27" s="1868" t="s">
        <v>2073</v>
      </c>
      <c r="F27" s="1867" t="s">
        <v>2084</v>
      </c>
      <c r="H27" s="1878">
        <f t="shared" si="0"/>
        <v>5</v>
      </c>
      <c r="I27" s="1878">
        <f t="shared" si="1"/>
        <v>5</v>
      </c>
      <c r="J27" s="1878">
        <f t="shared" si="2"/>
        <v>5</v>
      </c>
    </row>
    <row r="28" spans="1:12" ht="12" customHeight="1" x14ac:dyDescent="0.2">
      <c r="A28" s="1863" t="s">
        <v>1536</v>
      </c>
      <c r="B28" s="1864"/>
      <c r="C28" s="1865" t="s">
        <v>2073</v>
      </c>
      <c r="D28" s="1865" t="s">
        <v>2073</v>
      </c>
      <c r="E28" s="1868" t="s">
        <v>2073</v>
      </c>
      <c r="F28" s="1867" t="s">
        <v>2109</v>
      </c>
      <c r="H28" s="1878">
        <f t="shared" si="0"/>
        <v>5</v>
      </c>
      <c r="I28" s="1878">
        <f t="shared" si="1"/>
        <v>5</v>
      </c>
      <c r="J28" s="1878">
        <f t="shared" si="2"/>
        <v>5</v>
      </c>
    </row>
    <row r="29" spans="1:12" ht="12" customHeight="1" x14ac:dyDescent="0.2">
      <c r="A29" s="1863" t="s">
        <v>1537</v>
      </c>
      <c r="B29" s="1864"/>
      <c r="C29" s="1865" t="s">
        <v>2073</v>
      </c>
      <c r="D29" s="1865" t="s">
        <v>2073</v>
      </c>
      <c r="E29" s="1868" t="s">
        <v>2073</v>
      </c>
      <c r="F29" s="1867" t="s">
        <v>2085</v>
      </c>
      <c r="H29" s="1878">
        <f t="shared" si="0"/>
        <v>5</v>
      </c>
      <c r="I29" s="1878">
        <f t="shared" si="1"/>
        <v>5</v>
      </c>
      <c r="J29" s="1878">
        <f t="shared" si="2"/>
        <v>5</v>
      </c>
    </row>
    <row r="30" spans="1:12" ht="12" customHeight="1" x14ac:dyDescent="0.2">
      <c r="A30" s="1863" t="s">
        <v>1538</v>
      </c>
      <c r="B30" s="1864"/>
      <c r="C30" s="1865" t="s">
        <v>2073</v>
      </c>
      <c r="D30" s="1865" t="s">
        <v>2073</v>
      </c>
      <c r="E30" s="1868" t="s">
        <v>2073</v>
      </c>
      <c r="F30" s="1867" t="s">
        <v>2086</v>
      </c>
      <c r="H30" s="1878">
        <f t="shared" si="0"/>
        <v>5</v>
      </c>
      <c r="I30" s="1878">
        <f t="shared" si="1"/>
        <v>5</v>
      </c>
      <c r="J30" s="1878">
        <f t="shared" si="2"/>
        <v>5</v>
      </c>
    </row>
    <row r="31" spans="1:12" ht="12" customHeight="1" x14ac:dyDescent="0.2">
      <c r="A31" s="1863" t="s">
        <v>1539</v>
      </c>
      <c r="B31" s="1864"/>
      <c r="C31" s="1865" t="s">
        <v>2073</v>
      </c>
      <c r="D31" s="1865" t="s">
        <v>2073</v>
      </c>
      <c r="E31" s="1868" t="s">
        <v>2073</v>
      </c>
      <c r="F31" s="1867" t="s">
        <v>2084</v>
      </c>
      <c r="H31" s="1878">
        <f t="shared" si="0"/>
        <v>5</v>
      </c>
      <c r="I31" s="1878">
        <f t="shared" si="1"/>
        <v>5</v>
      </c>
      <c r="J31" s="1878">
        <f t="shared" si="2"/>
        <v>5</v>
      </c>
      <c r="L31" s="1869"/>
    </row>
    <row r="32" spans="1:12" ht="12" customHeight="1" x14ac:dyDescent="0.2">
      <c r="A32" s="1863" t="s">
        <v>1540</v>
      </c>
      <c r="B32" s="1864"/>
      <c r="C32" s="1865" t="s">
        <v>2073</v>
      </c>
      <c r="D32" s="1865" t="s">
        <v>2073</v>
      </c>
      <c r="E32" s="1868" t="s">
        <v>2073</v>
      </c>
      <c r="F32" s="1867" t="s">
        <v>2087</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60</v>
      </c>
      <c r="I34" s="1878">
        <f>SUM(I11:I32)</f>
        <v>55</v>
      </c>
      <c r="J34" s="1878">
        <f>SUM(J11:J32)</f>
        <v>55</v>
      </c>
      <c r="K34" s="1878">
        <f>SUM(H34:J34)</f>
        <v>170</v>
      </c>
    </row>
    <row r="35" spans="1:11" ht="12" customHeight="1" x14ac:dyDescent="0.2">
      <c r="A35" s="1871" t="s">
        <v>1392</v>
      </c>
      <c r="B35" s="1872"/>
      <c r="C35" s="2317"/>
      <c r="D35" s="2317"/>
      <c r="E35" s="2317"/>
      <c r="F35" s="2318"/>
    </row>
    <row r="36" spans="1:11" ht="12" customHeight="1" x14ac:dyDescent="0.2">
      <c r="A36" s="2310" t="s">
        <v>2088</v>
      </c>
      <c r="B36" s="2300"/>
      <c r="C36" s="2300"/>
      <c r="D36" s="2300"/>
      <c r="E36" s="2300"/>
      <c r="F36" s="2301"/>
    </row>
    <row r="37" spans="1:11" ht="12" customHeight="1" x14ac:dyDescent="0.2">
      <c r="A37" s="2299" t="s">
        <v>2110</v>
      </c>
      <c r="B37" s="2300"/>
      <c r="C37" s="2300"/>
      <c r="D37" s="2300"/>
      <c r="E37" s="2300"/>
      <c r="F37" s="2301"/>
    </row>
    <row r="38" spans="1:11" ht="12" customHeight="1" x14ac:dyDescent="0.2">
      <c r="A38" s="2302"/>
      <c r="B38" s="2303"/>
      <c r="C38" s="2303"/>
      <c r="D38" s="2303"/>
      <c r="E38" s="2303"/>
      <c r="F38" s="2304"/>
    </row>
    <row r="39" spans="1:11" ht="4.5" hidden="1" customHeight="1" x14ac:dyDescent="0.2">
      <c r="A39" s="1873"/>
      <c r="B39" s="1873"/>
      <c r="C39" s="1873"/>
      <c r="D39" s="1873"/>
      <c r="E39" s="1873"/>
      <c r="F39" s="1873"/>
    </row>
    <row r="40" spans="1:11" s="1870" customFormat="1" ht="12" customHeight="1" x14ac:dyDescent="0.25">
      <c r="A40" s="1874" t="s">
        <v>1391</v>
      </c>
      <c r="B40" s="1875"/>
      <c r="C40" s="2305"/>
      <c r="D40" s="2305"/>
      <c r="E40" s="2305"/>
      <c r="F40" s="2306"/>
      <c r="H40" s="1879"/>
      <c r="I40" s="1879"/>
      <c r="J40" s="1879"/>
      <c r="K40" s="1879"/>
    </row>
    <row r="41" spans="1:11" s="1870" customFormat="1" ht="12" customHeight="1" x14ac:dyDescent="0.25">
      <c r="A41" s="2307"/>
      <c r="B41" s="2308"/>
      <c r="C41" s="2308"/>
      <c r="D41" s="2308"/>
      <c r="E41" s="2308"/>
      <c r="F41" s="2309"/>
      <c r="H41" s="1879"/>
      <c r="I41" s="1879"/>
      <c r="J41" s="1879"/>
      <c r="K41" s="1879"/>
    </row>
    <row r="42" spans="1:11" s="1870" customFormat="1" ht="12" customHeight="1" x14ac:dyDescent="0.25">
      <c r="A42" s="2307"/>
      <c r="B42" s="2308"/>
      <c r="C42" s="2308"/>
      <c r="D42" s="2308"/>
      <c r="E42" s="2308"/>
      <c r="F42" s="2309"/>
      <c r="H42" s="1879"/>
      <c r="I42" s="1879"/>
      <c r="J42" s="1879"/>
      <c r="K42" s="1879"/>
    </row>
    <row r="43" spans="1:11" s="1870" customFormat="1" ht="15" x14ac:dyDescent="0.25">
      <c r="A43" s="2296"/>
      <c r="B43" s="2297"/>
      <c r="C43" s="2297"/>
      <c r="D43" s="2297"/>
      <c r="E43" s="2297"/>
      <c r="F43" s="2298"/>
      <c r="H43" s="1879"/>
      <c r="I43" s="1879"/>
      <c r="J43" s="1879"/>
      <c r="K43" s="1879"/>
    </row>
    <row r="44" spans="1:11" s="1870" customFormat="1" ht="12" hidden="1" customHeight="1" x14ac:dyDescent="0.25">
      <c r="A44" s="2296"/>
      <c r="B44" s="2297"/>
      <c r="C44" s="2297"/>
      <c r="D44" s="2297"/>
      <c r="E44" s="2297"/>
      <c r="F44" s="2298"/>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F0"/>
  </sheetPr>
  <dimension ref="A1:Q40"/>
  <sheetViews>
    <sheetView showGridLines="0" defaultGridColor="0" topLeftCell="A10" colorId="8" zoomScale="110" zoomScaleNormal="110" workbookViewId="0">
      <selection activeCell="L17" sqref="L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4" t="str">
        <f>COVER!A17</f>
        <v>Eastland CUSD 308</v>
      </c>
      <c r="J6" s="2325"/>
      <c r="Q6" s="1664"/>
    </row>
    <row r="7" spans="1:17" x14ac:dyDescent="0.2">
      <c r="A7" s="2326" t="s">
        <v>869</v>
      </c>
      <c r="B7" s="2327"/>
      <c r="C7" s="2327"/>
      <c r="D7" s="2327"/>
      <c r="E7" s="2328"/>
      <c r="F7" s="1017"/>
      <c r="G7" s="1009"/>
      <c r="H7" s="1016" t="s">
        <v>372</v>
      </c>
      <c r="I7" s="2329">
        <f>COVER!A13</f>
        <v>8008308026</v>
      </c>
      <c r="J7" s="232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0" t="s">
        <v>481</v>
      </c>
      <c r="B11" s="2331"/>
      <c r="C11" s="233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176665</v>
      </c>
      <c r="F12" s="1039"/>
      <c r="G12" s="1811">
        <f t="shared" ref="G12:G18" si="0">SUM(E12:F12)</f>
        <v>176665</v>
      </c>
      <c r="H12" s="1040">
        <v>150110</v>
      </c>
      <c r="I12" s="1039"/>
      <c r="J12" s="1811">
        <f t="shared" ref="J12:J18" si="1">SUM(H12:I12)</f>
        <v>150110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3" t="s">
        <v>7</v>
      </c>
      <c r="C18" s="2334"/>
      <c r="D18" s="233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176665</v>
      </c>
      <c r="F19" s="1813">
        <f t="shared" si="2"/>
        <v>0</v>
      </c>
      <c r="G19" s="1813">
        <f t="shared" si="2"/>
        <v>176665</v>
      </c>
      <c r="H19" s="1813">
        <f t="shared" si="2"/>
        <v>150110</v>
      </c>
      <c r="I19" s="1813">
        <f t="shared" si="2"/>
        <v>0</v>
      </c>
      <c r="J19" s="1813">
        <f t="shared" si="2"/>
        <v>150110</v>
      </c>
    </row>
    <row r="20" spans="1:10" ht="13.5" thickTop="1" x14ac:dyDescent="0.2">
      <c r="A20" s="1035">
        <v>9</v>
      </c>
      <c r="B20" s="2336" t="s">
        <v>1981</v>
      </c>
      <c r="C20" s="2336"/>
      <c r="D20" s="2337"/>
      <c r="E20" s="1046"/>
      <c r="F20" s="1046"/>
      <c r="G20" s="1046"/>
      <c r="H20" s="1046"/>
      <c r="I20" s="1046"/>
      <c r="J20" s="1814">
        <f>IF(AND(G19&gt;0,J19&gt;0),(((J19-G19)/G19)),"Enter Budget Data")</f>
        <v>-0.15031273879942264</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2"/>
      <c r="D26" s="2342"/>
      <c r="E26" s="1050"/>
      <c r="F26" s="2341"/>
      <c r="G26" s="2341"/>
    </row>
    <row r="27" spans="1:10" x14ac:dyDescent="0.2">
      <c r="B27" s="1047"/>
      <c r="C27" s="1051" t="s">
        <v>1033</v>
      </c>
      <c r="D27" s="1052"/>
      <c r="E27" s="1053"/>
      <c r="F27" s="2338" t="s">
        <v>1509</v>
      </c>
      <c r="G27" s="2338"/>
    </row>
    <row r="28" spans="1:10" ht="28.5" customHeight="1" x14ac:dyDescent="0.2">
      <c r="B28" s="1047"/>
      <c r="C28" s="2340"/>
      <c r="D28" s="2340"/>
      <c r="E28" s="1054"/>
      <c r="F28" s="2340"/>
      <c r="G28" s="2340"/>
    </row>
    <row r="29" spans="1:10" x14ac:dyDescent="0.2">
      <c r="B29" s="1047"/>
      <c r="C29" s="1055" t="s">
        <v>1561</v>
      </c>
      <c r="E29" s="1056"/>
      <c r="F29" s="2339" t="s">
        <v>1510</v>
      </c>
      <c r="G29" s="233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2"/>
    </row>
    <row r="36" spans="1:10" ht="13.5" customHeight="1" x14ac:dyDescent="0.2">
      <c r="B36" s="1061"/>
      <c r="C36" s="2323" t="s">
        <v>1983</v>
      </c>
      <c r="D36" s="2322"/>
      <c r="E36" s="2322"/>
      <c r="F36" s="2322"/>
      <c r="G36" s="2322"/>
      <c r="H36" s="2322"/>
      <c r="I36" s="2322"/>
      <c r="J36" s="1063"/>
    </row>
    <row r="37" spans="1:10" ht="22.5" customHeight="1" x14ac:dyDescent="0.2">
      <c r="C37" s="2322"/>
      <c r="D37" s="2322"/>
      <c r="E37" s="2322"/>
      <c r="F37" s="2322"/>
      <c r="G37" s="2322"/>
      <c r="H37" s="2322"/>
      <c r="I37" s="2322"/>
      <c r="J37" s="1063"/>
    </row>
    <row r="38" spans="1:10" ht="7.5" customHeight="1" x14ac:dyDescent="0.2">
      <c r="C38" s="1062"/>
      <c r="D38" s="1064"/>
      <c r="E38" s="1065"/>
      <c r="F38" s="1066"/>
      <c r="G38" s="1065"/>
    </row>
    <row r="39" spans="1:10" ht="13.5" customHeight="1" x14ac:dyDescent="0.2">
      <c r="B39" s="1061"/>
      <c r="C39" s="2319" t="s">
        <v>882</v>
      </c>
      <c r="D39" s="2320"/>
      <c r="E39" s="2320"/>
      <c r="F39" s="2320"/>
      <c r="G39" s="2320"/>
      <c r="H39" s="2320"/>
      <c r="I39" s="232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G61"/>
  <sheetViews>
    <sheetView showGridLines="0" zoomScale="110" zoomScaleNormal="110" workbookViewId="0">
      <selection activeCell="C62" sqref="C62"/>
    </sheetView>
  </sheetViews>
  <sheetFormatPr defaultRowHeight="12.75" x14ac:dyDescent="0.2"/>
  <cols>
    <col min="1" max="1" width="3" style="329" customWidth="1"/>
    <col min="2" max="5" width="10.7109375" style="329" customWidth="1"/>
    <col min="6" max="6" width="30.42578125" style="329" customWidth="1"/>
    <col min="7" max="7" width="10.7109375" style="329" customWidth="1"/>
    <col min="8" max="16384" width="9.140625" style="329"/>
  </cols>
  <sheetData>
    <row r="2" spans="1:7" x14ac:dyDescent="0.2">
      <c r="A2" s="389" t="s">
        <v>258</v>
      </c>
    </row>
    <row r="3" spans="1:7" x14ac:dyDescent="0.2">
      <c r="A3" s="329" t="s">
        <v>259</v>
      </c>
    </row>
    <row r="5" spans="1:7" x14ac:dyDescent="0.2">
      <c r="B5" s="1943" t="s">
        <v>2097</v>
      </c>
      <c r="C5" s="1943" t="s">
        <v>2098</v>
      </c>
      <c r="D5" s="1943" t="s">
        <v>1077</v>
      </c>
      <c r="E5" s="1943" t="s">
        <v>2099</v>
      </c>
      <c r="F5" s="1943" t="s">
        <v>481</v>
      </c>
      <c r="G5" s="1943" t="s">
        <v>865</v>
      </c>
    </row>
    <row r="6" spans="1:7" x14ac:dyDescent="0.2">
      <c r="B6" s="1938"/>
      <c r="C6" s="1938"/>
      <c r="D6" s="1938"/>
      <c r="E6" s="1938"/>
      <c r="F6" s="1939"/>
      <c r="G6" s="1939"/>
    </row>
    <row r="7" spans="1:7" ht="15" x14ac:dyDescent="0.35">
      <c r="A7" s="1068"/>
      <c r="B7" s="1937">
        <v>1690</v>
      </c>
      <c r="C7" s="1937">
        <v>10</v>
      </c>
      <c r="D7" s="1937">
        <v>10</v>
      </c>
      <c r="E7" s="1937">
        <v>74</v>
      </c>
      <c r="F7" s="329" t="s">
        <v>2112</v>
      </c>
      <c r="G7" s="1944">
        <v>114</v>
      </c>
    </row>
    <row r="8" spans="1:7" ht="15" x14ac:dyDescent="0.35">
      <c r="A8" s="1068"/>
      <c r="B8" s="1937"/>
      <c r="C8" s="1937"/>
      <c r="D8" s="1937"/>
      <c r="E8" s="1937"/>
      <c r="G8" s="1944"/>
    </row>
    <row r="9" spans="1:7" ht="15" x14ac:dyDescent="0.35">
      <c r="A9" s="1068"/>
      <c r="B9" s="1937">
        <v>1719</v>
      </c>
      <c r="C9" s="1937">
        <v>10</v>
      </c>
      <c r="D9" s="1937">
        <v>10</v>
      </c>
      <c r="E9" s="1937">
        <v>78</v>
      </c>
      <c r="F9" s="329" t="s">
        <v>2100</v>
      </c>
      <c r="G9" s="1944">
        <v>17967</v>
      </c>
    </row>
    <row r="10" spans="1:7" ht="15" x14ac:dyDescent="0.35">
      <c r="A10" s="1068"/>
      <c r="B10" s="1937"/>
      <c r="C10" s="1937"/>
      <c r="D10" s="1937"/>
      <c r="E10" s="1937"/>
      <c r="G10" s="1944"/>
    </row>
    <row r="11" spans="1:7" x14ac:dyDescent="0.2">
      <c r="A11" s="1068"/>
      <c r="B11" s="1937">
        <v>1999</v>
      </c>
      <c r="C11" s="1937">
        <v>10</v>
      </c>
      <c r="D11" s="1937">
        <v>10</v>
      </c>
      <c r="E11" s="1937">
        <v>107</v>
      </c>
      <c r="F11" s="329" t="s">
        <v>2113</v>
      </c>
      <c r="G11" s="1945">
        <v>181</v>
      </c>
    </row>
    <row r="12" spans="1:7" ht="15" x14ac:dyDescent="0.35">
      <c r="A12" s="1068"/>
      <c r="B12" s="1937">
        <v>1999</v>
      </c>
      <c r="C12" s="1937">
        <v>10</v>
      </c>
      <c r="D12" s="1937">
        <v>20</v>
      </c>
      <c r="E12" s="1937">
        <v>107</v>
      </c>
      <c r="F12" s="329" t="s">
        <v>2101</v>
      </c>
      <c r="G12" s="1946">
        <v>16100</v>
      </c>
    </row>
    <row r="13" spans="1:7" ht="15" x14ac:dyDescent="0.35">
      <c r="A13" s="1068"/>
      <c r="B13" s="1937"/>
      <c r="C13" s="1937"/>
      <c r="D13" s="1937"/>
      <c r="E13" s="1937"/>
      <c r="G13" s="1944">
        <f>G11+G12</f>
        <v>16281</v>
      </c>
    </row>
    <row r="14" spans="1:7" ht="15" x14ac:dyDescent="0.35">
      <c r="A14" s="1068"/>
      <c r="B14" s="1937"/>
      <c r="C14" s="1937"/>
      <c r="D14" s="1937"/>
      <c r="E14" s="1937"/>
      <c r="G14" s="1944"/>
    </row>
    <row r="15" spans="1:7" ht="15" x14ac:dyDescent="0.35">
      <c r="A15" s="1068"/>
      <c r="B15" s="1937">
        <v>4090</v>
      </c>
      <c r="C15" s="1937">
        <v>12</v>
      </c>
      <c r="D15" s="1937">
        <v>10</v>
      </c>
      <c r="E15" s="1937">
        <v>180</v>
      </c>
      <c r="F15" s="329" t="s">
        <v>2102</v>
      </c>
      <c r="G15" s="1944">
        <v>27637</v>
      </c>
    </row>
    <row r="16" spans="1:7" x14ac:dyDescent="0.2">
      <c r="A16" s="1069"/>
    </row>
    <row r="17" spans="1:1" x14ac:dyDescent="0.2">
      <c r="A17" s="329" t="s">
        <v>2111</v>
      </c>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c r="B60" s="258" t="str">
        <f>COVER!A17</f>
        <v>Eastland CUSD 308</v>
      </c>
    </row>
    <row r="61" spans="1:2" x14ac:dyDescent="0.2">
      <c r="B61" s="1070">
        <f>COVER!A13</f>
        <v>8008308026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1608</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F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F0"/>
  </sheetPr>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3" t="s">
        <v>1685</v>
      </c>
      <c r="B18" s="234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FoxitPhantomPDF.Document" dvAspect="DVASPECT_ICON" shapeId="35841" r:id="rId4">
          <objectPr defaultSize="0" r:id="rId5">
            <anchor moveWithCells="1">
              <from>
                <xdr:col>1</xdr:col>
                <xdr:colOff>133350</xdr:colOff>
                <xdr:row>3</xdr:row>
                <xdr:rowOff>47625</xdr:rowOff>
              </from>
              <to>
                <xdr:col>1</xdr:col>
                <xdr:colOff>1047750</xdr:colOff>
                <xdr:row>7</xdr:row>
                <xdr:rowOff>85725</xdr:rowOff>
              </to>
            </anchor>
          </objectPr>
        </oleObject>
      </mc:Choice>
      <mc:Fallback>
        <oleObject progId="FoxitPhantomPDF.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1238250</xdr:colOff>
                <xdr:row>3</xdr:row>
                <xdr:rowOff>47625</xdr:rowOff>
              </from>
              <to>
                <xdr:col>1</xdr:col>
                <xdr:colOff>2152650</xdr:colOff>
                <xdr:row>8</xdr:row>
                <xdr:rowOff>9525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F0"/>
    <pageSetUpPr fitToPage="1"/>
  </sheetPr>
  <dimension ref="A1:H48"/>
  <sheetViews>
    <sheetView showGridLines="0" showZeros="0" topLeftCell="A7"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1987</v>
      </c>
      <c r="B2" s="2355"/>
      <c r="C2" s="2355"/>
      <c r="D2" s="2355"/>
      <c r="E2" s="2355"/>
      <c r="F2" s="2356"/>
      <c r="G2" s="1074"/>
      <c r="H2" s="1074"/>
    </row>
    <row r="3" spans="1:8" ht="57" customHeight="1" x14ac:dyDescent="0.2">
      <c r="A3" s="2357" t="s">
        <v>1686</v>
      </c>
      <c r="B3" s="2358"/>
      <c r="C3" s="2358"/>
      <c r="D3" s="2358"/>
      <c r="E3" s="2358"/>
      <c r="F3" s="2359"/>
      <c r="G3" s="1074"/>
      <c r="H3" s="1074"/>
    </row>
    <row r="4" spans="1:8" ht="14.25" customHeight="1" x14ac:dyDescent="0.2">
      <c r="A4" s="2363" t="s">
        <v>1988</v>
      </c>
      <c r="B4" s="2364"/>
      <c r="C4" s="2364"/>
      <c r="D4" s="2364"/>
      <c r="E4" s="2364"/>
      <c r="F4" s="2365"/>
      <c r="G4" s="1074"/>
      <c r="H4" s="1074"/>
    </row>
    <row r="5" spans="1:8" ht="14.25" customHeight="1" x14ac:dyDescent="0.2">
      <c r="A5" s="2366" t="s">
        <v>1984</v>
      </c>
      <c r="B5" s="2367"/>
      <c r="C5" s="2367"/>
      <c r="D5" s="2367"/>
      <c r="E5" s="2367"/>
      <c r="F5" s="2368"/>
      <c r="G5" s="1074"/>
      <c r="H5" s="1074"/>
    </row>
    <row r="6" spans="1:8" s="1075" customFormat="1" ht="41.25" customHeight="1" x14ac:dyDescent="0.2">
      <c r="A6" s="2360" t="s">
        <v>1691</v>
      </c>
      <c r="B6" s="2361"/>
      <c r="C6" s="2361"/>
      <c r="D6" s="2361"/>
      <c r="E6" s="2361"/>
      <c r="F6" s="236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5916937</v>
      </c>
      <c r="C8" s="1815">
        <f>'Acct Summary 7-8'!D8</f>
        <v>1099446</v>
      </c>
      <c r="D8" s="1815">
        <f>'Acct Summary 7-8'!F8</f>
        <v>653180</v>
      </c>
      <c r="E8" s="1815">
        <f>'Acct Summary 7-8'!I8</f>
        <v>88846</v>
      </c>
      <c r="F8" s="1815">
        <f>SUM(B8:E8)</f>
        <v>7758409</v>
      </c>
    </row>
    <row r="9" spans="1:8" s="1079" customFormat="1" ht="14.25" customHeight="1" thickBot="1" x14ac:dyDescent="0.25">
      <c r="A9" s="1078" t="s">
        <v>1369</v>
      </c>
      <c r="B9" s="1816">
        <f>'Acct Summary 7-8'!C17</f>
        <v>5580967</v>
      </c>
      <c r="C9" s="1816">
        <f>'Acct Summary 7-8'!D17</f>
        <v>1056533</v>
      </c>
      <c r="D9" s="1816">
        <f>'Acct Summary 7-8'!F17</f>
        <v>578568</v>
      </c>
      <c r="E9" s="1815"/>
      <c r="F9" s="1815">
        <f>SUM(B9:E9)</f>
        <v>7216068</v>
      </c>
    </row>
    <row r="10" spans="1:8" s="1079" customFormat="1" ht="14.25" thickTop="1" thickBot="1" x14ac:dyDescent="0.25">
      <c r="A10" s="1080" t="s">
        <v>1370</v>
      </c>
      <c r="B10" s="1817">
        <f>(B8-B9)</f>
        <v>335970</v>
      </c>
      <c r="C10" s="1817">
        <f>(C8-C9)</f>
        <v>42913</v>
      </c>
      <c r="D10" s="1817">
        <f>(D8-D9)</f>
        <v>74612</v>
      </c>
      <c r="E10" s="1816">
        <f>(E8-E9)</f>
        <v>88846</v>
      </c>
      <c r="F10" s="1818">
        <f>SUM(F8-F9)</f>
        <v>542341</v>
      </c>
    </row>
    <row r="11" spans="1:8" s="1079" customFormat="1" ht="14.25" thickTop="1" thickBot="1" x14ac:dyDescent="0.25">
      <c r="A11" s="1081" t="s">
        <v>1985</v>
      </c>
      <c r="B11" s="1819">
        <f>'Acct Summary 7-8'!C81</f>
        <v>7982991</v>
      </c>
      <c r="C11" s="1819">
        <f>'Acct Summary 7-8'!D81</f>
        <v>1954353</v>
      </c>
      <c r="D11" s="1819">
        <f>'Acct Summary 7-8'!F81</f>
        <v>1778542</v>
      </c>
      <c r="E11" s="1819">
        <f>'Acct Summary 7-8'!I81</f>
        <v>679310</v>
      </c>
      <c r="F11" s="1820">
        <f>SUM(B11:E11)</f>
        <v>12395196</v>
      </c>
    </row>
    <row r="12" spans="1:8" ht="16.5" customHeight="1" thickTop="1" x14ac:dyDescent="0.2">
      <c r="A12" s="1082"/>
      <c r="B12" s="1083"/>
      <c r="C12" s="2348" t="str">
        <f>IF(AND(F10&lt;0,F11&gt;=0,ABS(F10*3)&gt;ABS(F11)),A16,IF(AND(F10&lt;0,F11&gt;0,ABS(F10*3)&lt;=ABS(F11)),A17,IF(AND(F10&lt;0,F11&lt;0),A16,IF(F11=0,A19,A18))))</f>
        <v>Balanced - no deficit reduction plan is required.</v>
      </c>
      <c r="D12" s="2349"/>
      <c r="E12" s="2349"/>
      <c r="F12" s="2350"/>
    </row>
    <row r="13" spans="1:8" ht="19.5" customHeight="1" x14ac:dyDescent="0.2">
      <c r="A13" s="1084"/>
      <c r="B13" s="1085"/>
      <c r="C13" s="2348"/>
      <c r="D13" s="2349"/>
      <c r="E13" s="2349"/>
      <c r="F13" s="2350"/>
      <c r="H13" s="1074"/>
    </row>
    <row r="14" spans="1:8" ht="19.5" customHeight="1" x14ac:dyDescent="0.2">
      <c r="A14" s="1084"/>
      <c r="B14" s="1085"/>
      <c r="C14" s="2348"/>
      <c r="D14" s="2349"/>
      <c r="E14" s="2349"/>
      <c r="F14" s="2350"/>
      <c r="H14" s="1074"/>
    </row>
    <row r="15" spans="1:8" ht="17.25" customHeight="1" x14ac:dyDescent="0.2">
      <c r="A15" s="1084"/>
      <c r="B15" s="1085"/>
      <c r="C15" s="2351"/>
      <c r="D15" s="2352"/>
      <c r="E15" s="2352"/>
      <c r="F15" s="2353"/>
      <c r="H15" s="1074"/>
    </row>
    <row r="16" spans="1:8" s="310" customFormat="1" ht="51.75" hidden="1" customHeight="1" x14ac:dyDescent="0.2">
      <c r="A16" s="2347" t="s">
        <v>1687</v>
      </c>
      <c r="B16" s="2347"/>
      <c r="C16" s="2347"/>
      <c r="D16" s="2347"/>
      <c r="E16" s="234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D69" sqref="D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9" t="s">
        <v>665</v>
      </c>
      <c r="B3" s="2370"/>
      <c r="C3" s="2370"/>
      <c r="D3" s="237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0" t="s">
        <v>1504</v>
      </c>
      <c r="D7" s="2381"/>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2" t="s">
        <v>1008</v>
      </c>
      <c r="B15" s="2373"/>
      <c r="C15" s="2373"/>
      <c r="D15" s="2374"/>
    </row>
    <row r="16" spans="1:4" s="668" customFormat="1" ht="24" customHeight="1" x14ac:dyDescent="0.2">
      <c r="A16" s="2375" t="s">
        <v>663</v>
      </c>
      <c r="B16" s="2376"/>
      <c r="C16" s="2376"/>
      <c r="D16" s="237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4" t="s">
        <v>314</v>
      </c>
      <c r="D21" s="2385"/>
    </row>
    <row r="22" spans="1:10" ht="12.75" x14ac:dyDescent="0.2">
      <c r="A22" s="1139"/>
      <c r="B22" s="1140">
        <v>2</v>
      </c>
      <c r="C22" s="2382" t="s">
        <v>1524</v>
      </c>
      <c r="D22" s="238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6" t="s">
        <v>536</v>
      </c>
      <c r="D43" s="238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8" t="s">
        <v>784</v>
      </c>
      <c r="D56" s="237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ERROR!</v>
      </c>
    </row>
    <row r="70" spans="1:4" x14ac:dyDescent="0.2">
      <c r="A70" s="1098"/>
      <c r="B70" s="1120">
        <f>B66+1</f>
        <v>9</v>
      </c>
      <c r="C70" s="2378" t="s">
        <v>1696</v>
      </c>
      <c r="D70" s="237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8008308026</v>
      </c>
    </row>
    <row r="3" spans="1:2" x14ac:dyDescent="0.2">
      <c r="A3" t="s">
        <v>956</v>
      </c>
      <c r="B3" s="138" t="str">
        <f>COVER!A15</f>
        <v>Carroll</v>
      </c>
    </row>
    <row r="4" spans="1:2" x14ac:dyDescent="0.2">
      <c r="A4" t="s">
        <v>1007</v>
      </c>
      <c r="B4" s="138" t="str">
        <f>COVER!A17</f>
        <v>Eastland CUSD 308</v>
      </c>
    </row>
    <row r="5" spans="1:2" x14ac:dyDescent="0.2">
      <c r="A5" t="s">
        <v>704</v>
      </c>
      <c r="B5" s="138" t="str">
        <f>COVER!A38</f>
        <v>Alex Kashner</v>
      </c>
    </row>
    <row r="6" spans="1:2" x14ac:dyDescent="0.2">
      <c r="A6" t="s">
        <v>709</v>
      </c>
      <c r="B6" s="138">
        <f>COVER!P35</f>
        <v>0</v>
      </c>
    </row>
    <row r="7" spans="1:2" x14ac:dyDescent="0.2">
      <c r="A7" t="s">
        <v>705</v>
      </c>
      <c r="B7" s="138">
        <f>COVER!I38</f>
        <v>0</v>
      </c>
    </row>
    <row r="8" spans="1:2" x14ac:dyDescent="0.2">
      <c r="A8" t="s">
        <v>706</v>
      </c>
      <c r="B8" s="138" t="str">
        <f>COVER!T38</f>
        <v>Aaron Mercier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660000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7982991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7982991</v>
      </c>
      <c r="D92" s="2" t="str">
        <f t="shared" si="0"/>
        <v>Error?</v>
      </c>
    </row>
    <row r="93" spans="1:4" x14ac:dyDescent="0.2">
      <c r="A93" s="5">
        <v>32</v>
      </c>
      <c r="B93" s="138">
        <f>'Assets-Liab 5-6'!C41</f>
        <v>7982991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1954353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1954353</v>
      </c>
      <c r="D123" s="2" t="str">
        <f t="shared" si="0"/>
        <v>Error?</v>
      </c>
    </row>
    <row r="124" spans="1:4" x14ac:dyDescent="0.2">
      <c r="A124" s="5">
        <v>63</v>
      </c>
      <c r="B124" s="138">
        <f>'Assets-Liab 5-6'!D41</f>
        <v>1954353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380309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380309</v>
      </c>
      <c r="D140" s="2" t="str">
        <f t="shared" si="1"/>
        <v>Error?</v>
      </c>
    </row>
    <row r="141" spans="1:4" x14ac:dyDescent="0.2">
      <c r="A141" s="5">
        <v>80</v>
      </c>
      <c r="B141" s="138">
        <f>'Assets-Liab 5-6'!E41</f>
        <v>380309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1778542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1778542</v>
      </c>
      <c r="D170" s="2" t="str">
        <f t="shared" si="1"/>
        <v>Error?</v>
      </c>
    </row>
    <row r="171" spans="1:4" x14ac:dyDescent="0.2">
      <c r="A171" s="5">
        <v>110</v>
      </c>
      <c r="B171" s="138">
        <f>'Assets-Liab 5-6'!F41</f>
        <v>1778542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183091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154824</v>
      </c>
      <c r="D189" s="2" t="str">
        <f t="shared" si="1"/>
        <v>Error?</v>
      </c>
    </row>
    <row r="190" spans="1:4" x14ac:dyDescent="0.2">
      <c r="A190" s="5">
        <v>129</v>
      </c>
      <c r="B190" s="138">
        <f>'Assets-Liab 5-6'!G41</f>
        <v>183091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711580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711580</v>
      </c>
      <c r="D212" s="2" t="str">
        <f t="shared" si="2"/>
        <v>Error?</v>
      </c>
    </row>
    <row r="213" spans="1:4" x14ac:dyDescent="0.2">
      <c r="A213" s="12">
        <v>152</v>
      </c>
      <c r="B213" s="138">
        <f>'Assets-Liab 5-6'!H41</f>
        <v>711580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63500</v>
      </c>
      <c r="D273" s="2" t="str">
        <f t="shared" si="3"/>
        <v>Error?</v>
      </c>
    </row>
    <row r="274" spans="1:4" x14ac:dyDescent="0.2">
      <c r="A274" s="5">
        <v>213</v>
      </c>
      <c r="B274" s="138">
        <f>'Assets-Liab 5-6'!M17</f>
        <v>23024088</v>
      </c>
      <c r="D274" s="2" t="str">
        <f t="shared" si="3"/>
        <v>Error?</v>
      </c>
    </row>
    <row r="275" spans="1:4" x14ac:dyDescent="0.2">
      <c r="A275" s="5">
        <v>214</v>
      </c>
      <c r="B275" s="138">
        <f>'Assets-Liab 5-6'!M18</f>
        <v>873597</v>
      </c>
      <c r="D275" s="2" t="str">
        <f t="shared" si="3"/>
        <v>Error?</v>
      </c>
    </row>
    <row r="276" spans="1:4" x14ac:dyDescent="0.2">
      <c r="A276" s="5">
        <v>215</v>
      </c>
      <c r="B276" s="138">
        <f>'Assets-Liab 5-6'!M19</f>
        <v>2854245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26815430</v>
      </c>
      <c r="C279" s="2" t="s">
        <v>573</v>
      </c>
      <c r="D279" s="2" t="str">
        <f t="shared" si="3"/>
        <v>Error?</v>
      </c>
    </row>
    <row r="280" spans="1:4" x14ac:dyDescent="0.2">
      <c r="A280" s="5">
        <v>219</v>
      </c>
      <c r="B280" s="138">
        <f>'Assets-Liab 5-6'!M40</f>
        <v>26815430</v>
      </c>
      <c r="D280" s="2" t="str">
        <f t="shared" si="3"/>
        <v>Error?</v>
      </c>
    </row>
    <row r="281" spans="1:4" x14ac:dyDescent="0.2">
      <c r="A281" s="5">
        <v>220</v>
      </c>
      <c r="B281" s="138">
        <f>'Assets-Liab 5-6'!M41</f>
        <v>26815430</v>
      </c>
      <c r="C281" s="2" t="s">
        <v>573</v>
      </c>
      <c r="D281" s="2" t="str">
        <f t="shared" si="3"/>
        <v>Error?</v>
      </c>
    </row>
    <row r="282" spans="1:4" x14ac:dyDescent="0.2">
      <c r="A282" s="5">
        <v>221</v>
      </c>
      <c r="B282" s="138">
        <f>'Assets-Liab 5-6'!N21</f>
        <v>380309</v>
      </c>
      <c r="D282" s="2" t="str">
        <f t="shared" si="3"/>
        <v>Error?</v>
      </c>
    </row>
    <row r="283" spans="1:4" x14ac:dyDescent="0.2">
      <c r="A283" s="5">
        <v>222</v>
      </c>
      <c r="B283" s="138">
        <f>'Assets-Liab 5-6'!N22</f>
        <v>8003219</v>
      </c>
      <c r="D283" s="2" t="str">
        <f t="shared" si="3"/>
        <v>Error?</v>
      </c>
    </row>
    <row r="284" spans="1:4" x14ac:dyDescent="0.2">
      <c r="A284" s="5">
        <v>223</v>
      </c>
      <c r="B284" s="138">
        <f>'Assets-Liab 5-6'!N23</f>
        <v>8383528</v>
      </c>
      <c r="C284" s="2" t="s">
        <v>573</v>
      </c>
      <c r="D284" s="2" t="str">
        <f t="shared" si="3"/>
        <v>Error?</v>
      </c>
    </row>
    <row r="285" spans="1:4" x14ac:dyDescent="0.2">
      <c r="A285" s="5">
        <v>224</v>
      </c>
      <c r="B285" s="138">
        <f>'Assets-Liab 5-6'!N36</f>
        <v>8383528</v>
      </c>
      <c r="D285" s="2" t="str">
        <f t="shared" si="3"/>
        <v>Error?</v>
      </c>
    </row>
    <row r="286" spans="1:4" x14ac:dyDescent="0.2">
      <c r="A286" s="10">
        <v>225</v>
      </c>
      <c r="D286" s="2" t="str">
        <f t="shared" si="3"/>
        <v>OK</v>
      </c>
    </row>
    <row r="287" spans="1:4" x14ac:dyDescent="0.2">
      <c r="A287" s="5">
        <v>226</v>
      </c>
      <c r="B287" s="138">
        <f>'Assets-Liab 5-6'!N37</f>
        <v>8383528</v>
      </c>
      <c r="C287" s="2" t="s">
        <v>573</v>
      </c>
      <c r="D287" s="2" t="str">
        <f t="shared" si="3"/>
        <v>Error?</v>
      </c>
    </row>
    <row r="288" spans="1:4" x14ac:dyDescent="0.2">
      <c r="A288" s="5">
        <v>227</v>
      </c>
      <c r="B288" s="138">
        <f>'Assets-Liab 5-6'!N41</f>
        <v>8383528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2357617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146874</v>
      </c>
      <c r="D717" s="2" t="str">
        <f t="shared" si="10"/>
        <v>Error?</v>
      </c>
    </row>
    <row r="718" spans="1:4" x14ac:dyDescent="0.2">
      <c r="A718" s="5">
        <v>657</v>
      </c>
      <c r="B718" s="138">
        <f>'Expenditures 15-22'!C14</f>
        <v>107666</v>
      </c>
      <c r="D718" s="2" t="str">
        <f t="shared" si="10"/>
        <v>Error?</v>
      </c>
    </row>
    <row r="719" spans="1:4" x14ac:dyDescent="0.2">
      <c r="A719" s="5">
        <v>658</v>
      </c>
      <c r="B719" s="138">
        <f>'Expenditures 15-22'!C15</f>
        <v>8289</v>
      </c>
      <c r="D719" s="2" t="str">
        <f t="shared" si="10"/>
        <v>Error?</v>
      </c>
    </row>
    <row r="720" spans="1:4" x14ac:dyDescent="0.2">
      <c r="A720" s="5">
        <v>659</v>
      </c>
      <c r="B720" s="138">
        <f>'Expenditures 15-22'!C33</f>
        <v>3099583</v>
      </c>
      <c r="C720" s="2" t="s">
        <v>573</v>
      </c>
      <c r="D720" s="2" t="str">
        <f t="shared" si="10"/>
        <v>Error?</v>
      </c>
    </row>
    <row r="721" spans="1:4" x14ac:dyDescent="0.2">
      <c r="A721" s="5">
        <v>660</v>
      </c>
      <c r="B721" s="138">
        <f>'Expenditures 15-22'!C36</f>
        <v>42534</v>
      </c>
      <c r="D721" s="2" t="str">
        <f t="shared" si="10"/>
        <v>Error?</v>
      </c>
    </row>
    <row r="722" spans="1:4" x14ac:dyDescent="0.2">
      <c r="A722" s="5">
        <v>661</v>
      </c>
      <c r="B722" s="138">
        <f>'Expenditures 15-22'!C37</f>
        <v>61579</v>
      </c>
      <c r="D722" s="2" t="str">
        <f t="shared" si="10"/>
        <v>Error?</v>
      </c>
    </row>
    <row r="723" spans="1:4" x14ac:dyDescent="0.2">
      <c r="A723" s="5">
        <v>662</v>
      </c>
      <c r="B723" s="138">
        <f>'Expenditures 15-22'!C38</f>
        <v>26359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130472</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102891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102891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136850</v>
      </c>
      <c r="D733" s="2" t="str">
        <f t="shared" si="10"/>
        <v>Error?</v>
      </c>
    </row>
    <row r="734" spans="1:4" x14ac:dyDescent="0.2">
      <c r="A734" s="5">
        <v>673</v>
      </c>
      <c r="B734" s="138">
        <f>'Expenditures 15-22'!C53</f>
        <v>136850</v>
      </c>
      <c r="C734" s="2" t="s">
        <v>573</v>
      </c>
      <c r="D734" s="2" t="str">
        <f t="shared" si="10"/>
        <v>Error?</v>
      </c>
    </row>
    <row r="735" spans="1:4" x14ac:dyDescent="0.2">
      <c r="A735" s="5">
        <v>674</v>
      </c>
      <c r="B735" s="138">
        <f>'Expenditures 15-22'!C55</f>
        <v>257697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257697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75867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119264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195131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823041</v>
      </c>
      <c r="C755" s="2" t="s">
        <v>573</v>
      </c>
      <c r="D755" s="2" t="str">
        <f t="shared" si="10"/>
        <v>Error?</v>
      </c>
    </row>
    <row r="756" spans="1:4" x14ac:dyDescent="0.2">
      <c r="A756" s="5">
        <v>695</v>
      </c>
      <c r="B756" s="138">
        <f>'Expenditures 15-22'!C75</f>
        <v>867</v>
      </c>
      <c r="D756" s="2" t="str">
        <f t="shared" si="10"/>
        <v>Error?</v>
      </c>
    </row>
    <row r="757" spans="1:4" x14ac:dyDescent="0.2">
      <c r="A757" s="5">
        <v>696</v>
      </c>
      <c r="B757" s="138">
        <f>'Expenditures 15-22'!C114</f>
        <v>3923491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541590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35998</v>
      </c>
      <c r="D775" s="2" t="str">
        <f t="shared" si="11"/>
        <v>Error?</v>
      </c>
    </row>
    <row r="776" spans="1:4" x14ac:dyDescent="0.2">
      <c r="A776" s="5">
        <v>715</v>
      </c>
      <c r="B776" s="138">
        <f>'Expenditures 15-22'!D14</f>
        <v>9351</v>
      </c>
      <c r="D776" s="2" t="str">
        <f t="shared" si="11"/>
        <v>Error?</v>
      </c>
    </row>
    <row r="777" spans="1:4" x14ac:dyDescent="0.2">
      <c r="A777" s="5">
        <v>716</v>
      </c>
      <c r="B777" s="138">
        <f>'Expenditures 15-22'!D15</f>
        <v>124</v>
      </c>
      <c r="D777" s="2" t="str">
        <f t="shared" si="11"/>
        <v>Error?</v>
      </c>
    </row>
    <row r="778" spans="1:4" x14ac:dyDescent="0.2">
      <c r="A778" s="5">
        <v>717</v>
      </c>
      <c r="B778" s="138">
        <f>'Expenditures 15-22'!D33</f>
        <v>660676</v>
      </c>
      <c r="C778" s="2" t="s">
        <v>573</v>
      </c>
      <c r="D778" s="2" t="str">
        <f t="shared" si="11"/>
        <v>Error?</v>
      </c>
    </row>
    <row r="779" spans="1:4" x14ac:dyDescent="0.2">
      <c r="A779" s="5">
        <v>718</v>
      </c>
      <c r="B779" s="138">
        <f>'Expenditures 15-22'!D36</f>
        <v>12262</v>
      </c>
      <c r="D779" s="2" t="str">
        <f t="shared" si="11"/>
        <v>Error?</v>
      </c>
    </row>
    <row r="780" spans="1:4" x14ac:dyDescent="0.2">
      <c r="A780" s="5">
        <v>719</v>
      </c>
      <c r="B780" s="138">
        <f>'Expenditures 15-22'!D37</f>
        <v>15346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27608</v>
      </c>
      <c r="C785" s="2" t="s">
        <v>573</v>
      </c>
      <c r="D785" s="2" t="str">
        <f t="shared" si="11"/>
        <v>Error?</v>
      </c>
    </row>
    <row r="786" spans="1:4" x14ac:dyDescent="0.2">
      <c r="A786" s="5">
        <v>725</v>
      </c>
      <c r="B786" s="138">
        <f>'Expenditures 15-22'!D44</f>
        <v>13378</v>
      </c>
      <c r="D786" s="2" t="str">
        <f t="shared" si="11"/>
        <v>Error?</v>
      </c>
    </row>
    <row r="787" spans="1:4" x14ac:dyDescent="0.2">
      <c r="A787" s="5">
        <v>726</v>
      </c>
      <c r="B787" s="138">
        <f>'Expenditures 15-22'!D45</f>
        <v>22735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36113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36414</v>
      </c>
      <c r="D791" s="2" t="str">
        <f t="shared" si="11"/>
        <v>Error?</v>
      </c>
    </row>
    <row r="792" spans="1:4" x14ac:dyDescent="0.2">
      <c r="A792" s="5">
        <v>731</v>
      </c>
      <c r="B792" s="138">
        <f>'Expenditures 15-22'!D53</f>
        <v>36414</v>
      </c>
      <c r="C792" s="2" t="s">
        <v>573</v>
      </c>
      <c r="D792" s="2" t="str">
        <f t="shared" si="11"/>
        <v>Error?</v>
      </c>
    </row>
    <row r="793" spans="1:4" x14ac:dyDescent="0.2">
      <c r="A793" s="5">
        <v>732</v>
      </c>
      <c r="B793" s="138">
        <f>'Expenditures 15-22'!D55</f>
        <v>88215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88215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11423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8906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20329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208679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869355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6151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61504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91422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2919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2919</v>
      </c>
      <c r="C843" s="2" t="s">
        <v>573</v>
      </c>
      <c r="D843" s="2" t="str">
        <f t="shared" si="12"/>
        <v>Error?</v>
      </c>
    </row>
    <row r="844" spans="1:4" x14ac:dyDescent="0.2">
      <c r="A844" s="5">
        <v>783</v>
      </c>
      <c r="B844" s="138">
        <f>'Expenditures 15-22'!E44</f>
        <v>25383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11988</v>
      </c>
      <c r="D846" s="2" t="str">
        <f t="shared" si="12"/>
        <v>Error?</v>
      </c>
    </row>
    <row r="847" spans="1:4" x14ac:dyDescent="0.2">
      <c r="A847" s="5">
        <v>786</v>
      </c>
      <c r="B847" s="138">
        <f>'Expenditures 15-22'!E47</f>
        <v>37371</v>
      </c>
      <c r="C847" s="2" t="s">
        <v>573</v>
      </c>
      <c r="D847" s="2" t="str">
        <f t="shared" si="12"/>
        <v>Error?</v>
      </c>
    </row>
    <row r="848" spans="1:4" x14ac:dyDescent="0.2">
      <c r="A848" s="5">
        <v>787</v>
      </c>
      <c r="B848" s="138">
        <f>'Expenditures 15-22'!E49</f>
        <v>57095</v>
      </c>
      <c r="D848" s="2" t="str">
        <f t="shared" si="12"/>
        <v>Error?</v>
      </c>
    </row>
    <row r="849" spans="1:4" x14ac:dyDescent="0.2">
      <c r="A849" s="5">
        <v>788</v>
      </c>
      <c r="B849" s="138">
        <f>'Expenditures 15-22'!E50</f>
        <v>2914</v>
      </c>
      <c r="D849" s="2" t="str">
        <f t="shared" si="12"/>
        <v>Error?</v>
      </c>
    </row>
    <row r="850" spans="1:4" x14ac:dyDescent="0.2">
      <c r="A850" s="5">
        <v>789</v>
      </c>
      <c r="B850" s="138">
        <f>'Expenditures 15-22'!E53</f>
        <v>60009</v>
      </c>
      <c r="C850" s="2" t="s">
        <v>573</v>
      </c>
      <c r="D850" s="2" t="str">
        <f t="shared" si="12"/>
        <v>Error?</v>
      </c>
    </row>
    <row r="851" spans="1:4" x14ac:dyDescent="0.2">
      <c r="A851" s="5">
        <v>790</v>
      </c>
      <c r="B851" s="138">
        <f>'Expenditures 15-22'!E55</f>
        <v>4657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4657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680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2059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2739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107695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199117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127583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10848</v>
      </c>
      <c r="D891" s="2" t="str">
        <f t="shared" si="12"/>
        <v>Error?</v>
      </c>
    </row>
    <row r="892" spans="1:4" x14ac:dyDescent="0.2">
      <c r="A892" s="5">
        <v>831</v>
      </c>
      <c r="B892" s="138">
        <f>'Expenditures 15-22'!F14</f>
        <v>42831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185088</v>
      </c>
      <c r="C894" s="2" t="s">
        <v>573</v>
      </c>
      <c r="D894" s="2" t="str">
        <f t="shared" si="12"/>
        <v>Error?</v>
      </c>
    </row>
    <row r="895" spans="1:4" x14ac:dyDescent="0.2">
      <c r="A895" s="5">
        <v>834</v>
      </c>
      <c r="B895" s="138">
        <f>'Expenditures 15-22'!F36</f>
        <v>591</v>
      </c>
      <c r="D895" s="2" t="str">
        <f t="shared" ref="D895:D958" si="13">IF(ISBLANK(B895),"OK",IF(A895-B895=0,"OK","Error?"))</f>
        <v>Error?</v>
      </c>
    </row>
    <row r="896" spans="1:4" x14ac:dyDescent="0.2">
      <c r="A896" s="5">
        <v>835</v>
      </c>
      <c r="B896" s="138">
        <f>'Expenditures 15-22'!F37</f>
        <v>344</v>
      </c>
      <c r="D896" s="2" t="str">
        <f t="shared" si="13"/>
        <v>Error?</v>
      </c>
    </row>
    <row r="897" spans="1:4" x14ac:dyDescent="0.2">
      <c r="A897" s="5">
        <v>836</v>
      </c>
      <c r="B897" s="138">
        <f>'Expenditures 15-22'!F38</f>
        <v>1640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2575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15037</v>
      </c>
      <c r="D903" s="2" t="str">
        <f t="shared" si="13"/>
        <v>Error?</v>
      </c>
    </row>
    <row r="904" spans="1:4" x14ac:dyDescent="0.2">
      <c r="A904" s="5">
        <v>843</v>
      </c>
      <c r="B904" s="138">
        <f>'Expenditures 15-22'!F46</f>
        <v>7291</v>
      </c>
      <c r="D904" s="2" t="str">
        <f t="shared" si="13"/>
        <v>Error?</v>
      </c>
    </row>
    <row r="905" spans="1:4" x14ac:dyDescent="0.2">
      <c r="A905" s="5">
        <v>844</v>
      </c>
      <c r="B905" s="138">
        <f>'Expenditures 15-22'!F47</f>
        <v>22328</v>
      </c>
      <c r="C905" s="2" t="s">
        <v>573</v>
      </c>
      <c r="D905" s="2" t="str">
        <f t="shared" si="13"/>
        <v>Error?</v>
      </c>
    </row>
    <row r="906" spans="1:4" x14ac:dyDescent="0.2">
      <c r="A906" s="5">
        <v>845</v>
      </c>
      <c r="B906" s="138">
        <f>'Expenditures 15-22'!F49</f>
        <v>1520</v>
      </c>
      <c r="D906" s="2" t="str">
        <f t="shared" si="13"/>
        <v>Error?</v>
      </c>
    </row>
    <row r="907" spans="1:4" x14ac:dyDescent="0.2">
      <c r="A907" s="5">
        <v>846</v>
      </c>
      <c r="B907" s="138">
        <f>'Expenditures 15-22'!F50</f>
        <v>487</v>
      </c>
      <c r="D907" s="2" t="str">
        <f t="shared" si="13"/>
        <v>Error?</v>
      </c>
    </row>
    <row r="908" spans="1:4" x14ac:dyDescent="0.2">
      <c r="A908" s="5">
        <v>847</v>
      </c>
      <c r="B908" s="138">
        <f>'Expenditures 15-22'!F53</f>
        <v>2007</v>
      </c>
      <c r="C908" s="2" t="s">
        <v>573</v>
      </c>
      <c r="D908" s="2" t="str">
        <f t="shared" si="13"/>
        <v>Error?</v>
      </c>
    </row>
    <row r="909" spans="1:4" x14ac:dyDescent="0.2">
      <c r="A909" s="5">
        <v>848</v>
      </c>
      <c r="B909" s="138">
        <f>'Expenditures 15-22'!F55</f>
        <v>6032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6032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188450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188450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221392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406480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55023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3960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58983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58983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123296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123541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3087964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193720</v>
      </c>
      <c r="C1105" s="2" t="s">
        <v>573</v>
      </c>
      <c r="D1105" s="2" t="str">
        <f t="shared" si="16"/>
        <v>Error?</v>
      </c>
    </row>
    <row r="1106" spans="1:4" x14ac:dyDescent="0.2">
      <c r="A1106" s="5">
        <v>1045</v>
      </c>
      <c r="B1106" s="138">
        <f>'Expenditures 15-22'!K14</f>
        <v>225312</v>
      </c>
      <c r="C1106" s="2" t="s">
        <v>573</v>
      </c>
      <c r="D1106" s="2" t="str">
        <f t="shared" si="16"/>
        <v>Error?</v>
      </c>
    </row>
    <row r="1107" spans="1:4" x14ac:dyDescent="0.2">
      <c r="A1107" s="5">
        <v>1046</v>
      </c>
      <c r="B1107" s="138">
        <f>'Expenditures 15-22'!K15</f>
        <v>8413</v>
      </c>
      <c r="C1107" s="2" t="s">
        <v>573</v>
      </c>
      <c r="D1107" s="2" t="str">
        <f t="shared" si="16"/>
        <v>Error?</v>
      </c>
    </row>
    <row r="1108" spans="1:4" x14ac:dyDescent="0.2">
      <c r="A1108" s="5">
        <v>1047</v>
      </c>
      <c r="B1108" s="138">
        <f>'Expenditures 15-22'!K33</f>
        <v>4095997</v>
      </c>
      <c r="C1108" s="2" t="s">
        <v>573</v>
      </c>
      <c r="D1108" s="2" t="str">
        <f t="shared" si="16"/>
        <v>Error?</v>
      </c>
    </row>
    <row r="1109" spans="1:4" x14ac:dyDescent="0.2">
      <c r="A1109" s="5">
        <v>1048</v>
      </c>
      <c r="B1109" s="138">
        <f>'Expenditures 15-22'!K36</f>
        <v>55387</v>
      </c>
      <c r="C1109" s="2" t="s">
        <v>573</v>
      </c>
      <c r="D1109" s="2" t="str">
        <f t="shared" si="16"/>
        <v>Error?</v>
      </c>
    </row>
    <row r="1110" spans="1:4" x14ac:dyDescent="0.2">
      <c r="A1110" s="5">
        <v>1049</v>
      </c>
      <c r="B1110" s="138">
        <f>'Expenditures 15-22'!K37</f>
        <v>77269</v>
      </c>
      <c r="C1110" s="2" t="s">
        <v>573</v>
      </c>
      <c r="D1110" s="2" t="str">
        <f t="shared" si="16"/>
        <v>Error?</v>
      </c>
    </row>
    <row r="1111" spans="1:4" x14ac:dyDescent="0.2">
      <c r="A1111" s="5">
        <v>1050</v>
      </c>
      <c r="B1111" s="138">
        <f>'Expenditures 15-22'!K38</f>
        <v>30918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163574</v>
      </c>
      <c r="C1115" s="2" t="s">
        <v>573</v>
      </c>
      <c r="D1115" s="2" t="str">
        <f t="shared" si="16"/>
        <v>Error?</v>
      </c>
    </row>
    <row r="1116" spans="1:4" x14ac:dyDescent="0.2">
      <c r="A1116" s="5">
        <v>1055</v>
      </c>
      <c r="B1116" s="138">
        <f>'Expenditures 15-22'!K44</f>
        <v>38761</v>
      </c>
      <c r="C1116" s="2" t="s">
        <v>573</v>
      </c>
      <c r="D1116" s="2" t="str">
        <f t="shared" si="16"/>
        <v>Error?</v>
      </c>
    </row>
    <row r="1117" spans="1:4" x14ac:dyDescent="0.2">
      <c r="A1117" s="5">
        <v>1056</v>
      </c>
      <c r="B1117" s="138">
        <f>'Expenditures 15-22'!K45</f>
        <v>140663</v>
      </c>
      <c r="C1117" s="2" t="s">
        <v>573</v>
      </c>
      <c r="D1117" s="2" t="str">
        <f t="shared" si="16"/>
        <v>Error?</v>
      </c>
    </row>
    <row r="1118" spans="1:4" x14ac:dyDescent="0.2">
      <c r="A1118" s="5">
        <v>1057</v>
      </c>
      <c r="B1118" s="138">
        <f>'Expenditures 15-22'!K46</f>
        <v>19279</v>
      </c>
      <c r="C1118" s="2" t="s">
        <v>573</v>
      </c>
      <c r="D1118" s="2" t="str">
        <f t="shared" si="16"/>
        <v>Error?</v>
      </c>
    </row>
    <row r="1119" spans="1:4" x14ac:dyDescent="0.2">
      <c r="A1119" s="5">
        <v>1058</v>
      </c>
      <c r="B1119" s="138">
        <f>'Expenditures 15-22'!K47</f>
        <v>198703</v>
      </c>
      <c r="C1119" s="2" t="s">
        <v>573</v>
      </c>
      <c r="D1119" s="2" t="str">
        <f t="shared" si="16"/>
        <v>Error?</v>
      </c>
    </row>
    <row r="1120" spans="1:4" x14ac:dyDescent="0.2">
      <c r="A1120" s="5">
        <v>1059</v>
      </c>
      <c r="B1120" s="138">
        <f>'Expenditures 15-22'!K49</f>
        <v>58615</v>
      </c>
      <c r="C1120" s="2" t="s">
        <v>573</v>
      </c>
      <c r="D1120" s="2" t="str">
        <f t="shared" si="16"/>
        <v>Error?</v>
      </c>
    </row>
    <row r="1121" spans="1:4" x14ac:dyDescent="0.2">
      <c r="A1121" s="5">
        <v>1060</v>
      </c>
      <c r="B1121" s="138">
        <f>'Expenditures 15-22'!K50</f>
        <v>176665</v>
      </c>
      <c r="C1121" s="2" t="s">
        <v>573</v>
      </c>
      <c r="D1121" s="2" t="str">
        <f t="shared" si="16"/>
        <v>Error?</v>
      </c>
    </row>
    <row r="1122" spans="1:4" x14ac:dyDescent="0.2">
      <c r="A1122" s="5">
        <v>1061</v>
      </c>
      <c r="B1122" s="138">
        <f>'Expenditures 15-22'!K53</f>
        <v>235280</v>
      </c>
      <c r="C1122" s="2" t="s">
        <v>573</v>
      </c>
      <c r="D1122" s="2" t="str">
        <f t="shared" si="16"/>
        <v>Error?</v>
      </c>
    </row>
    <row r="1123" spans="1:4" x14ac:dyDescent="0.2">
      <c r="A1123" s="5">
        <v>1062</v>
      </c>
      <c r="B1123" s="138">
        <f>'Expenditures 15-22'!K55</f>
        <v>356601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356601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87970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318679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406649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1360807</v>
      </c>
      <c r="C1143" s="2" t="s">
        <v>573</v>
      </c>
      <c r="D1143" s="2" t="str">
        <f t="shared" si="16"/>
        <v>Error?</v>
      </c>
    </row>
    <row r="1144" spans="1:4" x14ac:dyDescent="0.2">
      <c r="A1144" s="5">
        <v>1083</v>
      </c>
      <c r="B1144" s="138">
        <f>'Expenditures 15-22'!K75</f>
        <v>867</v>
      </c>
      <c r="C1144" s="2" t="s">
        <v>573</v>
      </c>
      <c r="D1144" s="2" t="str">
        <f t="shared" si="16"/>
        <v>Error?</v>
      </c>
    </row>
    <row r="1145" spans="1:4" x14ac:dyDescent="0.2">
      <c r="A1145" s="5">
        <v>1084</v>
      </c>
      <c r="B1145" s="138">
        <f>'Expenditures 15-22'!K102</f>
        <v>123296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5580967</v>
      </c>
      <c r="C1152" s="2" t="s">
        <v>573</v>
      </c>
      <c r="D1152" s="2" t="str">
        <f t="shared" si="17"/>
        <v>Error?</v>
      </c>
    </row>
    <row r="1153" spans="1:4" x14ac:dyDescent="0.2">
      <c r="A1153" s="5">
        <v>1092</v>
      </c>
      <c r="B1153" s="138">
        <f>'Expenditures 15-22'!K115</f>
        <v>335970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295229</v>
      </c>
      <c r="D1221" s="2" t="str">
        <f t="shared" si="18"/>
        <v>Error?</v>
      </c>
    </row>
    <row r="1222" spans="1:4" x14ac:dyDescent="0.2">
      <c r="A1222" s="10">
        <v>1161</v>
      </c>
      <c r="D1222" s="2" t="str">
        <f t="shared" si="18"/>
        <v>OK</v>
      </c>
    </row>
    <row r="1223" spans="1:4" x14ac:dyDescent="0.2">
      <c r="A1223" s="5">
        <v>1162</v>
      </c>
      <c r="B1223" s="138">
        <f>'Expenditures 15-22'!C127</f>
        <v>295229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295229</v>
      </c>
      <c r="C1225" s="2" t="s">
        <v>573</v>
      </c>
      <c r="D1225" s="2" t="str">
        <f t="shared" si="18"/>
        <v>Error?</v>
      </c>
    </row>
    <row r="1226" spans="1:4" x14ac:dyDescent="0.2">
      <c r="A1226" s="5">
        <v>1165</v>
      </c>
      <c r="B1226" s="138">
        <f>'Expenditures 15-22'!C151</f>
        <v>295229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48174</v>
      </c>
      <c r="D1229" s="2" t="str">
        <f t="shared" si="18"/>
        <v>Error?</v>
      </c>
    </row>
    <row r="1230" spans="1:4" x14ac:dyDescent="0.2">
      <c r="A1230" s="10">
        <v>1169</v>
      </c>
      <c r="D1230" s="2" t="str">
        <f t="shared" si="18"/>
        <v>OK</v>
      </c>
    </row>
    <row r="1231" spans="1:4" x14ac:dyDescent="0.2">
      <c r="A1231" s="5">
        <v>1170</v>
      </c>
      <c r="B1231" s="138">
        <f>'Expenditures 15-22'!D127</f>
        <v>48174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48174</v>
      </c>
      <c r="C1233" s="2" t="s">
        <v>573</v>
      </c>
      <c r="D1233" s="2" t="str">
        <f t="shared" si="18"/>
        <v>Error?</v>
      </c>
    </row>
    <row r="1234" spans="1:4" x14ac:dyDescent="0.2">
      <c r="A1234" s="5">
        <v>1173</v>
      </c>
      <c r="B1234" s="138">
        <f>'Expenditures 15-22'!D151</f>
        <v>48174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206397</v>
      </c>
      <c r="D1237" s="2" t="str">
        <f t="shared" si="18"/>
        <v>Error?</v>
      </c>
    </row>
    <row r="1238" spans="1:4" x14ac:dyDescent="0.2">
      <c r="A1238" s="10">
        <v>1177</v>
      </c>
      <c r="D1238" s="2" t="str">
        <f t="shared" si="18"/>
        <v>OK</v>
      </c>
    </row>
    <row r="1239" spans="1:4" x14ac:dyDescent="0.2">
      <c r="A1239" s="5">
        <v>1178</v>
      </c>
      <c r="B1239" s="138">
        <f>'Expenditures 15-22'!E127</f>
        <v>206397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206397</v>
      </c>
      <c r="C1241" s="2" t="s">
        <v>573</v>
      </c>
      <c r="D1241" s="2" t="str">
        <f t="shared" si="18"/>
        <v>Error?</v>
      </c>
    </row>
    <row r="1242" spans="1:4" x14ac:dyDescent="0.2">
      <c r="A1242" s="5">
        <v>1181</v>
      </c>
      <c r="B1242" s="138">
        <f>'Expenditures 15-22'!E151</f>
        <v>206397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265304</v>
      </c>
      <c r="D1245" s="2" t="str">
        <f t="shared" si="18"/>
        <v>Error?</v>
      </c>
    </row>
    <row r="1246" spans="1:4" x14ac:dyDescent="0.2">
      <c r="A1246" s="10">
        <v>1185</v>
      </c>
      <c r="D1246" s="2" t="str">
        <f t="shared" si="18"/>
        <v>OK</v>
      </c>
    </row>
    <row r="1247" spans="1:4" x14ac:dyDescent="0.2">
      <c r="A1247" s="5">
        <v>1186</v>
      </c>
      <c r="B1247" s="138">
        <f>'Expenditures 15-22'!F127</f>
        <v>265304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265304</v>
      </c>
      <c r="C1249" s="2" t="s">
        <v>573</v>
      </c>
      <c r="D1249" s="2" t="str">
        <f t="shared" si="18"/>
        <v>Error?</v>
      </c>
    </row>
    <row r="1250" spans="1:4" x14ac:dyDescent="0.2">
      <c r="A1250" s="5">
        <v>1189</v>
      </c>
      <c r="B1250" s="138">
        <f>'Expenditures 15-22'!F151</f>
        <v>265304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230192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230192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230192</v>
      </c>
      <c r="C1258" s="2" t="s">
        <v>573</v>
      </c>
      <c r="D1258" s="2" t="str">
        <f t="shared" si="18"/>
        <v>Error?</v>
      </c>
    </row>
    <row r="1259" spans="1:4" x14ac:dyDescent="0.2">
      <c r="A1259" s="5">
        <v>1198</v>
      </c>
      <c r="B1259" s="138">
        <f>'Expenditures 15-22'!G151</f>
        <v>230192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11237</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11237</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1045296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1045296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1045296</v>
      </c>
      <c r="C1281" s="2" t="s">
        <v>573</v>
      </c>
      <c r="D1281" s="2" t="str">
        <f t="shared" si="19"/>
        <v>Error?</v>
      </c>
    </row>
    <row r="1282" spans="1:4" x14ac:dyDescent="0.2">
      <c r="A1282" s="5">
        <v>1221</v>
      </c>
      <c r="B1282" s="138">
        <f>'Expenditures 15-22'!K139</f>
        <v>11237</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1056533</v>
      </c>
      <c r="C1288" s="2" t="s">
        <v>573</v>
      </c>
      <c r="D1288" s="2" t="str">
        <f t="shared" si="19"/>
        <v>Error?</v>
      </c>
    </row>
    <row r="1289" spans="1:4" x14ac:dyDescent="0.2">
      <c r="A1289" s="5">
        <v>1228</v>
      </c>
      <c r="B1289" s="138">
        <f>'Expenditures 15-22'!K152</f>
        <v>42913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412446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925660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1338106</v>
      </c>
      <c r="C1317" s="2" t="s">
        <v>573</v>
      </c>
      <c r="D1317" s="2" t="str">
        <f t="shared" si="19"/>
        <v>Error?</v>
      </c>
    </row>
    <row r="1318" spans="1:4" x14ac:dyDescent="0.2">
      <c r="A1318" s="5">
        <v>1257</v>
      </c>
      <c r="B1318" s="138">
        <f>'Expenditures 15-22'!H174</f>
        <v>1338106</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412446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925660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1338106</v>
      </c>
      <c r="C1331" s="2" t="s">
        <v>573</v>
      </c>
      <c r="D1331" s="2" t="str">
        <f t="shared" si="19"/>
        <v>Error?</v>
      </c>
    </row>
    <row r="1332" spans="1:4" x14ac:dyDescent="0.2">
      <c r="A1332" s="5">
        <v>1271</v>
      </c>
      <c r="B1332" s="138">
        <f>'Expenditures 15-22'!K174</f>
        <v>1338106</v>
      </c>
      <c r="C1332" s="2" t="s">
        <v>573</v>
      </c>
      <c r="D1332" s="2" t="str">
        <f t="shared" si="19"/>
        <v>Error?</v>
      </c>
    </row>
    <row r="1333" spans="1:4" x14ac:dyDescent="0.2">
      <c r="A1333" s="5">
        <v>1272</v>
      </c>
      <c r="B1333" s="138">
        <f>'Expenditures 15-22'!K175</f>
        <v>-99492</v>
      </c>
      <c r="C1333" s="2" t="s">
        <v>573</v>
      </c>
      <c r="D1333" s="2" t="str">
        <f t="shared" si="19"/>
        <v>Error?</v>
      </c>
    </row>
    <row r="1334" spans="1:4" x14ac:dyDescent="0.2">
      <c r="A1334" s="10">
        <v>1273</v>
      </c>
      <c r="D1334" s="2" t="str">
        <f t="shared" si="19"/>
        <v>OK</v>
      </c>
    </row>
    <row r="1335" spans="1:4" x14ac:dyDescent="0.2">
      <c r="A1335" s="5">
        <v>1274</v>
      </c>
      <c r="B1335" s="138">
        <f>'Expenditures 15-22'!C182</f>
        <v>275075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275075</v>
      </c>
      <c r="C1339" s="2" t="s">
        <v>573</v>
      </c>
      <c r="D1339" s="2" t="str">
        <f t="shared" si="19"/>
        <v>Error?</v>
      </c>
    </row>
    <row r="1340" spans="1:4" x14ac:dyDescent="0.2">
      <c r="A1340" s="5">
        <v>1279</v>
      </c>
      <c r="B1340" s="138">
        <f>'Expenditures 15-22'!C210</f>
        <v>313802</v>
      </c>
      <c r="C1340" s="2" t="s">
        <v>573</v>
      </c>
      <c r="D1340" s="2" t="str">
        <f t="shared" si="19"/>
        <v>Error?</v>
      </c>
    </row>
    <row r="1341" spans="1:4" x14ac:dyDescent="0.2">
      <c r="A1341" s="5">
        <v>1280</v>
      </c>
      <c r="B1341" s="138">
        <f>'Expenditures 15-22'!D182</f>
        <v>6693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6693</v>
      </c>
      <c r="C1345" s="2" t="s">
        <v>573</v>
      </c>
      <c r="D1345" s="2" t="str">
        <f t="shared" si="20"/>
        <v>Error?</v>
      </c>
    </row>
    <row r="1346" spans="1:4" x14ac:dyDescent="0.2">
      <c r="A1346" s="5">
        <v>1285</v>
      </c>
      <c r="B1346" s="138">
        <f>'Expenditures 15-22'!D210</f>
        <v>7433</v>
      </c>
      <c r="C1346" s="2" t="s">
        <v>573</v>
      </c>
      <c r="D1346" s="2" t="str">
        <f t="shared" si="20"/>
        <v>Error?</v>
      </c>
    </row>
    <row r="1347" spans="1:4" x14ac:dyDescent="0.2">
      <c r="A1347" s="5">
        <v>1286</v>
      </c>
      <c r="B1347" s="138">
        <f>'Expenditures 15-22'!E182</f>
        <v>56423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56423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59175</v>
      </c>
      <c r="C1353" s="2" t="s">
        <v>573</v>
      </c>
      <c r="D1353" s="2" t="str">
        <f t="shared" si="20"/>
        <v>Error?</v>
      </c>
    </row>
    <row r="1354" spans="1:4" x14ac:dyDescent="0.2">
      <c r="A1354" s="5">
        <v>1293</v>
      </c>
      <c r="B1354" s="138">
        <f>'Expenditures 15-22'!F182</f>
        <v>51546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51546</v>
      </c>
      <c r="C1358" s="2" t="s">
        <v>573</v>
      </c>
      <c r="D1358" s="2" t="str">
        <f t="shared" si="20"/>
        <v>Error?</v>
      </c>
    </row>
    <row r="1359" spans="1:4" x14ac:dyDescent="0.2">
      <c r="A1359" s="5">
        <v>1298</v>
      </c>
      <c r="B1359" s="138">
        <f>'Expenditures 15-22'!F210</f>
        <v>54674</v>
      </c>
      <c r="C1359" s="2" t="s">
        <v>573</v>
      </c>
      <c r="D1359" s="2" t="str">
        <f t="shared" si="20"/>
        <v>Error?</v>
      </c>
    </row>
    <row r="1360" spans="1:4" x14ac:dyDescent="0.2">
      <c r="A1360" s="5">
        <v>1299</v>
      </c>
      <c r="B1360" s="138">
        <f>'Expenditures 15-22'!G182</f>
        <v>90915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90915</v>
      </c>
      <c r="C1364" s="2" t="s">
        <v>573</v>
      </c>
      <c r="D1364" s="2" t="str">
        <f t="shared" si="20"/>
        <v>Error?</v>
      </c>
    </row>
    <row r="1365" spans="1:4" x14ac:dyDescent="0.2">
      <c r="A1365" s="5">
        <v>1304</v>
      </c>
      <c r="B1365" s="138">
        <f>'Expenditures 15-22'!G210</f>
        <v>90915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52569</v>
      </c>
      <c r="C1375" s="2" t="s">
        <v>573</v>
      </c>
      <c r="D1375" s="2" t="str">
        <f t="shared" si="20"/>
        <v>Error?</v>
      </c>
    </row>
    <row r="1376" spans="1:4" x14ac:dyDescent="0.2">
      <c r="A1376" s="5">
        <v>1315</v>
      </c>
      <c r="B1376" s="138">
        <f>'Expenditures 15-22'!H210</f>
        <v>52569</v>
      </c>
      <c r="C1376" s="2" t="s">
        <v>573</v>
      </c>
      <c r="D1376" s="2" t="str">
        <f t="shared" si="20"/>
        <v>Error?</v>
      </c>
    </row>
    <row r="1377" spans="1:4" x14ac:dyDescent="0.2">
      <c r="A1377" s="5">
        <v>1316</v>
      </c>
      <c r="B1377" s="138">
        <f>'Expenditures 15-22'!K182</f>
        <v>480652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480652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52569</v>
      </c>
      <c r="C1387" s="2" t="s">
        <v>573</v>
      </c>
      <c r="D1387" s="2" t="str">
        <f t="shared" si="20"/>
        <v>Error?</v>
      </c>
    </row>
    <row r="1388" spans="1:4" x14ac:dyDescent="0.2">
      <c r="A1388" s="5">
        <v>1327</v>
      </c>
      <c r="B1388" s="138">
        <f>'Expenditures 15-22'!K210</f>
        <v>578568</v>
      </c>
      <c r="C1388" s="2" t="s">
        <v>573</v>
      </c>
      <c r="D1388" s="2" t="str">
        <f t="shared" si="20"/>
        <v>Error?</v>
      </c>
    </row>
    <row r="1389" spans="1:4" x14ac:dyDescent="0.2">
      <c r="A1389" s="5">
        <v>1328</v>
      </c>
      <c r="B1389" s="138">
        <f>'Expenditures 15-22'!K211</f>
        <v>74612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1924</v>
      </c>
      <c r="D1407" s="2" t="str">
        <f t="shared" ref="D1407:D1470" si="21">IF(ISBLANK(B1407),"OK",IF(A1407-B1407=0,"OK","Error?"))</f>
        <v>Error?</v>
      </c>
    </row>
    <row r="1408" spans="1:4" x14ac:dyDescent="0.2">
      <c r="A1408" s="5">
        <v>1347</v>
      </c>
      <c r="B1408" s="138">
        <f>'Expenditures 15-22'!D223</f>
        <v>4717</v>
      </c>
      <c r="D1408" s="2" t="str">
        <f t="shared" si="21"/>
        <v>Error?</v>
      </c>
    </row>
    <row r="1409" spans="1:4" x14ac:dyDescent="0.2">
      <c r="A1409" s="5">
        <v>1348</v>
      </c>
      <c r="B1409" s="138">
        <f>'Expenditures 15-22'!D224</f>
        <v>120</v>
      </c>
      <c r="D1409" s="2" t="str">
        <f t="shared" si="21"/>
        <v>Error?</v>
      </c>
    </row>
    <row r="1410" spans="1:4" x14ac:dyDescent="0.2">
      <c r="A1410" s="5">
        <v>1349</v>
      </c>
      <c r="B1410" s="138">
        <f>'Expenditures 15-22'!D229</f>
        <v>87712</v>
      </c>
      <c r="C1410" s="2" t="s">
        <v>573</v>
      </c>
      <c r="D1410" s="2" t="str">
        <f t="shared" si="21"/>
        <v>Error?</v>
      </c>
    </row>
    <row r="1411" spans="1:4" x14ac:dyDescent="0.2">
      <c r="A1411" s="5">
        <v>1350</v>
      </c>
      <c r="B1411" s="138">
        <f>'Expenditures 15-22'!D232</f>
        <v>609</v>
      </c>
      <c r="D1411" s="2" t="str">
        <f t="shared" si="21"/>
        <v>Error?</v>
      </c>
    </row>
    <row r="1412" spans="1:4" x14ac:dyDescent="0.2">
      <c r="A1412" s="5">
        <v>1351</v>
      </c>
      <c r="B1412" s="138">
        <f>'Expenditures 15-22'!D233</f>
        <v>892</v>
      </c>
      <c r="D1412" s="2" t="str">
        <f t="shared" si="21"/>
        <v>Error?</v>
      </c>
    </row>
    <row r="1413" spans="1:4" x14ac:dyDescent="0.2">
      <c r="A1413" s="5">
        <v>1352</v>
      </c>
      <c r="B1413" s="138">
        <f>'Expenditures 15-22'!D234</f>
        <v>4347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5848</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6770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6770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2335</v>
      </c>
      <c r="D1423" s="2" t="str">
        <f t="shared" si="21"/>
        <v>Error?</v>
      </c>
    </row>
    <row r="1424" spans="1:4" x14ac:dyDescent="0.2">
      <c r="A1424" s="5">
        <v>1363</v>
      </c>
      <c r="B1424" s="138">
        <f>'Expenditures 15-22'!D257</f>
        <v>2335</v>
      </c>
      <c r="C1424" s="2" t="s">
        <v>573</v>
      </c>
      <c r="D1424" s="2" t="str">
        <f t="shared" si="21"/>
        <v>Error?</v>
      </c>
    </row>
    <row r="1425" spans="1:4" x14ac:dyDescent="0.2">
      <c r="A1425" s="5">
        <v>1364</v>
      </c>
      <c r="B1425" s="138">
        <f>'Expenditures 15-22'!D259</f>
        <v>18076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18076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9450</v>
      </c>
      <c r="D1429" s="2" t="str">
        <f t="shared" si="21"/>
        <v>Error?</v>
      </c>
    </row>
    <row r="1430" spans="1:4" x14ac:dyDescent="0.2">
      <c r="A1430" s="5">
        <v>1369</v>
      </c>
      <c r="B1430" s="138">
        <f>'Expenditures 15-22'!D265</f>
        <v>2315</v>
      </c>
      <c r="D1430" s="2" t="str">
        <f t="shared" si="21"/>
        <v>Error?</v>
      </c>
    </row>
    <row r="1431" spans="1:4" x14ac:dyDescent="0.2">
      <c r="A1431" s="5">
        <v>1370</v>
      </c>
      <c r="B1431" s="138">
        <f>'Expenditures 15-22'!D266</f>
        <v>47679</v>
      </c>
      <c r="D1431" s="2" t="str">
        <f t="shared" si="21"/>
        <v>Error?</v>
      </c>
    </row>
    <row r="1432" spans="1:4" x14ac:dyDescent="0.2">
      <c r="A1432" s="5">
        <v>1371</v>
      </c>
      <c r="B1432" s="138">
        <f>'Expenditures 15-22'!D267</f>
        <v>44612</v>
      </c>
      <c r="D1432" s="2" t="str">
        <f t="shared" si="21"/>
        <v>Error?</v>
      </c>
    </row>
    <row r="1433" spans="1:4" x14ac:dyDescent="0.2">
      <c r="A1433" s="5">
        <v>1372</v>
      </c>
      <c r="B1433" s="138">
        <f>'Expenditures 15-22'!D268</f>
        <v>19131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123187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156216</v>
      </c>
      <c r="C1446" s="2" t="s">
        <v>573</v>
      </c>
      <c r="D1446" s="2" t="str">
        <f t="shared" si="21"/>
        <v>Error?</v>
      </c>
    </row>
    <row r="1447" spans="1:4" x14ac:dyDescent="0.2">
      <c r="A1447" s="5">
        <v>1386</v>
      </c>
      <c r="B1447" s="138">
        <f>'Expenditures 15-22'!D280</f>
        <v>5712</v>
      </c>
      <c r="D1447" s="2" t="str">
        <f t="shared" si="21"/>
        <v>Error?</v>
      </c>
    </row>
    <row r="1448" spans="1:4" x14ac:dyDescent="0.2">
      <c r="A1448" s="5">
        <v>1387</v>
      </c>
      <c r="B1448" s="138">
        <f>'Expenditures 15-22'!D295</f>
        <v>249640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1924</v>
      </c>
      <c r="C1471" s="2" t="s">
        <v>573</v>
      </c>
      <c r="D1471" s="2" t="str">
        <f t="shared" ref="D1471:D1534" si="22">IF(ISBLANK(B1471),"OK",IF(A1471-B1471=0,"OK","Error?"))</f>
        <v>Error?</v>
      </c>
    </row>
    <row r="1472" spans="1:4" x14ac:dyDescent="0.2">
      <c r="A1472" s="5">
        <v>1411</v>
      </c>
      <c r="B1472" s="138">
        <f>'Expenditures 15-22'!K223</f>
        <v>4717</v>
      </c>
      <c r="C1472" s="2" t="s">
        <v>573</v>
      </c>
      <c r="D1472" s="2" t="str">
        <f t="shared" si="22"/>
        <v>Error?</v>
      </c>
    </row>
    <row r="1473" spans="1:4" x14ac:dyDescent="0.2">
      <c r="A1473" s="5">
        <v>1412</v>
      </c>
      <c r="B1473" s="138">
        <f>'Expenditures 15-22'!K224</f>
        <v>120</v>
      </c>
      <c r="C1473" s="2" t="s">
        <v>573</v>
      </c>
      <c r="D1473" s="2" t="str">
        <f t="shared" si="22"/>
        <v>Error?</v>
      </c>
    </row>
    <row r="1474" spans="1:4" x14ac:dyDescent="0.2">
      <c r="A1474" s="5">
        <v>1413</v>
      </c>
      <c r="B1474" s="138">
        <f>'Expenditures 15-22'!K229</f>
        <v>87712</v>
      </c>
      <c r="C1474" s="2" t="s">
        <v>573</v>
      </c>
      <c r="D1474" s="2" t="str">
        <f t="shared" si="22"/>
        <v>Error?</v>
      </c>
    </row>
    <row r="1475" spans="1:4" x14ac:dyDescent="0.2">
      <c r="A1475" s="5">
        <v>1414</v>
      </c>
      <c r="B1475" s="138">
        <f>'Expenditures 15-22'!K232</f>
        <v>609</v>
      </c>
      <c r="C1475" s="2" t="s">
        <v>573</v>
      </c>
      <c r="D1475" s="2" t="str">
        <f t="shared" si="22"/>
        <v>Error?</v>
      </c>
    </row>
    <row r="1476" spans="1:4" x14ac:dyDescent="0.2">
      <c r="A1476" s="5">
        <v>1415</v>
      </c>
      <c r="B1476" s="138">
        <f>'Expenditures 15-22'!K233</f>
        <v>892</v>
      </c>
      <c r="C1476" s="2" t="s">
        <v>573</v>
      </c>
      <c r="D1476" s="2" t="str">
        <f t="shared" si="22"/>
        <v>Error?</v>
      </c>
    </row>
    <row r="1477" spans="1:4" x14ac:dyDescent="0.2">
      <c r="A1477" s="5">
        <v>1416</v>
      </c>
      <c r="B1477" s="138">
        <f>'Expenditures 15-22'!K234</f>
        <v>4347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5848</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6770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6770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2335</v>
      </c>
      <c r="C1487" s="2" t="s">
        <v>573</v>
      </c>
      <c r="D1487" s="2" t="str">
        <f t="shared" si="22"/>
        <v>Error?</v>
      </c>
    </row>
    <row r="1488" spans="1:4" x14ac:dyDescent="0.2">
      <c r="A1488" s="5">
        <v>1427</v>
      </c>
      <c r="B1488" s="138">
        <f>'Expenditures 15-22'!K257</f>
        <v>2335</v>
      </c>
      <c r="C1488" s="2" t="s">
        <v>573</v>
      </c>
      <c r="D1488" s="2" t="str">
        <f t="shared" si="22"/>
        <v>Error?</v>
      </c>
    </row>
    <row r="1489" spans="1:4" x14ac:dyDescent="0.2">
      <c r="A1489" s="5">
        <v>1428</v>
      </c>
      <c r="B1489" s="138">
        <f>'Expenditures 15-22'!K259</f>
        <v>18076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18076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9450</v>
      </c>
      <c r="C1493" s="2" t="s">
        <v>573</v>
      </c>
      <c r="D1493" s="2" t="str">
        <f t="shared" si="22"/>
        <v>Error?</v>
      </c>
    </row>
    <row r="1494" spans="1:4" x14ac:dyDescent="0.2">
      <c r="A1494" s="5">
        <v>1433</v>
      </c>
      <c r="B1494" s="138">
        <f>'Expenditures 15-22'!K265</f>
        <v>2315</v>
      </c>
      <c r="C1494" s="2" t="s">
        <v>573</v>
      </c>
      <c r="D1494" s="2" t="str">
        <f t="shared" si="22"/>
        <v>Error?</v>
      </c>
    </row>
    <row r="1495" spans="1:4" x14ac:dyDescent="0.2">
      <c r="A1495" s="5">
        <v>1434</v>
      </c>
      <c r="B1495" s="138">
        <f>'Expenditures 15-22'!K266</f>
        <v>47679</v>
      </c>
      <c r="C1495" s="2" t="s">
        <v>573</v>
      </c>
      <c r="D1495" s="2" t="str">
        <f t="shared" si="22"/>
        <v>Error?</v>
      </c>
    </row>
    <row r="1496" spans="1:4" x14ac:dyDescent="0.2">
      <c r="A1496" s="5">
        <v>1435</v>
      </c>
      <c r="B1496" s="138">
        <f>'Expenditures 15-22'!K267</f>
        <v>44612</v>
      </c>
      <c r="C1496" s="2" t="s">
        <v>573</v>
      </c>
      <c r="D1496" s="2" t="str">
        <f t="shared" si="22"/>
        <v>Error?</v>
      </c>
    </row>
    <row r="1497" spans="1:4" x14ac:dyDescent="0.2">
      <c r="A1497" s="5">
        <v>1436</v>
      </c>
      <c r="B1497" s="138">
        <f>'Expenditures 15-22'!K268</f>
        <v>19131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123187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156216</v>
      </c>
      <c r="C1510" s="2" t="s">
        <v>573</v>
      </c>
      <c r="D1510" s="2" t="str">
        <f t="shared" si="22"/>
        <v>Error?</v>
      </c>
    </row>
    <row r="1511" spans="1:4" x14ac:dyDescent="0.2">
      <c r="A1511" s="5">
        <v>1450</v>
      </c>
      <c r="B1511" s="138">
        <f>'Expenditures 15-22'!K280</f>
        <v>5712</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249640</v>
      </c>
      <c r="C1517" s="2" t="s">
        <v>573</v>
      </c>
      <c r="D1517" s="2" t="str">
        <f t="shared" si="22"/>
        <v>Error?</v>
      </c>
    </row>
    <row r="1518" spans="1:4" x14ac:dyDescent="0.2">
      <c r="A1518" s="5">
        <v>1457</v>
      </c>
      <c r="B1518" s="138">
        <f>'Expenditures 15-22'!K296</f>
        <v>-12292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13582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13582</v>
      </c>
      <c r="C1547" s="2" t="s">
        <v>573</v>
      </c>
      <c r="D1547" s="2" t="str">
        <f t="shared" si="23"/>
        <v>Error?</v>
      </c>
    </row>
    <row r="1548" spans="1:4" x14ac:dyDescent="0.2">
      <c r="A1548" s="5">
        <v>1487</v>
      </c>
      <c r="B1548" s="138">
        <f>'Expenditures 15-22'!G312</f>
        <v>13582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13582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13582</v>
      </c>
      <c r="C1559" s="2" t="s">
        <v>573</v>
      </c>
      <c r="D1559" s="2" t="str">
        <f t="shared" si="23"/>
        <v>Error?</v>
      </c>
    </row>
    <row r="1560" spans="1:4" x14ac:dyDescent="0.2">
      <c r="A1560" s="5">
        <v>1499</v>
      </c>
      <c r="B1560" s="138">
        <f>'Expenditures 15-22'!K312</f>
        <v>13582</v>
      </c>
      <c r="C1560" s="2" t="s">
        <v>573</v>
      </c>
      <c r="D1560" s="2" t="str">
        <f t="shared" si="23"/>
        <v>Error?</v>
      </c>
    </row>
    <row r="1561" spans="1:4" x14ac:dyDescent="0.2">
      <c r="A1561" s="5">
        <v>1500</v>
      </c>
      <c r="B1561" s="138">
        <f>'Expenditures 15-22'!K313</f>
        <v>-12172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7684151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7982991</v>
      </c>
      <c r="C1630" s="2" t="s">
        <v>573</v>
      </c>
      <c r="D1630" s="2" t="str">
        <f t="shared" si="24"/>
        <v>Error?</v>
      </c>
    </row>
    <row r="1631" spans="1:4" x14ac:dyDescent="0.2">
      <c r="A1631" s="5">
        <v>1570</v>
      </c>
      <c r="B1631" s="138">
        <f>'Acct Summary 7-8'!D79</f>
        <v>1911440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1954353</v>
      </c>
      <c r="C1644" s="2" t="s">
        <v>573</v>
      </c>
      <c r="D1644" s="2" t="str">
        <f t="shared" si="24"/>
        <v>Error?</v>
      </c>
    </row>
    <row r="1645" spans="1:4" x14ac:dyDescent="0.2">
      <c r="A1645" s="5">
        <v>1584</v>
      </c>
      <c r="B1645" s="138">
        <f>'Acct Summary 7-8'!E79</f>
        <v>442671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380309</v>
      </c>
      <c r="C1658" s="2" t="s">
        <v>573</v>
      </c>
      <c r="D1658" s="2" t="str">
        <f t="shared" si="24"/>
        <v>Error?</v>
      </c>
    </row>
    <row r="1659" spans="1:4" x14ac:dyDescent="0.2">
      <c r="A1659" s="5">
        <v>1598</v>
      </c>
      <c r="B1659" s="138">
        <f>'Acct Summary 7-8'!F79</f>
        <v>1689130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1778542</v>
      </c>
      <c r="C1672" s="2" t="s">
        <v>573</v>
      </c>
      <c r="D1672" s="2" t="str">
        <f t="shared" si="25"/>
        <v>Error?</v>
      </c>
    </row>
    <row r="1673" spans="1:4" x14ac:dyDescent="0.2">
      <c r="A1673" s="5">
        <v>1612</v>
      </c>
      <c r="B1673" s="138">
        <f>'Acct Summary 7-8'!G79</f>
        <v>195383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183091</v>
      </c>
      <c r="C1686" s="2" t="s">
        <v>573</v>
      </c>
      <c r="D1686" s="2" t="str">
        <f t="shared" si="25"/>
        <v>Error?</v>
      </c>
    </row>
    <row r="1687" spans="1:4" x14ac:dyDescent="0.2">
      <c r="A1687" s="5">
        <v>1626</v>
      </c>
      <c r="B1687" s="138">
        <f>'Acct Summary 7-8'!H79</f>
        <v>723752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711580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4281270</v>
      </c>
      <c r="C1744" s="2" t="s">
        <v>573</v>
      </c>
      <c r="D1744" s="2" t="str">
        <f t="shared" si="26"/>
        <v>Error?</v>
      </c>
    </row>
    <row r="1745" spans="1:5" x14ac:dyDescent="0.2">
      <c r="A1745" s="5">
        <v>1684</v>
      </c>
      <c r="B1745" s="138">
        <f>'Tax Sched 23'!B5</f>
        <v>1027452</v>
      </c>
      <c r="C1745" s="2" t="s">
        <v>573</v>
      </c>
      <c r="D1745" s="2" t="str">
        <f t="shared" si="26"/>
        <v>Error?</v>
      </c>
    </row>
    <row r="1746" spans="1:5" x14ac:dyDescent="0.2">
      <c r="A1746" s="5">
        <v>1685</v>
      </c>
      <c r="B1746" s="138">
        <f>'Tax Sched 23'!B6</f>
        <v>1097361</v>
      </c>
      <c r="C1746" s="2" t="s">
        <v>573</v>
      </c>
      <c r="D1746" s="2" t="str">
        <f t="shared" si="26"/>
        <v>Error?</v>
      </c>
    </row>
    <row r="1747" spans="1:5" x14ac:dyDescent="0.2">
      <c r="A1747" s="5">
        <v>1686</v>
      </c>
      <c r="B1747" s="138">
        <f>'Tax Sched 23'!B7</f>
        <v>332006</v>
      </c>
      <c r="C1747" s="2" t="s">
        <v>573</v>
      </c>
      <c r="D1747" s="2" t="str">
        <f t="shared" si="26"/>
        <v>Error?</v>
      </c>
    </row>
    <row r="1748" spans="1:5" x14ac:dyDescent="0.2">
      <c r="A1748" s="5">
        <v>1687</v>
      </c>
      <c r="B1748" s="138">
        <f>'Tax Sched 23'!B8</f>
        <v>106856</v>
      </c>
      <c r="C1748" s="2" t="s">
        <v>573</v>
      </c>
      <c r="D1748" s="2" t="str">
        <f t="shared" si="26"/>
        <v>Error?</v>
      </c>
    </row>
    <row r="1749" spans="1:5" x14ac:dyDescent="0.2">
      <c r="A1749" s="5">
        <v>1688</v>
      </c>
      <c r="B1749" s="138">
        <f>'Tax Sched 23'!B10</f>
        <v>85622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179415</v>
      </c>
      <c r="C1752" s="2" t="s">
        <v>573</v>
      </c>
      <c r="D1752" s="2" t="str">
        <f t="shared" si="26"/>
        <v>Error?</v>
      </c>
    </row>
    <row r="1753" spans="1:5" x14ac:dyDescent="0.2">
      <c r="A1753" s="5">
        <v>1692</v>
      </c>
      <c r="B1753" s="138">
        <f>'Tax Sched 23'!B12</f>
        <v>85622</v>
      </c>
      <c r="C1753" s="2" t="s">
        <v>573</v>
      </c>
      <c r="D1753" s="2" t="str">
        <f t="shared" si="26"/>
        <v>Error?</v>
      </c>
    </row>
    <row r="1754" spans="1:5" x14ac:dyDescent="0.2">
      <c r="A1754" s="5">
        <v>1693</v>
      </c>
      <c r="B1754" s="138">
        <f>'Tax Sched 23'!B14</f>
        <v>68423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7467785</v>
      </c>
      <c r="C1759" s="2" t="s">
        <v>573</v>
      </c>
      <c r="D1759" s="2" t="str">
        <f t="shared" si="26"/>
        <v>Error?</v>
      </c>
    </row>
    <row r="1760" spans="1:5" x14ac:dyDescent="0.2">
      <c r="A1760" s="5">
        <v>1699</v>
      </c>
      <c r="B1760" s="138">
        <f>'Tax Sched 23'!D4</f>
        <v>3220813</v>
      </c>
      <c r="C1760" s="2" t="s">
        <v>573</v>
      </c>
      <c r="D1760" s="2" t="str">
        <f t="shared" si="26"/>
        <v>Error?</v>
      </c>
    </row>
    <row r="1761" spans="1:5" x14ac:dyDescent="0.2">
      <c r="A1761" s="5">
        <v>1700</v>
      </c>
      <c r="B1761" s="138">
        <f>'Tax Sched 23'!D5</f>
        <v>772944</v>
      </c>
      <c r="C1761" s="2" t="s">
        <v>573</v>
      </c>
      <c r="D1761" s="2" t="str">
        <f t="shared" si="26"/>
        <v>Error?</v>
      </c>
    </row>
    <row r="1762" spans="1:5" s="8" customFormat="1" x14ac:dyDescent="0.2">
      <c r="A1762" s="5">
        <v>1701</v>
      </c>
      <c r="B1762" s="138">
        <f>'Tax Sched 23'!D6</f>
        <v>826898</v>
      </c>
      <c r="C1762" s="2" t="s">
        <v>573</v>
      </c>
      <c r="D1762" s="2" t="str">
        <f t="shared" si="26"/>
        <v>Error?</v>
      </c>
      <c r="E1762" s="9"/>
    </row>
    <row r="1763" spans="1:5" x14ac:dyDescent="0.2">
      <c r="A1763" s="5">
        <v>1702</v>
      </c>
      <c r="B1763" s="138">
        <f>'Tax Sched 23'!D7</f>
        <v>257646</v>
      </c>
      <c r="C1763" s="2" t="s">
        <v>573</v>
      </c>
      <c r="D1763" s="2" t="str">
        <f t="shared" si="26"/>
        <v>Error?</v>
      </c>
    </row>
    <row r="1764" spans="1:5" x14ac:dyDescent="0.2">
      <c r="A1764" s="5">
        <v>1703</v>
      </c>
      <c r="B1764" s="138">
        <f>'Tax Sched 23'!D8</f>
        <v>78940</v>
      </c>
      <c r="C1764" s="2" t="s">
        <v>573</v>
      </c>
      <c r="D1764" s="2" t="str">
        <f t="shared" si="26"/>
        <v>Error?</v>
      </c>
    </row>
    <row r="1765" spans="1:5" x14ac:dyDescent="0.2">
      <c r="A1765" s="5">
        <v>1704</v>
      </c>
      <c r="B1765" s="138">
        <f>'Tax Sched 23'!D10</f>
        <v>64410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126838</v>
      </c>
      <c r="C1768" s="2" t="s">
        <v>573</v>
      </c>
      <c r="D1768" s="2" t="str">
        <f t="shared" si="26"/>
        <v>Error?</v>
      </c>
    </row>
    <row r="1769" spans="1:5" x14ac:dyDescent="0.2">
      <c r="A1769" s="5">
        <v>1708</v>
      </c>
      <c r="B1769" s="138">
        <f>'Tax Sched 23'!D12</f>
        <v>64410</v>
      </c>
      <c r="C1769" s="2" t="s">
        <v>573</v>
      </c>
      <c r="D1769" s="2" t="str">
        <f t="shared" si="26"/>
        <v>Error?</v>
      </c>
    </row>
    <row r="1770" spans="1:5" x14ac:dyDescent="0.2">
      <c r="A1770" s="5">
        <v>1709</v>
      </c>
      <c r="B1770" s="138">
        <f>'Tax Sched 23'!D14</f>
        <v>51530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5614944</v>
      </c>
      <c r="C1775" s="2" t="s">
        <v>573</v>
      </c>
      <c r="D1775" s="2" t="str">
        <f t="shared" si="26"/>
        <v>Error?</v>
      </c>
    </row>
    <row r="1776" spans="1:5" x14ac:dyDescent="0.2">
      <c r="A1776" s="5">
        <v>1715</v>
      </c>
      <c r="B1776" s="138">
        <f>'Tax Sched 23'!C4</f>
        <v>1060457</v>
      </c>
      <c r="D1776" s="2" t="str">
        <f t="shared" si="26"/>
        <v>Error?</v>
      </c>
    </row>
    <row r="1777" spans="1:4" x14ac:dyDescent="0.2">
      <c r="A1777" s="5">
        <v>1716</v>
      </c>
      <c r="B1777" s="138">
        <f>'Tax Sched 23'!C5</f>
        <v>254508</v>
      </c>
      <c r="D1777" s="2" t="str">
        <f t="shared" si="26"/>
        <v>Error?</v>
      </c>
    </row>
    <row r="1778" spans="1:4" x14ac:dyDescent="0.2">
      <c r="A1778" s="5">
        <v>1717</v>
      </c>
      <c r="B1778" s="138">
        <f>'Tax Sched 23'!C6</f>
        <v>270463</v>
      </c>
      <c r="D1778" s="2" t="str">
        <f t="shared" si="26"/>
        <v>Error?</v>
      </c>
    </row>
    <row r="1779" spans="1:4" x14ac:dyDescent="0.2">
      <c r="A1779" s="5">
        <v>1718</v>
      </c>
      <c r="B1779" s="138">
        <f>'Tax Sched 23'!C7</f>
        <v>74360</v>
      </c>
      <c r="D1779" s="2" t="str">
        <f t="shared" si="26"/>
        <v>Error?</v>
      </c>
    </row>
    <row r="1780" spans="1:4" x14ac:dyDescent="0.2">
      <c r="A1780" s="5">
        <v>1719</v>
      </c>
      <c r="B1780" s="138">
        <f>'Tax Sched 23'!C8</f>
        <v>27916</v>
      </c>
      <c r="D1780" s="2" t="str">
        <f t="shared" si="26"/>
        <v>Error?</v>
      </c>
    </row>
    <row r="1781" spans="1:4" x14ac:dyDescent="0.2">
      <c r="A1781" s="5">
        <v>1720</v>
      </c>
      <c r="B1781" s="138">
        <f>'Tax Sched 23'!C10</f>
        <v>21212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52577</v>
      </c>
      <c r="D1784" s="2" t="str">
        <f t="shared" si="26"/>
        <v>Error?</v>
      </c>
    </row>
    <row r="1785" spans="1:4" x14ac:dyDescent="0.2">
      <c r="A1785" s="5">
        <v>1724</v>
      </c>
      <c r="B1785" s="138">
        <f>'Tax Sched 23'!C12</f>
        <v>21212</v>
      </c>
      <c r="D1785" s="2" t="str">
        <f t="shared" si="26"/>
        <v>Error?</v>
      </c>
    </row>
    <row r="1786" spans="1:4" x14ac:dyDescent="0.2">
      <c r="A1786" s="5">
        <v>1725</v>
      </c>
      <c r="B1786" s="138">
        <f>'Tax Sched 23'!C14</f>
        <v>16893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1852841</v>
      </c>
      <c r="C1791" s="2" t="s">
        <v>573</v>
      </c>
      <c r="D1791" s="2" t="str">
        <f t="shared" ref="D1791:D1854" si="27">IF(ISBLANK(B1791),"OK",IF(A1791-B1791=0,"OK","Error?"))</f>
        <v>Error?</v>
      </c>
    </row>
    <row r="1792" spans="1:4" x14ac:dyDescent="0.2">
      <c r="A1792" s="5">
        <v>1731</v>
      </c>
      <c r="B1792" s="138">
        <f>'Tax Sched 23'!F4</f>
        <v>3574453</v>
      </c>
      <c r="C1792" s="2" t="s">
        <v>573</v>
      </c>
      <c r="D1792" s="2" t="str">
        <f t="shared" si="27"/>
        <v>Error?</v>
      </c>
    </row>
    <row r="1793" spans="1:4" x14ac:dyDescent="0.2">
      <c r="A1793" s="5">
        <v>1732</v>
      </c>
      <c r="B1793" s="138">
        <f>'Tax Sched 23'!F5</f>
        <v>857871</v>
      </c>
      <c r="C1793" s="2" t="s">
        <v>573</v>
      </c>
      <c r="D1793" s="2" t="str">
        <f t="shared" si="27"/>
        <v>Error?</v>
      </c>
    </row>
    <row r="1794" spans="1:4" x14ac:dyDescent="0.2">
      <c r="A1794" s="5">
        <v>1733</v>
      </c>
      <c r="B1794" s="138">
        <f>'Tax Sched 23'!F6</f>
        <v>911648</v>
      </c>
      <c r="C1794" s="2" t="s">
        <v>573</v>
      </c>
      <c r="D1794" s="2" t="str">
        <f t="shared" si="27"/>
        <v>Error?</v>
      </c>
    </row>
    <row r="1795" spans="1:4" x14ac:dyDescent="0.2">
      <c r="A1795" s="5">
        <v>1734</v>
      </c>
      <c r="B1795" s="138">
        <f>'Tax Sched 23'!F7</f>
        <v>250645</v>
      </c>
      <c r="C1795" s="2" t="s">
        <v>573</v>
      </c>
      <c r="D1795" s="2" t="str">
        <f t="shared" si="27"/>
        <v>Error?</v>
      </c>
    </row>
    <row r="1796" spans="1:4" x14ac:dyDescent="0.2">
      <c r="A1796" s="5">
        <v>1735</v>
      </c>
      <c r="B1796" s="138">
        <f>'Tax Sched 23'!F8</f>
        <v>94100</v>
      </c>
      <c r="C1796" s="2" t="s">
        <v>573</v>
      </c>
      <c r="D1796" s="2" t="str">
        <f t="shared" si="27"/>
        <v>Error?</v>
      </c>
    </row>
    <row r="1797" spans="1:4" x14ac:dyDescent="0.2">
      <c r="A1797" s="5">
        <v>1736</v>
      </c>
      <c r="B1797" s="138">
        <f>'Tax Sched 23'!F10</f>
        <v>71503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177223</v>
      </c>
      <c r="C1800" s="2" t="s">
        <v>573</v>
      </c>
      <c r="D1800" s="2" t="str">
        <f t="shared" si="27"/>
        <v>Error?</v>
      </c>
    </row>
    <row r="1801" spans="1:4" x14ac:dyDescent="0.2">
      <c r="A1801" s="5">
        <v>1740</v>
      </c>
      <c r="B1801" s="138">
        <f>'Tax Sched 23'!F12</f>
        <v>71503</v>
      </c>
      <c r="C1801" s="2" t="s">
        <v>573</v>
      </c>
      <c r="D1801" s="2" t="str">
        <f t="shared" si="27"/>
        <v>Error?</v>
      </c>
    </row>
    <row r="1802" spans="1:4" x14ac:dyDescent="0.2">
      <c r="A1802" s="5">
        <v>1741</v>
      </c>
      <c r="B1802" s="138">
        <f>'Tax Sched 23'!F14</f>
        <v>57279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6245699</v>
      </c>
      <c r="C1807" s="2" t="s">
        <v>573</v>
      </c>
      <c r="D1807" s="2" t="str">
        <f t="shared" si="27"/>
        <v>Error?</v>
      </c>
    </row>
    <row r="1808" spans="1:4" x14ac:dyDescent="0.2">
      <c r="A1808" s="5">
        <v>1747</v>
      </c>
      <c r="B1808" s="138">
        <f>'Tax Sched 23'!E4</f>
        <v>4634910</v>
      </c>
      <c r="D1808" s="2" t="str">
        <f t="shared" si="27"/>
        <v>Error?</v>
      </c>
    </row>
    <row r="1809" spans="1:4" x14ac:dyDescent="0.2">
      <c r="A1809" s="5">
        <v>1748</v>
      </c>
      <c r="B1809" s="138">
        <f>'Tax Sched 23'!E5</f>
        <v>1112379</v>
      </c>
      <c r="D1809" s="2" t="str">
        <f t="shared" si="27"/>
        <v>Error?</v>
      </c>
    </row>
    <row r="1810" spans="1:4" x14ac:dyDescent="0.2">
      <c r="A1810" s="5">
        <v>1749</v>
      </c>
      <c r="B1810" s="138">
        <f>'Tax Sched 23'!E6</f>
        <v>1182111</v>
      </c>
      <c r="D1810" s="2" t="str">
        <f t="shared" si="27"/>
        <v>Error?</v>
      </c>
    </row>
    <row r="1811" spans="1:4" x14ac:dyDescent="0.2">
      <c r="A1811" s="5">
        <v>1750</v>
      </c>
      <c r="B1811" s="138">
        <f>'Tax Sched 23'!E7</f>
        <v>325005</v>
      </c>
      <c r="D1811" s="2" t="str">
        <f t="shared" si="27"/>
        <v>Error?</v>
      </c>
    </row>
    <row r="1812" spans="1:4" x14ac:dyDescent="0.2">
      <c r="A1812" s="5">
        <v>1751</v>
      </c>
      <c r="B1812" s="138">
        <f>'Tax Sched 23'!E8</f>
        <v>122016</v>
      </c>
      <c r="D1812" s="2" t="str">
        <f t="shared" si="27"/>
        <v>Error?</v>
      </c>
    </row>
    <row r="1813" spans="1:4" x14ac:dyDescent="0.2">
      <c r="A1813" s="5">
        <v>1752</v>
      </c>
      <c r="B1813" s="138">
        <f>'Tax Sched 23'!E10</f>
        <v>92715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229800</v>
      </c>
      <c r="D1816" s="2" t="str">
        <f t="shared" si="27"/>
        <v>Error?</v>
      </c>
    </row>
    <row r="1817" spans="1:4" x14ac:dyDescent="0.2">
      <c r="A1817" s="5">
        <v>1756</v>
      </c>
      <c r="B1817" s="138">
        <f>'Tax Sched 23'!E12</f>
        <v>92715</v>
      </c>
      <c r="D1817" s="2" t="str">
        <f t="shared" si="27"/>
        <v>Error?</v>
      </c>
    </row>
    <row r="1818" spans="1:4" x14ac:dyDescent="0.2">
      <c r="A1818" s="5">
        <v>1757</v>
      </c>
      <c r="B1818" s="138">
        <f>'Tax Sched 23'!E14</f>
        <v>74172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8098540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9359111</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68423</v>
      </c>
      <c r="D1972" s="2" t="str">
        <f t="shared" si="29"/>
        <v>Error?</v>
      </c>
    </row>
    <row r="1973" spans="1:5" x14ac:dyDescent="0.2">
      <c r="A1973" s="5">
        <v>1912</v>
      </c>
      <c r="B1973" s="138">
        <f>'Rest Tax Levies-Tort Im 25'!H6</f>
        <v>5</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68428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68428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63500</v>
      </c>
      <c r="D2008" s="2" t="str">
        <f t="shared" si="30"/>
        <v>Error?</v>
      </c>
    </row>
    <row r="2009" spans="1:4" x14ac:dyDescent="0.2">
      <c r="A2009" s="5">
        <v>1948</v>
      </c>
      <c r="B2009" s="138">
        <f>'Cap Outlay Deprec 26'!C8</f>
        <v>22954100</v>
      </c>
      <c r="D2009" s="2" t="str">
        <f t="shared" si="30"/>
        <v>Error?</v>
      </c>
    </row>
    <row r="2010" spans="1:4" x14ac:dyDescent="0.2">
      <c r="A2010" s="5">
        <v>1949</v>
      </c>
      <c r="B2010" s="138">
        <f>'Cap Outlay Deprec 26'!C10</f>
        <v>672896</v>
      </c>
      <c r="D2010" s="2" t="str">
        <f t="shared" si="30"/>
        <v>Error?</v>
      </c>
    </row>
    <row r="2011" spans="1:4" x14ac:dyDescent="0.2">
      <c r="A2011" s="5">
        <v>1950</v>
      </c>
      <c r="B2011" s="138">
        <f>'Cap Outlay Deprec 26'!C12</f>
        <v>1791756</v>
      </c>
      <c r="D2011" s="2" t="str">
        <f t="shared" si="30"/>
        <v>Error?</v>
      </c>
    </row>
    <row r="2012" spans="1:4" x14ac:dyDescent="0.2">
      <c r="A2012" s="5">
        <v>1951</v>
      </c>
      <c r="B2012" s="138">
        <f>'Cap Outlay Deprec 26'!C13</f>
        <v>912067</v>
      </c>
      <c r="D2012" s="2" t="str">
        <f t="shared" si="30"/>
        <v>Error?</v>
      </c>
    </row>
    <row r="2013" spans="1:4" x14ac:dyDescent="0.2">
      <c r="A2013" s="5">
        <v>1952</v>
      </c>
      <c r="B2013" s="138">
        <f>'Cap Outlay Deprec 26'!C16</f>
        <v>26394319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69988</v>
      </c>
      <c r="D2015" s="2" t="str">
        <f t="shared" si="30"/>
        <v>Error?</v>
      </c>
    </row>
    <row r="2016" spans="1:4" x14ac:dyDescent="0.2">
      <c r="A2016" s="5">
        <v>1955</v>
      </c>
      <c r="B2016" s="138">
        <f>'Cap Outlay Deprec 26'!D10</f>
        <v>200701</v>
      </c>
      <c r="D2016" s="2" t="str">
        <f t="shared" si="30"/>
        <v>Error?</v>
      </c>
    </row>
    <row r="2017" spans="1:4" x14ac:dyDescent="0.2">
      <c r="A2017" s="5">
        <v>1956</v>
      </c>
      <c r="B2017" s="138">
        <f>'Cap Outlay Deprec 26'!D12</f>
        <v>140103</v>
      </c>
      <c r="D2017" s="2" t="str">
        <f t="shared" si="30"/>
        <v>Error?</v>
      </c>
    </row>
    <row r="2018" spans="1:4" x14ac:dyDescent="0.2">
      <c r="A2018" s="5">
        <v>1957</v>
      </c>
      <c r="B2018" s="138">
        <f>'Cap Outlay Deprec 26'!D13</f>
        <v>97130</v>
      </c>
      <c r="D2018" s="2" t="str">
        <f t="shared" si="30"/>
        <v>Error?</v>
      </c>
    </row>
    <row r="2019" spans="1:4" x14ac:dyDescent="0.2">
      <c r="A2019" s="5">
        <v>1958</v>
      </c>
      <c r="B2019" s="138">
        <f>'Cap Outlay Deprec 26'!D16</f>
        <v>507922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86811</v>
      </c>
      <c r="D2024" s="2" t="str">
        <f t="shared" si="30"/>
        <v>Error?</v>
      </c>
    </row>
    <row r="2025" spans="1:4" x14ac:dyDescent="0.2">
      <c r="A2025" s="5">
        <v>1964</v>
      </c>
      <c r="B2025" s="138">
        <f>'Cap Outlay Deprec 26'!E16</f>
        <v>86811</v>
      </c>
      <c r="C2025" s="2" t="s">
        <v>573</v>
      </c>
      <c r="D2025" s="2" t="str">
        <f t="shared" si="30"/>
        <v>Error?</v>
      </c>
    </row>
    <row r="2026" spans="1:4" x14ac:dyDescent="0.2">
      <c r="A2026" s="5">
        <v>1965</v>
      </c>
      <c r="B2026" s="138">
        <f>'Cap Outlay Deprec 26'!F5</f>
        <v>63500</v>
      </c>
      <c r="C2026" s="2" t="s">
        <v>573</v>
      </c>
      <c r="D2026" s="2" t="str">
        <f t="shared" si="30"/>
        <v>Error?</v>
      </c>
    </row>
    <row r="2027" spans="1:4" x14ac:dyDescent="0.2">
      <c r="A2027" s="5">
        <v>1966</v>
      </c>
      <c r="B2027" s="138">
        <f>'Cap Outlay Deprec 26'!F8</f>
        <v>23024088</v>
      </c>
      <c r="C2027" s="2" t="s">
        <v>573</v>
      </c>
      <c r="D2027" s="2" t="str">
        <f t="shared" si="30"/>
        <v>Error?</v>
      </c>
    </row>
    <row r="2028" spans="1:4" x14ac:dyDescent="0.2">
      <c r="A2028" s="5">
        <v>1967</v>
      </c>
      <c r="B2028" s="138">
        <f>'Cap Outlay Deprec 26'!F10</f>
        <v>873597</v>
      </c>
      <c r="C2028" s="2" t="s">
        <v>573</v>
      </c>
      <c r="D2028" s="2" t="str">
        <f t="shared" si="30"/>
        <v>Error?</v>
      </c>
    </row>
    <row r="2029" spans="1:4" x14ac:dyDescent="0.2">
      <c r="A2029" s="5">
        <v>1968</v>
      </c>
      <c r="B2029" s="138">
        <f>'Cap Outlay Deprec 26'!F12</f>
        <v>1931859</v>
      </c>
      <c r="C2029" s="2" t="s">
        <v>573</v>
      </c>
      <c r="D2029" s="2" t="str">
        <f t="shared" si="30"/>
        <v>Error?</v>
      </c>
    </row>
    <row r="2030" spans="1:4" x14ac:dyDescent="0.2">
      <c r="A2030" s="5">
        <v>1969</v>
      </c>
      <c r="B2030" s="138">
        <f>'Cap Outlay Deprec 26'!F13</f>
        <v>922386</v>
      </c>
      <c r="C2030" s="2" t="s">
        <v>573</v>
      </c>
      <c r="D2030" s="2" t="str">
        <f t="shared" si="30"/>
        <v>Error?</v>
      </c>
    </row>
    <row r="2031" spans="1:4" x14ac:dyDescent="0.2">
      <c r="A2031" s="5">
        <v>1970</v>
      </c>
      <c r="B2031" s="138">
        <f>'Cap Outlay Deprec 26'!F16</f>
        <v>26815430</v>
      </c>
      <c r="C2031" s="2" t="s">
        <v>573</v>
      </c>
      <c r="D2031" s="2" t="str">
        <f t="shared" si="30"/>
        <v>Error?</v>
      </c>
    </row>
    <row r="2032" spans="1:4" x14ac:dyDescent="0.2">
      <c r="A2032" s="10">
        <v>1971</v>
      </c>
      <c r="D2032" s="2" t="str">
        <f t="shared" si="30"/>
        <v>OK</v>
      </c>
    </row>
    <row r="2033" spans="1:4" x14ac:dyDescent="0.2">
      <c r="A2033" s="5">
        <v>1972</v>
      </c>
      <c r="B2033" s="138">
        <f>'Cap Outlay Deprec 26'!H8</f>
        <v>7186558</v>
      </c>
      <c r="D2033" s="2" t="str">
        <f t="shared" si="30"/>
        <v>Error?</v>
      </c>
    </row>
    <row r="2034" spans="1:4" x14ac:dyDescent="0.2">
      <c r="A2034" s="5">
        <v>1973</v>
      </c>
      <c r="B2034" s="138">
        <f>'Cap Outlay Deprec 26'!H10</f>
        <v>521016</v>
      </c>
      <c r="D2034" s="2" t="str">
        <f t="shared" si="30"/>
        <v>Error?</v>
      </c>
    </row>
    <row r="2035" spans="1:4" x14ac:dyDescent="0.2">
      <c r="A2035" s="5">
        <v>1974</v>
      </c>
      <c r="B2035" s="138">
        <f>'Cap Outlay Deprec 26'!H12</f>
        <v>883637</v>
      </c>
      <c r="D2035" s="2" t="str">
        <f t="shared" si="30"/>
        <v>Error?</v>
      </c>
    </row>
    <row r="2036" spans="1:4" x14ac:dyDescent="0.2">
      <c r="A2036" s="5">
        <v>1975</v>
      </c>
      <c r="B2036" s="138">
        <f>'Cap Outlay Deprec 26'!H13</f>
        <v>750785</v>
      </c>
      <c r="D2036" s="2" t="str">
        <f t="shared" si="30"/>
        <v>Error?</v>
      </c>
    </row>
    <row r="2037" spans="1:4" x14ac:dyDescent="0.2">
      <c r="A2037" s="5">
        <v>1976</v>
      </c>
      <c r="B2037" s="138">
        <f>'Cap Outlay Deprec 26'!H16</f>
        <v>9341996</v>
      </c>
      <c r="C2037" s="2" t="s">
        <v>573</v>
      </c>
      <c r="D2037" s="2" t="str">
        <f t="shared" si="30"/>
        <v>Error?</v>
      </c>
    </row>
    <row r="2038" spans="1:4" x14ac:dyDescent="0.2">
      <c r="A2038" s="10">
        <v>1977</v>
      </c>
      <c r="D2038" s="2" t="str">
        <f t="shared" si="30"/>
        <v>OK</v>
      </c>
    </row>
    <row r="2039" spans="1:4" x14ac:dyDescent="0.2">
      <c r="A2039" s="5">
        <v>1978</v>
      </c>
      <c r="B2039" s="138">
        <f>'Cap Outlay Deprec 26'!I8</f>
        <v>424182</v>
      </c>
      <c r="D2039" s="2" t="str">
        <f t="shared" si="30"/>
        <v>Error?</v>
      </c>
    </row>
    <row r="2040" spans="1:4" x14ac:dyDescent="0.2">
      <c r="A2040" s="5">
        <v>1979</v>
      </c>
      <c r="B2040" s="138">
        <f>'Cap Outlay Deprec 26'!I10</f>
        <v>24095</v>
      </c>
      <c r="D2040" s="2" t="str">
        <f t="shared" si="30"/>
        <v>Error?</v>
      </c>
    </row>
    <row r="2041" spans="1:4" x14ac:dyDescent="0.2">
      <c r="A2041" s="5">
        <v>1980</v>
      </c>
      <c r="B2041" s="138">
        <f>'Cap Outlay Deprec 26'!I12</f>
        <v>181666</v>
      </c>
      <c r="D2041" s="2" t="str">
        <f t="shared" si="30"/>
        <v>Error?</v>
      </c>
    </row>
    <row r="2042" spans="1:4" x14ac:dyDescent="0.2">
      <c r="A2042" s="5">
        <v>1981</v>
      </c>
      <c r="B2042" s="138">
        <f>'Cap Outlay Deprec 26'!I13</f>
        <v>66995</v>
      </c>
      <c r="D2042" s="2" t="str">
        <f t="shared" si="30"/>
        <v>Error?</v>
      </c>
    </row>
    <row r="2043" spans="1:4" x14ac:dyDescent="0.2">
      <c r="A2043" s="5">
        <v>1982</v>
      </c>
      <c r="B2043" s="138">
        <f>'Cap Outlay Deprec 26'!I16</f>
        <v>696938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86811</v>
      </c>
      <c r="D2048" s="2" t="str">
        <f t="shared" si="31"/>
        <v>Error?</v>
      </c>
    </row>
    <row r="2049" spans="1:4" x14ac:dyDescent="0.2">
      <c r="A2049" s="5">
        <v>1988</v>
      </c>
      <c r="B2049" s="138">
        <f>'Cap Outlay Deprec 26'!J16</f>
        <v>86811</v>
      </c>
      <c r="C2049" s="2" t="s">
        <v>573</v>
      </c>
      <c r="D2049" s="2" t="str">
        <f t="shared" si="31"/>
        <v>Error?</v>
      </c>
    </row>
    <row r="2050" spans="1:4" x14ac:dyDescent="0.2">
      <c r="A2050" s="10">
        <v>1989</v>
      </c>
      <c r="D2050" s="2" t="str">
        <f t="shared" si="31"/>
        <v>OK</v>
      </c>
    </row>
    <row r="2051" spans="1:4" x14ac:dyDescent="0.2">
      <c r="A2051" s="5">
        <v>1990</v>
      </c>
      <c r="B2051" s="138">
        <f>'Cap Outlay Deprec 26'!K8</f>
        <v>7610740</v>
      </c>
      <c r="C2051" s="2" t="s">
        <v>573</v>
      </c>
      <c r="D2051" s="2" t="str">
        <f t="shared" si="31"/>
        <v>Error?</v>
      </c>
    </row>
    <row r="2052" spans="1:4" x14ac:dyDescent="0.2">
      <c r="A2052" s="5">
        <v>1991</v>
      </c>
      <c r="B2052" s="138">
        <f>'Cap Outlay Deprec 26'!K10</f>
        <v>545111</v>
      </c>
      <c r="C2052" s="2" t="s">
        <v>573</v>
      </c>
      <c r="D2052" s="2" t="str">
        <f t="shared" si="31"/>
        <v>Error?</v>
      </c>
    </row>
    <row r="2053" spans="1:4" x14ac:dyDescent="0.2">
      <c r="A2053" s="5">
        <v>1992</v>
      </c>
      <c r="B2053" s="138">
        <f>'Cap Outlay Deprec 26'!K12</f>
        <v>1065303</v>
      </c>
      <c r="C2053" s="2" t="s">
        <v>573</v>
      </c>
      <c r="D2053" s="2" t="str">
        <f t="shared" si="31"/>
        <v>Error?</v>
      </c>
    </row>
    <row r="2054" spans="1:4" x14ac:dyDescent="0.2">
      <c r="A2054" s="5">
        <v>1993</v>
      </c>
      <c r="B2054" s="138">
        <f>'Cap Outlay Deprec 26'!K13</f>
        <v>730969</v>
      </c>
      <c r="C2054" s="2" t="s">
        <v>573</v>
      </c>
      <c r="D2054" s="2" t="str">
        <f t="shared" si="31"/>
        <v>Error?</v>
      </c>
    </row>
    <row r="2055" spans="1:4" x14ac:dyDescent="0.2">
      <c r="A2055" s="5">
        <v>1994</v>
      </c>
      <c r="B2055" s="138">
        <f>'Cap Outlay Deprec 26'!K16</f>
        <v>9952123</v>
      </c>
      <c r="C2055" s="2" t="s">
        <v>573</v>
      </c>
      <c r="D2055" s="2" t="str">
        <f t="shared" si="31"/>
        <v>Error?</v>
      </c>
    </row>
    <row r="2056" spans="1:4" x14ac:dyDescent="0.2">
      <c r="A2056" s="5">
        <v>1995</v>
      </c>
      <c r="B2056" s="138">
        <f>'Cap Outlay Deprec 26'!L5</f>
        <v>63500</v>
      </c>
      <c r="C2056" s="2" t="s">
        <v>573</v>
      </c>
      <c r="D2056" s="2" t="str">
        <f t="shared" si="31"/>
        <v>Error?</v>
      </c>
    </row>
    <row r="2057" spans="1:4" x14ac:dyDescent="0.2">
      <c r="A2057" s="5">
        <v>1996</v>
      </c>
      <c r="B2057" s="138">
        <f>'Cap Outlay Deprec 26'!L8</f>
        <v>15413348</v>
      </c>
      <c r="C2057" s="2" t="s">
        <v>573</v>
      </c>
      <c r="D2057" s="2" t="str">
        <f t="shared" si="31"/>
        <v>Error?</v>
      </c>
    </row>
    <row r="2058" spans="1:4" x14ac:dyDescent="0.2">
      <c r="A2058" s="5">
        <v>1997</v>
      </c>
      <c r="B2058" s="138">
        <f>'Cap Outlay Deprec 26'!L10</f>
        <v>328486</v>
      </c>
      <c r="C2058" s="2" t="s">
        <v>573</v>
      </c>
      <c r="D2058" s="2" t="str">
        <f t="shared" si="31"/>
        <v>Error?</v>
      </c>
    </row>
    <row r="2059" spans="1:4" x14ac:dyDescent="0.2">
      <c r="A2059" s="5">
        <v>1998</v>
      </c>
      <c r="B2059" s="138">
        <f>'Cap Outlay Deprec 26'!L12</f>
        <v>866556</v>
      </c>
      <c r="C2059" s="2" t="s">
        <v>573</v>
      </c>
      <c r="D2059" s="2" t="str">
        <f t="shared" si="31"/>
        <v>Error?</v>
      </c>
    </row>
    <row r="2060" spans="1:4" x14ac:dyDescent="0.2">
      <c r="A2060" s="5">
        <v>1999</v>
      </c>
      <c r="B2060" s="138">
        <f>'Cap Outlay Deprec 26'!L13</f>
        <v>191417</v>
      </c>
      <c r="C2060" s="2" t="s">
        <v>573</v>
      </c>
      <c r="D2060" s="2" t="str">
        <f t="shared" si="31"/>
        <v>Error?</v>
      </c>
    </row>
    <row r="2061" spans="1:4" x14ac:dyDescent="0.2">
      <c r="A2061" s="5">
        <v>2000</v>
      </c>
      <c r="B2061" s="138">
        <f>'Cap Outlay Deprec 26'!L16</f>
        <v>16863307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86881</v>
      </c>
      <c r="C2089" s="2" t="s">
        <v>573</v>
      </c>
      <c r="D2089" s="2" t="str">
        <f t="shared" si="31"/>
        <v>Error?</v>
      </c>
    </row>
    <row r="2090" spans="1:4" x14ac:dyDescent="0.2">
      <c r="A2090" s="10">
        <v>2029</v>
      </c>
      <c r="D2090" s="2" t="str">
        <f t="shared" si="31"/>
        <v>OK</v>
      </c>
    </row>
    <row r="2091" spans="1:4" x14ac:dyDescent="0.2">
      <c r="A2091" s="5">
        <v>2030</v>
      </c>
      <c r="B2091" s="138">
        <f>'Expenditures 15-22'!H137</f>
        <v>11237</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11237</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28267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4923805</v>
      </c>
      <c r="C2551" s="2" t="s">
        <v>573</v>
      </c>
      <c r="D2551" s="2" t="str">
        <f t="shared" si="38"/>
        <v>Error?</v>
      </c>
    </row>
    <row r="2552" spans="1:4" x14ac:dyDescent="0.2">
      <c r="A2552" s="10">
        <v>2491</v>
      </c>
      <c r="D2552" s="2" t="str">
        <f t="shared" si="38"/>
        <v>OK</v>
      </c>
    </row>
    <row r="2553" spans="1:4" x14ac:dyDescent="0.2">
      <c r="A2553" s="5">
        <v>2492</v>
      </c>
      <c r="B2553" s="138">
        <f>'Acct Summary 7-8'!C6</f>
        <v>615364</v>
      </c>
      <c r="C2553" s="2" t="s">
        <v>573</v>
      </c>
      <c r="D2553" s="2" t="str">
        <f t="shared" si="38"/>
        <v>Error?</v>
      </c>
    </row>
    <row r="2554" spans="1:4" x14ac:dyDescent="0.2">
      <c r="A2554" s="5">
        <v>2493</v>
      </c>
      <c r="B2554" s="138">
        <f>'Acct Summary 7-8'!C7</f>
        <v>377768</v>
      </c>
      <c r="C2554" s="2" t="s">
        <v>573</v>
      </c>
      <c r="D2554" s="2" t="str">
        <f t="shared" si="38"/>
        <v>Error?</v>
      </c>
    </row>
    <row r="2555" spans="1:4" x14ac:dyDescent="0.2">
      <c r="A2555" s="5">
        <v>2494</v>
      </c>
      <c r="B2555" s="138">
        <f>'Acct Summary 7-8'!C8</f>
        <v>5916937</v>
      </c>
      <c r="C2555" s="2" t="s">
        <v>573</v>
      </c>
      <c r="D2555" s="2" t="str">
        <f t="shared" si="38"/>
        <v>Error?</v>
      </c>
    </row>
    <row r="2556" spans="1:4" x14ac:dyDescent="0.2">
      <c r="A2556" s="5">
        <v>2495</v>
      </c>
      <c r="B2556" s="138">
        <f>'Acct Summary 7-8'!C12</f>
        <v>4095997</v>
      </c>
      <c r="C2556" s="2" t="s">
        <v>573</v>
      </c>
      <c r="D2556" s="2" t="str">
        <f t="shared" si="38"/>
        <v>Error?</v>
      </c>
    </row>
    <row r="2557" spans="1:4" x14ac:dyDescent="0.2">
      <c r="A2557" s="5">
        <v>2496</v>
      </c>
      <c r="B2557" s="138">
        <f>'Acct Summary 7-8'!C13</f>
        <v>1360807</v>
      </c>
      <c r="C2557" s="2" t="s">
        <v>573</v>
      </c>
      <c r="D2557" s="2" t="str">
        <f t="shared" si="38"/>
        <v>Error?</v>
      </c>
    </row>
    <row r="2558" spans="1:4" x14ac:dyDescent="0.2">
      <c r="A2558" s="5">
        <v>2497</v>
      </c>
      <c r="B2558" s="138">
        <f>'Acct Summary 7-8'!C14</f>
        <v>867</v>
      </c>
      <c r="C2558" s="2" t="s">
        <v>573</v>
      </c>
      <c r="D2558" s="2" t="str">
        <f t="shared" si="38"/>
        <v>Error?</v>
      </c>
    </row>
    <row r="2559" spans="1:4" x14ac:dyDescent="0.2">
      <c r="A2559" s="5">
        <v>2498</v>
      </c>
      <c r="B2559" s="138">
        <f>'Acct Summary 7-8'!C15</f>
        <v>123296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5580967</v>
      </c>
      <c r="C2561" s="2" t="s">
        <v>573</v>
      </c>
      <c r="D2561" s="2" t="str">
        <f t="shared" si="39"/>
        <v>Error?</v>
      </c>
    </row>
    <row r="2562" spans="1:4" x14ac:dyDescent="0.2">
      <c r="A2562" s="5">
        <v>2501</v>
      </c>
      <c r="B2562" s="138">
        <f>'Acct Summary 7-8'!C20</f>
        <v>335970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1095696</v>
      </c>
      <c r="C2564" s="2" t="s">
        <v>573</v>
      </c>
      <c r="D2564" s="2" t="str">
        <f t="shared" si="39"/>
        <v>Error?</v>
      </c>
    </row>
    <row r="2565" spans="1:4" x14ac:dyDescent="0.2">
      <c r="A2565" s="10">
        <v>2504</v>
      </c>
      <c r="D2565" s="2" t="str">
        <f t="shared" si="39"/>
        <v>OK</v>
      </c>
    </row>
    <row r="2566" spans="1:4" x14ac:dyDescent="0.2">
      <c r="A2566" s="5">
        <v>2505</v>
      </c>
      <c r="B2566" s="138">
        <f>'Acct Summary 7-8'!D6</f>
        <v>3750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1099446</v>
      </c>
      <c r="C2568" s="2" t="s">
        <v>573</v>
      </c>
      <c r="D2568" s="2" t="str">
        <f t="shared" si="39"/>
        <v>Error?</v>
      </c>
    </row>
    <row r="2569" spans="1:4" x14ac:dyDescent="0.2">
      <c r="A2569" s="5">
        <v>2508</v>
      </c>
      <c r="B2569" s="138">
        <f>'Acct Summary 7-8'!D13</f>
        <v>1045296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11237</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1056533</v>
      </c>
      <c r="C2573" s="2" t="s">
        <v>573</v>
      </c>
      <c r="D2573" s="2" t="str">
        <f t="shared" si="39"/>
        <v>Error?</v>
      </c>
    </row>
    <row r="2574" spans="1:4" x14ac:dyDescent="0.2">
      <c r="A2574" s="5">
        <v>2513</v>
      </c>
      <c r="B2574" s="138">
        <f>'Acct Summary 7-8'!D20</f>
        <v>42913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361896</v>
      </c>
      <c r="C2591" s="2" t="s">
        <v>573</v>
      </c>
      <c r="D2591" s="2" t="str">
        <f t="shared" si="39"/>
        <v>Error?</v>
      </c>
    </row>
    <row r="2592" spans="1:4" x14ac:dyDescent="0.2">
      <c r="A2592" s="10">
        <v>2531</v>
      </c>
      <c r="D2592" s="2" t="str">
        <f t="shared" si="39"/>
        <v>OK</v>
      </c>
    </row>
    <row r="2593" spans="1:4" x14ac:dyDescent="0.2">
      <c r="A2593" s="5">
        <v>2532</v>
      </c>
      <c r="B2593" s="138">
        <f>'Acct Summary 7-8'!F6</f>
        <v>291284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653180</v>
      </c>
      <c r="C2595" s="2" t="s">
        <v>573</v>
      </c>
      <c r="D2595" s="2" t="str">
        <f t="shared" si="39"/>
        <v>Error?</v>
      </c>
    </row>
    <row r="2596" spans="1:4" x14ac:dyDescent="0.2">
      <c r="A2596" s="5">
        <v>2535</v>
      </c>
      <c r="B2596" s="138">
        <f>'Acct Summary 7-8'!F13</f>
        <v>480652</v>
      </c>
      <c r="C2596" s="2" t="s">
        <v>573</v>
      </c>
      <c r="D2596" s="2" t="str">
        <f t="shared" si="39"/>
        <v>Error?</v>
      </c>
    </row>
    <row r="2597" spans="1:4" x14ac:dyDescent="0.2">
      <c r="A2597" s="5">
        <v>2536</v>
      </c>
      <c r="B2597" s="138">
        <f>'Acct Summary 7-8'!F14</f>
        <v>45347</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52569</v>
      </c>
      <c r="C2599" s="2" t="s">
        <v>573</v>
      </c>
      <c r="D2599" s="2" t="str">
        <f t="shared" si="39"/>
        <v>Error?</v>
      </c>
    </row>
    <row r="2600" spans="1:4" x14ac:dyDescent="0.2">
      <c r="A2600" s="5">
        <v>2539</v>
      </c>
      <c r="B2600" s="138">
        <f>'Acct Summary 7-8'!F17</f>
        <v>578568</v>
      </c>
      <c r="C2600" s="2" t="s">
        <v>573</v>
      </c>
      <c r="D2600" s="2" t="str">
        <f t="shared" si="39"/>
        <v>Error?</v>
      </c>
    </row>
    <row r="2601" spans="1:4" x14ac:dyDescent="0.2">
      <c r="A2601" s="5">
        <v>2540</v>
      </c>
      <c r="B2601" s="138">
        <f>'Acct Summary 7-8'!F20</f>
        <v>74612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237348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237348</v>
      </c>
      <c r="C2606" s="2" t="s">
        <v>573</v>
      </c>
      <c r="D2606" s="2" t="str">
        <f t="shared" si="39"/>
        <v>Error?</v>
      </c>
    </row>
    <row r="2607" spans="1:4" x14ac:dyDescent="0.2">
      <c r="A2607" s="5">
        <v>2546</v>
      </c>
      <c r="B2607" s="138">
        <f>'Acct Summary 7-8'!G12</f>
        <v>87712</v>
      </c>
      <c r="C2607" s="2" t="s">
        <v>573</v>
      </c>
      <c r="D2607" s="2" t="str">
        <f t="shared" si="39"/>
        <v>Error?</v>
      </c>
    </row>
    <row r="2608" spans="1:4" x14ac:dyDescent="0.2">
      <c r="A2608" s="5">
        <v>2547</v>
      </c>
      <c r="B2608" s="138">
        <f>'Acct Summary 7-8'!G13</f>
        <v>156216</v>
      </c>
      <c r="C2608" s="2" t="s">
        <v>573</v>
      </c>
      <c r="D2608" s="2" t="str">
        <f t="shared" si="39"/>
        <v>Error?</v>
      </c>
    </row>
    <row r="2609" spans="1:4" x14ac:dyDescent="0.2">
      <c r="A2609" s="5">
        <v>2548</v>
      </c>
      <c r="B2609" s="138">
        <f>'Acct Summary 7-8'!G14</f>
        <v>5712</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249640</v>
      </c>
      <c r="C2612" s="2" t="s">
        <v>573</v>
      </c>
      <c r="D2612" s="2" t="str">
        <f t="shared" si="39"/>
        <v>Error?</v>
      </c>
    </row>
    <row r="2613" spans="1:4" x14ac:dyDescent="0.2">
      <c r="A2613" s="5">
        <v>2552</v>
      </c>
      <c r="B2613" s="138">
        <f>'Acct Summary 7-8'!G20</f>
        <v>-12292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1119069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1238614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1338106</v>
      </c>
      <c r="C2634" s="2" t="s">
        <v>573</v>
      </c>
      <c r="D2634" s="2" t="str">
        <f t="shared" si="40"/>
        <v>Error?</v>
      </c>
    </row>
    <row r="2635" spans="1:4" x14ac:dyDescent="0.2">
      <c r="A2635" s="5">
        <v>2574</v>
      </c>
      <c r="B2635" s="138">
        <f>'Acct Summary 7-8'!E17</f>
        <v>1338106</v>
      </c>
      <c r="C2635" s="2" t="s">
        <v>573</v>
      </c>
      <c r="D2635" s="2" t="str">
        <f t="shared" si="40"/>
        <v>Error?</v>
      </c>
    </row>
    <row r="2636" spans="1:4" x14ac:dyDescent="0.2">
      <c r="A2636" s="5">
        <v>2575</v>
      </c>
      <c r="B2636" s="138">
        <f>'Acct Summary 7-8'!E20</f>
        <v>-99492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1410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1410</v>
      </c>
      <c r="C2658" s="2" t="s">
        <v>573</v>
      </c>
      <c r="D2658" s="2" t="str">
        <f t="shared" si="40"/>
        <v>Error?</v>
      </c>
    </row>
    <row r="2659" spans="1:4" x14ac:dyDescent="0.2">
      <c r="A2659" s="5">
        <v>2598</v>
      </c>
      <c r="B2659" s="138">
        <f>'Acct Summary 7-8'!H13</f>
        <v>13582</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13582</v>
      </c>
      <c r="C2661" s="2" t="s">
        <v>573</v>
      </c>
      <c r="D2661" s="2" t="str">
        <f t="shared" si="40"/>
        <v>Error?</v>
      </c>
    </row>
    <row r="2662" spans="1:4" x14ac:dyDescent="0.2">
      <c r="A2662" s="5">
        <v>2601</v>
      </c>
      <c r="B2662" s="138">
        <f>'Acct Summary 7-8'!H20</f>
        <v>-12172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38727</v>
      </c>
      <c r="D2820" s="2" t="str">
        <f t="shared" si="43"/>
        <v>Error?</v>
      </c>
    </row>
    <row r="2821" spans="1:4" x14ac:dyDescent="0.2">
      <c r="A2821" s="5">
        <v>2760</v>
      </c>
      <c r="B2821" s="138">
        <f>'Expenditures 15-22'!D185</f>
        <v>740</v>
      </c>
      <c r="D2821" s="2" t="str">
        <f t="shared" si="43"/>
        <v>Error?</v>
      </c>
    </row>
    <row r="2822" spans="1:4" x14ac:dyDescent="0.2">
      <c r="A2822" s="5">
        <v>2761</v>
      </c>
      <c r="B2822" s="138">
        <f>'Expenditures 15-22'!E185</f>
        <v>2752</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3128</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45347</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679310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123560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679310</v>
      </c>
      <c r="D2912" s="2" t="str">
        <f t="shared" si="44"/>
        <v>Error?</v>
      </c>
    </row>
    <row r="2913" spans="1:4" x14ac:dyDescent="0.2">
      <c r="A2913" s="5">
        <v>2852</v>
      </c>
      <c r="B2913" s="138">
        <f>'Assets-Liab 5-6'!I41</f>
        <v>679310</v>
      </c>
      <c r="C2913" s="2" t="s">
        <v>573</v>
      </c>
      <c r="D2913" s="2" t="str">
        <f t="shared" si="44"/>
        <v>Error?</v>
      </c>
    </row>
    <row r="2914" spans="1:4" x14ac:dyDescent="0.2">
      <c r="A2914" s="5">
        <v>2853</v>
      </c>
      <c r="B2914" s="138">
        <f>'Assets-Liab 5-6'!L33</f>
        <v>123560</v>
      </c>
      <c r="D2914" s="2" t="str">
        <f t="shared" si="44"/>
        <v>Error?</v>
      </c>
    </row>
    <row r="2915" spans="1:4" x14ac:dyDescent="0.2">
      <c r="A2915" s="10">
        <v>2854</v>
      </c>
      <c r="D2915" s="2" t="str">
        <f t="shared" si="44"/>
        <v>OK</v>
      </c>
    </row>
    <row r="2916" spans="1:4" x14ac:dyDescent="0.2">
      <c r="A2916" s="5">
        <v>2855</v>
      </c>
      <c r="B2916" s="138">
        <f>'Assets-Liab 5-6'!L34</f>
        <v>123560</v>
      </c>
      <c r="C2916" s="2" t="s">
        <v>573</v>
      </c>
      <c r="D2916" s="2" t="str">
        <f t="shared" si="44"/>
        <v>Error?</v>
      </c>
    </row>
    <row r="2917" spans="1:4" x14ac:dyDescent="0.2">
      <c r="A2917" s="5">
        <v>2856</v>
      </c>
      <c r="B2917" s="138">
        <f>'Assets-Liab 5-6'!L41</f>
        <v>123560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2625</v>
      </c>
      <c r="D2979" s="2" t="str">
        <f t="shared" si="45"/>
        <v>Error?</v>
      </c>
    </row>
    <row r="2980" spans="1:4" x14ac:dyDescent="0.2">
      <c r="A2980" s="5">
        <v>2919</v>
      </c>
      <c r="B2980" s="138">
        <f>'Expenditures 15-22'!H135</f>
        <v>8612</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2625</v>
      </c>
      <c r="C2986" s="2" t="s">
        <v>573</v>
      </c>
      <c r="D2986" s="2" t="str">
        <f t="shared" si="45"/>
        <v>Error?</v>
      </c>
    </row>
    <row r="2987" spans="1:4" x14ac:dyDescent="0.2">
      <c r="A2987" s="5">
        <v>2926</v>
      </c>
      <c r="B2987" s="138">
        <f>'Expenditures 15-22'!K135</f>
        <v>8612</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59577</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23963</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83540</v>
      </c>
      <c r="C3062" s="2" t="s">
        <v>573</v>
      </c>
      <c r="D3062" s="2" t="str">
        <f t="shared" si="46"/>
        <v>Error?</v>
      </c>
    </row>
    <row r="3063" spans="1:4" x14ac:dyDescent="0.2">
      <c r="A3063" s="10">
        <v>3002</v>
      </c>
      <c r="D3063" s="2" t="str">
        <f t="shared" si="46"/>
        <v>OK</v>
      </c>
    </row>
    <row r="3064" spans="1:4" x14ac:dyDescent="0.2">
      <c r="A3064" s="5">
        <v>3003</v>
      </c>
      <c r="B3064" s="138">
        <f>'Expenditures 15-22'!D219</f>
        <v>11752</v>
      </c>
      <c r="D3064" s="2" t="str">
        <f t="shared" si="46"/>
        <v>Error?</v>
      </c>
    </row>
    <row r="3065" spans="1:4" x14ac:dyDescent="0.2">
      <c r="A3065" s="5">
        <v>3004</v>
      </c>
      <c r="B3065" s="138">
        <f>'Expenditures 15-22'!K219</f>
        <v>11752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88846</v>
      </c>
      <c r="C3225" s="2" t="s">
        <v>573</v>
      </c>
      <c r="D3225" s="2" t="str">
        <f t="shared" si="49"/>
        <v>Error?</v>
      </c>
    </row>
    <row r="3226" spans="1:4" x14ac:dyDescent="0.2">
      <c r="A3226" s="5">
        <v>3165</v>
      </c>
      <c r="B3226" s="138">
        <f>'Acct Summary 7-8'!I8</f>
        <v>88846</v>
      </c>
      <c r="C3226" s="2" t="s">
        <v>573</v>
      </c>
      <c r="D3226" s="2" t="str">
        <f t="shared" si="49"/>
        <v>Error?</v>
      </c>
    </row>
    <row r="3227" spans="1:4" x14ac:dyDescent="0.2">
      <c r="A3227" s="5">
        <v>3166</v>
      </c>
      <c r="B3227" s="138">
        <f>'Acct Summary 7-8'!I20</f>
        <v>88846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37130</v>
      </c>
      <c r="C3231" s="2" t="s">
        <v>573</v>
      </c>
      <c r="D3231" s="2" t="str">
        <f t="shared" si="49"/>
        <v>Error?</v>
      </c>
    </row>
    <row r="3232" spans="1:4" x14ac:dyDescent="0.2">
      <c r="A3232" s="5">
        <v>3171</v>
      </c>
      <c r="B3232" s="138">
        <f>'Acct Summary 7-8'!C77</f>
        <v>-37130</v>
      </c>
      <c r="C3232" s="2" t="s">
        <v>573</v>
      </c>
      <c r="D3232" s="2" t="str">
        <f t="shared" si="49"/>
        <v>Error?</v>
      </c>
    </row>
    <row r="3233" spans="1:4" x14ac:dyDescent="0.2">
      <c r="A3233" s="5">
        <v>3172</v>
      </c>
      <c r="B3233" s="138">
        <f>'Acct Summary 7-8'!C78</f>
        <v>298840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42913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14800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14800</v>
      </c>
      <c r="C3255" s="2" t="s">
        <v>573</v>
      </c>
      <c r="D3255" s="2" t="str">
        <f t="shared" si="49"/>
        <v>Error?</v>
      </c>
    </row>
    <row r="3256" spans="1:4" x14ac:dyDescent="0.2">
      <c r="A3256" s="5">
        <v>3195</v>
      </c>
      <c r="B3256" s="138">
        <f>'Acct Summary 7-8'!F78</f>
        <v>89412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-12292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37130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37130</v>
      </c>
      <c r="C3277" s="2" t="s">
        <v>573</v>
      </c>
      <c r="D3277" s="2" t="str">
        <f t="shared" si="50"/>
        <v>Error?</v>
      </c>
    </row>
    <row r="3278" spans="1:4" x14ac:dyDescent="0.2">
      <c r="A3278" s="5">
        <v>3217</v>
      </c>
      <c r="B3278" s="138">
        <f>'Acct Summary 7-8'!E78</f>
        <v>-62362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-12172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88846</v>
      </c>
      <c r="C3320" s="2" t="s">
        <v>573</v>
      </c>
      <c r="D3320" s="2" t="str">
        <f t="shared" si="50"/>
        <v>Error?</v>
      </c>
    </row>
    <row r="3321" spans="1:4" x14ac:dyDescent="0.2">
      <c r="A3321" s="5">
        <v>3260</v>
      </c>
      <c r="B3321" s="138">
        <f>'Acct Summary 7-8'!I79</f>
        <v>590464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679310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387559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72210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2400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461973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44491</v>
      </c>
      <c r="D3387" s="2" t="str">
        <f t="shared" si="51"/>
        <v>Error?</v>
      </c>
    </row>
    <row r="3388" spans="1:4" x14ac:dyDescent="0.2">
      <c r="A3388" s="5">
        <v>3327</v>
      </c>
      <c r="B3388" s="138">
        <f>'Expenditures 15-22'!D217</f>
        <v>24505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44491</v>
      </c>
      <c r="C3390" s="2" t="s">
        <v>573</v>
      </c>
      <c r="D3390" s="2" t="str">
        <f t="shared" si="51"/>
        <v>Error?</v>
      </c>
    </row>
    <row r="3391" spans="1:4" x14ac:dyDescent="0.2">
      <c r="A3391" s="5">
        <v>3330</v>
      </c>
      <c r="B3391" s="138">
        <f>'Expenditures 15-22'!K217</f>
        <v>24505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7322991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1954353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380309</v>
      </c>
      <c r="D3417" s="2" t="str">
        <f t="shared" si="52"/>
        <v>Error?</v>
      </c>
    </row>
    <row r="3418" spans="1:4" x14ac:dyDescent="0.2">
      <c r="A3418" s="10">
        <v>3357</v>
      </c>
      <c r="D3418" s="2" t="str">
        <f t="shared" si="52"/>
        <v>OK</v>
      </c>
    </row>
    <row r="3419" spans="1:4" x14ac:dyDescent="0.2">
      <c r="A3419" s="5">
        <v>3358</v>
      </c>
      <c r="B3419" s="138">
        <f>'Assets-Liab 5-6'!F4</f>
        <v>1778542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183091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711580</v>
      </c>
      <c r="D3425" s="2" t="str">
        <f t="shared" si="52"/>
        <v>Error?</v>
      </c>
    </row>
    <row r="3426" spans="1:4" x14ac:dyDescent="0.2">
      <c r="A3426" s="10">
        <v>3365</v>
      </c>
      <c r="D3426" s="2" t="str">
        <f t="shared" si="52"/>
        <v>OK</v>
      </c>
    </row>
    <row r="3427" spans="1:4" x14ac:dyDescent="0.2">
      <c r="A3427" s="5">
        <v>3366</v>
      </c>
      <c r="B3427" s="138">
        <f>'Assets-Liab 5-6'!I4</f>
        <v>679310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123560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118136</v>
      </c>
      <c r="C3446" s="2" t="s">
        <v>573</v>
      </c>
      <c r="D3446" s="2" t="str">
        <f t="shared" si="52"/>
        <v>Error?</v>
      </c>
    </row>
    <row r="3447" spans="1:4" x14ac:dyDescent="0.2">
      <c r="A3447" s="5">
        <v>3386</v>
      </c>
      <c r="B3447" s="138">
        <f>'Tax Sched 23'!D16</f>
        <v>86105</v>
      </c>
      <c r="C3447" s="2" t="s">
        <v>573</v>
      </c>
      <c r="D3447" s="2" t="str">
        <f t="shared" si="52"/>
        <v>Error?</v>
      </c>
    </row>
    <row r="3448" spans="1:4" x14ac:dyDescent="0.2">
      <c r="A3448" s="5">
        <v>3387</v>
      </c>
      <c r="B3448" s="138">
        <f>'Tax Sched 23'!C16</f>
        <v>32031</v>
      </c>
      <c r="D3448" s="2" t="str">
        <f t="shared" si="52"/>
        <v>Error?</v>
      </c>
    </row>
    <row r="3449" spans="1:4" x14ac:dyDescent="0.2">
      <c r="A3449" s="5">
        <v>3388</v>
      </c>
      <c r="B3449" s="138">
        <f>'Tax Sched 23'!F16</f>
        <v>107971</v>
      </c>
      <c r="C3449" s="2" t="s">
        <v>573</v>
      </c>
      <c r="D3449" s="2" t="str">
        <f t="shared" si="52"/>
        <v>Error?</v>
      </c>
    </row>
    <row r="3450" spans="1:4" x14ac:dyDescent="0.2">
      <c r="A3450" s="5">
        <v>3389</v>
      </c>
      <c r="B3450" s="138">
        <f>'Tax Sched 23'!E16</f>
        <v>140002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14800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259472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259472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259472</v>
      </c>
      <c r="D3567" s="2" t="str">
        <f t="shared" si="54"/>
        <v>Error?</v>
      </c>
    </row>
    <row r="3568" spans="1:4" x14ac:dyDescent="0.2">
      <c r="A3568" s="5">
        <v>3507</v>
      </c>
      <c r="B3568" s="138">
        <f>'Assets-Liab 5-6'!K41</f>
        <v>259472</v>
      </c>
      <c r="C3568" s="2" t="s">
        <v>573</v>
      </c>
      <c r="D3568" s="2" t="str">
        <f t="shared" si="54"/>
        <v>Error?</v>
      </c>
    </row>
    <row r="3569" spans="1:4" x14ac:dyDescent="0.2">
      <c r="A3569" s="5">
        <v>3508</v>
      </c>
      <c r="B3569" s="138">
        <f>'Acct Summary 7-8'!K4</f>
        <v>87461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87461</v>
      </c>
      <c r="C3571" s="2" t="s">
        <v>573</v>
      </c>
      <c r="D3571" s="2" t="str">
        <f t="shared" si="54"/>
        <v>Error?</v>
      </c>
    </row>
    <row r="3572" spans="1:4" x14ac:dyDescent="0.2">
      <c r="A3572" s="5">
        <v>3511</v>
      </c>
      <c r="B3572" s="138">
        <f>'Acct Summary 7-8'!K13</f>
        <v>109754</v>
      </c>
      <c r="C3572" s="2" t="s">
        <v>573</v>
      </c>
      <c r="D3572" s="2" t="str">
        <f t="shared" si="54"/>
        <v>Error?</v>
      </c>
    </row>
    <row r="3573" spans="1:4" x14ac:dyDescent="0.2">
      <c r="A3573" s="5">
        <v>3512</v>
      </c>
      <c r="B3573" s="138">
        <f>'Acct Summary 7-8'!K15</f>
        <v>6268</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116022</v>
      </c>
      <c r="C3575" s="2" t="s">
        <v>573</v>
      </c>
      <c r="D3575" s="2" t="str">
        <f t="shared" si="54"/>
        <v>Error?</v>
      </c>
    </row>
    <row r="3576" spans="1:4" x14ac:dyDescent="0.2">
      <c r="A3576" s="5">
        <v>3515</v>
      </c>
      <c r="B3576" s="138">
        <f>'Acct Summary 7-8'!K20</f>
        <v>-28561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-28561</v>
      </c>
      <c r="C3588" s="2" t="s">
        <v>573</v>
      </c>
      <c r="D3588" s="2" t="str">
        <f t="shared" si="55"/>
        <v>Error?</v>
      </c>
    </row>
    <row r="3589" spans="1:4" x14ac:dyDescent="0.2">
      <c r="A3589" s="5">
        <v>3528</v>
      </c>
      <c r="B3589" s="138">
        <f>'Acct Summary 7-8'!K79</f>
        <v>288033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259472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13536</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13536</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13536</v>
      </c>
      <c r="C3621" s="2" t="s">
        <v>573</v>
      </c>
      <c r="D3621" s="2" t="str">
        <f t="shared" si="55"/>
        <v>Error?</v>
      </c>
    </row>
    <row r="3622" spans="1:4" x14ac:dyDescent="0.2">
      <c r="A3622" s="5">
        <v>3561</v>
      </c>
      <c r="B3622" s="138">
        <f>'Expenditures 15-22'!C367</f>
        <v>13536</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4676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4676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4676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91542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91542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91542</v>
      </c>
      <c r="C3649" s="2" t="s">
        <v>573</v>
      </c>
      <c r="D3649" s="2" t="str">
        <f t="shared" si="56"/>
        <v>Error?</v>
      </c>
    </row>
    <row r="3650" spans="1:4" x14ac:dyDescent="0.2">
      <c r="A3650" s="5">
        <v>3589</v>
      </c>
      <c r="B3650" s="138">
        <f>'Expenditures 15-22'!G367</f>
        <v>91542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6268</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109754</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109754</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109754</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116022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-28561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85622</v>
      </c>
      <c r="C3725" s="2" t="s">
        <v>573</v>
      </c>
      <c r="D3725" s="2" t="str">
        <f t="shared" si="57"/>
        <v>Error?</v>
      </c>
    </row>
    <row r="3726" spans="1:4" x14ac:dyDescent="0.2">
      <c r="A3726" s="5">
        <v>3665</v>
      </c>
      <c r="B3726" s="138">
        <f>'Tax Sched 23'!D13</f>
        <v>64410</v>
      </c>
      <c r="C3726" s="2" t="s">
        <v>573</v>
      </c>
      <c r="D3726" s="2" t="str">
        <f t="shared" si="57"/>
        <v>Error?</v>
      </c>
    </row>
    <row r="3727" spans="1:4" x14ac:dyDescent="0.2">
      <c r="A3727" s="5">
        <v>3666</v>
      </c>
      <c r="B3727" s="138">
        <f>'Tax Sched 23'!C13</f>
        <v>21212</v>
      </c>
      <c r="D3727" s="2" t="str">
        <f t="shared" si="57"/>
        <v>Error?</v>
      </c>
    </row>
    <row r="3728" spans="1:4" x14ac:dyDescent="0.2">
      <c r="A3728" s="5">
        <v>3667</v>
      </c>
      <c r="B3728" s="138">
        <f>'Tax Sched 23'!F13</f>
        <v>71503</v>
      </c>
      <c r="C3728" s="2" t="s">
        <v>573</v>
      </c>
      <c r="D3728" s="2" t="str">
        <f t="shared" si="57"/>
        <v>Error?</v>
      </c>
    </row>
    <row r="3729" spans="1:4" x14ac:dyDescent="0.2">
      <c r="A3729" s="5">
        <v>3668</v>
      </c>
      <c r="B3729" s="138">
        <f>'Tax Sched 23'!E13</f>
        <v>92715</v>
      </c>
      <c r="D3729" s="2" t="str">
        <f t="shared" si="57"/>
        <v>Error?</v>
      </c>
    </row>
    <row r="3730" spans="1:4" x14ac:dyDescent="0.2">
      <c r="A3730" s="5">
        <v>3669</v>
      </c>
      <c r="B3730" s="138">
        <f>'ICR Computation 30'!E10</f>
        <v>156477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2353715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8270652</v>
      </c>
      <c r="C4122" s="2" t="s">
        <v>573</v>
      </c>
      <c r="D4122" s="2" t="str">
        <f t="shared" si="63"/>
        <v>Error?</v>
      </c>
    </row>
    <row r="4123" spans="1:4" x14ac:dyDescent="0.2">
      <c r="A4123" s="5">
        <v>4062</v>
      </c>
      <c r="B4123" s="138">
        <f>'Acct Summary 7-8'!D10</f>
        <v>1099446</v>
      </c>
      <c r="C4123" s="2" t="s">
        <v>573</v>
      </c>
      <c r="D4123" s="2" t="str">
        <f t="shared" si="63"/>
        <v>Error?</v>
      </c>
    </row>
    <row r="4124" spans="1:4" x14ac:dyDescent="0.2">
      <c r="A4124" s="5">
        <v>4063</v>
      </c>
      <c r="B4124" s="138">
        <f>'Acct Summary 7-8'!E10</f>
        <v>1238614</v>
      </c>
      <c r="C4124" s="2" t="s">
        <v>573</v>
      </c>
      <c r="D4124" s="2" t="str">
        <f t="shared" si="63"/>
        <v>Error?</v>
      </c>
    </row>
    <row r="4125" spans="1:4" x14ac:dyDescent="0.2">
      <c r="A4125" s="5">
        <v>4064</v>
      </c>
      <c r="B4125" s="138">
        <f>'Acct Summary 7-8'!F10</f>
        <v>653180</v>
      </c>
      <c r="C4125" s="2" t="s">
        <v>573</v>
      </c>
      <c r="D4125" s="2" t="str">
        <f t="shared" si="63"/>
        <v>Error?</v>
      </c>
    </row>
    <row r="4126" spans="1:4" x14ac:dyDescent="0.2">
      <c r="A4126" s="5">
        <v>4065</v>
      </c>
      <c r="B4126" s="138">
        <f>'Acct Summary 7-8'!G10</f>
        <v>237348</v>
      </c>
      <c r="C4126" s="2" t="s">
        <v>573</v>
      </c>
      <c r="D4126" s="2" t="str">
        <f t="shared" si="63"/>
        <v>Error?</v>
      </c>
    </row>
    <row r="4127" spans="1:4" x14ac:dyDescent="0.2">
      <c r="A4127" s="5">
        <v>4066</v>
      </c>
      <c r="B4127" s="138">
        <f>'Acct Summary 7-8'!H10</f>
        <v>1410</v>
      </c>
      <c r="C4127" s="2" t="s">
        <v>573</v>
      </c>
      <c r="D4127" s="2" t="str">
        <f t="shared" si="63"/>
        <v>Error?</v>
      </c>
    </row>
    <row r="4128" spans="1:4" x14ac:dyDescent="0.2">
      <c r="A4128" s="5">
        <v>4067</v>
      </c>
      <c r="B4128" s="138">
        <f>'Acct Summary 7-8'!I10</f>
        <v>88846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87461</v>
      </c>
      <c r="C4130" s="2" t="s">
        <v>573</v>
      </c>
      <c r="D4130" s="2" t="str">
        <f t="shared" si="63"/>
        <v>Error?</v>
      </c>
    </row>
    <row r="4131" spans="1:4" x14ac:dyDescent="0.2">
      <c r="A4131" s="5">
        <v>4070</v>
      </c>
      <c r="B4131" s="138">
        <f>'Acct Summary 7-8'!C18</f>
        <v>2353715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7934682</v>
      </c>
      <c r="C4136" s="2" t="s">
        <v>573</v>
      </c>
      <c r="D4136" s="2" t="str">
        <f t="shared" si="63"/>
        <v>Error?</v>
      </c>
    </row>
    <row r="4137" spans="1:4" x14ac:dyDescent="0.2">
      <c r="A4137" s="5">
        <v>4076</v>
      </c>
      <c r="B4137" s="138">
        <f>'Acct Summary 7-8'!D19</f>
        <v>1056533</v>
      </c>
      <c r="C4137" s="2" t="s">
        <v>573</v>
      </c>
      <c r="D4137" s="2" t="str">
        <f t="shared" si="63"/>
        <v>Error?</v>
      </c>
    </row>
    <row r="4138" spans="1:4" x14ac:dyDescent="0.2">
      <c r="A4138" s="5">
        <v>4077</v>
      </c>
      <c r="B4138" s="138">
        <f>'Acct Summary 7-8'!E19</f>
        <v>1338106</v>
      </c>
      <c r="C4138" s="2" t="s">
        <v>573</v>
      </c>
      <c r="D4138" s="2" t="str">
        <f t="shared" si="63"/>
        <v>Error?</v>
      </c>
    </row>
    <row r="4139" spans="1:4" x14ac:dyDescent="0.2">
      <c r="A4139" s="5">
        <v>4078</v>
      </c>
      <c r="B4139" s="138">
        <f>'Acct Summary 7-8'!F19</f>
        <v>578568</v>
      </c>
      <c r="C4139" s="2" t="s">
        <v>573</v>
      </c>
      <c r="D4139" s="2" t="str">
        <f t="shared" si="63"/>
        <v>Error?</v>
      </c>
    </row>
    <row r="4140" spans="1:4" x14ac:dyDescent="0.2">
      <c r="A4140" s="5">
        <v>4079</v>
      </c>
      <c r="B4140" s="138">
        <f>'Acct Summary 7-8'!G19</f>
        <v>249640</v>
      </c>
      <c r="C4140" s="2" t="s">
        <v>573</v>
      </c>
      <c r="D4140" s="2" t="str">
        <f t="shared" si="63"/>
        <v>Error?</v>
      </c>
    </row>
    <row r="4141" spans="1:4" x14ac:dyDescent="0.2">
      <c r="A4141" s="5">
        <v>4080</v>
      </c>
      <c r="B4141" s="138">
        <f>'Acct Summary 7-8'!H19</f>
        <v>13582</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116022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8383528</v>
      </c>
      <c r="C4171" s="2" t="s">
        <v>573</v>
      </c>
      <c r="D4171" s="2" t="str">
        <f t="shared" si="64"/>
        <v>Error?</v>
      </c>
    </row>
    <row r="4172" spans="1:4" x14ac:dyDescent="0.2">
      <c r="A4172" s="5">
        <v>4111</v>
      </c>
      <c r="B4172" s="138">
        <f>'Short-Term Long-Term Debt 24'!J49</f>
        <v>8003219</v>
      </c>
      <c r="C4172" s="2" t="s">
        <v>573</v>
      </c>
      <c r="D4172" s="2" t="str">
        <f t="shared" si="64"/>
        <v>Error?</v>
      </c>
    </row>
    <row r="4173" spans="1:4" x14ac:dyDescent="0.2">
      <c r="A4173" s="5">
        <v>4112</v>
      </c>
      <c r="B4173" s="138">
        <f>'Short-Term Long-Term Debt 24'!H49</f>
        <v>975583</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49923</v>
      </c>
      <c r="D4210" s="2" t="str">
        <f t="shared" si="64"/>
        <v>Error?</v>
      </c>
    </row>
    <row r="4211" spans="1:4" x14ac:dyDescent="0.2">
      <c r="A4211" s="5">
        <v>4150</v>
      </c>
      <c r="B4211" s="138">
        <f>'Expenditures 15-22'!K206</f>
        <v>49923</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2494.54</v>
      </c>
      <c r="C4265" s="2" t="s">
        <v>573</v>
      </c>
      <c r="D4265" s="2" t="str">
        <f t="shared" si="65"/>
        <v>Error?</v>
      </c>
      <c r="E4265" s="128"/>
    </row>
    <row r="4266" spans="1:5" x14ac:dyDescent="0.2">
      <c r="A4266" s="12">
        <v>4205</v>
      </c>
      <c r="B4266" s="138">
        <f>('FP Info 3'!F10)*100000</f>
        <v>598.68999999999994</v>
      </c>
      <c r="C4266" s="2" t="s">
        <v>573</v>
      </c>
      <c r="D4266" s="2" t="str">
        <f t="shared" si="65"/>
        <v>Error?</v>
      </c>
      <c r="E4266" s="128"/>
    </row>
    <row r="4267" spans="1:5" x14ac:dyDescent="0.2">
      <c r="A4267" s="12">
        <v>4206</v>
      </c>
      <c r="B4267" s="138">
        <f>('FP Info 3'!H10)*100000</f>
        <v>174.92000000000002</v>
      </c>
      <c r="C4267" s="2" t="s">
        <v>573</v>
      </c>
      <c r="D4267" s="2" t="str">
        <f t="shared" si="65"/>
        <v>Error?</v>
      </c>
      <c r="E4267" s="128"/>
    </row>
    <row r="4268" spans="1:5" x14ac:dyDescent="0.2">
      <c r="A4268" s="12">
        <v>4207</v>
      </c>
      <c r="B4268" s="138">
        <f>('FP Info 3'!J10)*100000</f>
        <v>3268</v>
      </c>
      <c r="C4268" s="2" t="s">
        <v>573</v>
      </c>
      <c r="D4268" s="2" t="str">
        <f t="shared" si="65"/>
        <v>Error?</v>
      </c>
    </row>
    <row r="4269" spans="1:5" x14ac:dyDescent="0.2">
      <c r="A4269" s="12">
        <v>4208</v>
      </c>
      <c r="B4269" s="138">
        <f>'FP Info 3'!J16</f>
        <v>12395196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12326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18627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12812</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18950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119545</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119545</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696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27637</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186535840</v>
      </c>
      <c r="D4995" s="2" t="str">
        <f t="shared" si="77"/>
        <v>Error?</v>
      </c>
    </row>
    <row r="4996" spans="1:4" x14ac:dyDescent="0.2">
      <c r="A4996" s="12">
        <v>4935</v>
      </c>
      <c r="B4996" s="138">
        <f>'FP Info 3'!H31</f>
        <v>25741945.920000002</v>
      </c>
      <c r="D4996" s="2" t="str">
        <f t="shared" si="77"/>
        <v>Error?</v>
      </c>
    </row>
    <row r="4997" spans="1:4" x14ac:dyDescent="0.2">
      <c r="A4997" s="12">
        <v>4936</v>
      </c>
      <c r="B4997" s="138">
        <f>'FP Info 3'!H37</f>
        <v>8383528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85622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4281270</v>
      </c>
      <c r="D5061" s="2" t="str">
        <f t="shared" si="78"/>
        <v>Error?</v>
      </c>
    </row>
    <row r="5062" spans="1:4" x14ac:dyDescent="0.2">
      <c r="A5062" s="10">
        <v>5001</v>
      </c>
      <c r="D5062" s="2" t="str">
        <f t="shared" si="78"/>
        <v>OK</v>
      </c>
    </row>
    <row r="5063" spans="1:4" x14ac:dyDescent="0.2">
      <c r="A5063" s="5">
        <v>5002</v>
      </c>
      <c r="B5063" s="138">
        <f>'Revenues 9-14'!C7</f>
        <v>68423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4435315</v>
      </c>
      <c r="C5066" s="2" t="s">
        <v>573</v>
      </c>
      <c r="D5066" s="2" t="str">
        <f t="shared" si="78"/>
        <v>Error?</v>
      </c>
    </row>
    <row r="5067" spans="1:4" x14ac:dyDescent="0.2">
      <c r="A5067" s="5">
        <v>5006</v>
      </c>
      <c r="B5067" s="138">
        <f>'Revenues 9-14'!C14</f>
        <v>758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101068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101826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133269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133269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9306</v>
      </c>
      <c r="D5094" s="2" t="str">
        <f t="shared" si="78"/>
        <v>Error?</v>
      </c>
    </row>
    <row r="5095" spans="1:4" x14ac:dyDescent="0.2">
      <c r="A5095" s="5">
        <v>5034</v>
      </c>
      <c r="B5095" s="138">
        <f>'Revenues 9-14'!C74</f>
        <v>114</v>
      </c>
      <c r="D5095" s="2" t="str">
        <f t="shared" si="78"/>
        <v>Error?</v>
      </c>
    </row>
    <row r="5096" spans="1:4" x14ac:dyDescent="0.2">
      <c r="A5096" s="5">
        <v>5035</v>
      </c>
      <c r="B5096" s="138">
        <f>'Revenues 9-14'!C75</f>
        <v>163446</v>
      </c>
      <c r="C5096" s="2" t="s">
        <v>573</v>
      </c>
      <c r="D5096" s="2" t="str">
        <f t="shared" si="78"/>
        <v>Error?</v>
      </c>
    </row>
    <row r="5097" spans="1:4" x14ac:dyDescent="0.2">
      <c r="A5097" s="5">
        <v>5036</v>
      </c>
      <c r="B5097" s="138">
        <f>'Revenues 9-14'!C77</f>
        <v>22786</v>
      </c>
      <c r="D5097" s="2" t="str">
        <f t="shared" si="78"/>
        <v>Error?</v>
      </c>
    </row>
    <row r="5098" spans="1:4" x14ac:dyDescent="0.2">
      <c r="A5098" s="5">
        <v>5037</v>
      </c>
      <c r="B5098" s="138">
        <f>'Revenues 9-14'!C78</f>
        <v>17967</v>
      </c>
      <c r="D5098" s="2" t="str">
        <f t="shared" si="78"/>
        <v>Error?</v>
      </c>
    </row>
    <row r="5099" spans="1:4" x14ac:dyDescent="0.2">
      <c r="A5099" s="5">
        <v>5038</v>
      </c>
      <c r="B5099" s="138">
        <f>'Revenues 9-14'!C79</f>
        <v>805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41558</v>
      </c>
      <c r="C5102" s="2" t="s">
        <v>573</v>
      </c>
      <c r="D5102" s="2" t="str">
        <f t="shared" si="78"/>
        <v>Error?</v>
      </c>
    </row>
    <row r="5103" spans="1:4" x14ac:dyDescent="0.2">
      <c r="A5103" s="5">
        <v>5042</v>
      </c>
      <c r="B5103" s="138">
        <f>'Revenues 9-14'!C84</f>
        <v>20762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20762</v>
      </c>
      <c r="C5112" s="2" t="s">
        <v>573</v>
      </c>
      <c r="D5112" s="2" t="str">
        <f t="shared" si="78"/>
        <v>Error?</v>
      </c>
    </row>
    <row r="5113" spans="1:4" x14ac:dyDescent="0.2">
      <c r="A5113" s="5">
        <v>5052</v>
      </c>
      <c r="B5113" s="138">
        <f>'Revenues 9-14'!C95</f>
        <v>9000</v>
      </c>
      <c r="D5113" s="2" t="str">
        <f t="shared" si="78"/>
        <v>Error?</v>
      </c>
    </row>
    <row r="5114" spans="1:4" x14ac:dyDescent="0.2">
      <c r="A5114" s="5">
        <v>5053</v>
      </c>
      <c r="B5114" s="138">
        <f>'Revenues 9-14'!C96</f>
        <v>12850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2502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181</v>
      </c>
      <c r="D5119" s="2" t="str">
        <f t="shared" ref="D5119:D5182" si="79">IF(ISBLANK(B5119),"OK",IF(A5119-B5119=0,"OK","Error?"))</f>
        <v>Error?</v>
      </c>
    </row>
    <row r="5120" spans="1:4" x14ac:dyDescent="0.2">
      <c r="A5120" s="5">
        <v>5059</v>
      </c>
      <c r="B5120" s="138">
        <f>'Revenues 9-14'!C108</f>
        <v>27629</v>
      </c>
      <c r="C5120" s="2" t="s">
        <v>573</v>
      </c>
      <c r="D5120" s="2" t="str">
        <f t="shared" si="79"/>
        <v>Error?</v>
      </c>
    </row>
    <row r="5121" spans="1:4" x14ac:dyDescent="0.2">
      <c r="A5121" s="5">
        <v>5060</v>
      </c>
      <c r="B5121" s="138">
        <f>'Revenues 9-14'!C109</f>
        <v>4923805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564700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564700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16151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36106</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2497</v>
      </c>
      <c r="D5167" s="2" t="str">
        <f t="shared" si="79"/>
        <v>Error?</v>
      </c>
    </row>
    <row r="5168" spans="1:4" x14ac:dyDescent="0.2">
      <c r="A5168" s="5">
        <v>5107</v>
      </c>
      <c r="B5168" s="138">
        <f>'Revenues 9-14'!C148</f>
        <v>9577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750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1734</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50664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615364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27637</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126102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28360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2014</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156476</v>
      </c>
      <c r="C5246" s="2" t="s">
        <v>573</v>
      </c>
      <c r="D5246" s="2" t="str">
        <f t="shared" si="80"/>
        <v>Error?</v>
      </c>
    </row>
    <row r="5247" spans="1:4" x14ac:dyDescent="0.2">
      <c r="A5247" s="5">
        <v>5186</v>
      </c>
      <c r="B5247" s="138">
        <f>'Revenues 9-14'!C200</f>
        <v>130940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12812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130940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350131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377768</v>
      </c>
      <c r="C5326" s="2" t="s">
        <v>573</v>
      </c>
      <c r="D5326" s="2" t="str">
        <f t="shared" si="82"/>
        <v>Error?</v>
      </c>
    </row>
    <row r="5327" spans="1:5" x14ac:dyDescent="0.2">
      <c r="A5327" s="5">
        <v>5266</v>
      </c>
      <c r="B5327" s="138">
        <f>'Revenues 9-14'!C268</f>
        <v>5916937</v>
      </c>
      <c r="C5327" s="2" t="s">
        <v>573</v>
      </c>
      <c r="D5327" s="2" t="str">
        <f t="shared" si="82"/>
        <v>Error?</v>
      </c>
    </row>
    <row r="5328" spans="1:5" x14ac:dyDescent="0.2">
      <c r="A5328" s="5">
        <v>5267</v>
      </c>
      <c r="B5328" s="138">
        <f>'Revenues 9-14'!D5</f>
        <v>1027452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1027452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25319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25319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1825</v>
      </c>
      <c r="D5349" s="2" t="str">
        <f t="shared" si="82"/>
        <v>Error?</v>
      </c>
    </row>
    <row r="5350" spans="1:4" x14ac:dyDescent="0.2">
      <c r="A5350" s="5">
        <v>5289</v>
      </c>
      <c r="B5350" s="138">
        <f>'Revenues 9-14'!D96</f>
        <v>25000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16100</v>
      </c>
      <c r="D5354" s="2" t="str">
        <f t="shared" si="82"/>
        <v>Error?</v>
      </c>
    </row>
    <row r="5355" spans="1:4" x14ac:dyDescent="0.2">
      <c r="A5355" s="5">
        <v>5294</v>
      </c>
      <c r="B5355" s="138">
        <f>'Revenues 9-14'!D108</f>
        <v>42925</v>
      </c>
      <c r="C5355" s="2" t="s">
        <v>573</v>
      </c>
      <c r="D5355" s="2" t="str">
        <f t="shared" si="82"/>
        <v>Error?</v>
      </c>
    </row>
    <row r="5356" spans="1:4" x14ac:dyDescent="0.2">
      <c r="A5356" s="5">
        <v>5295</v>
      </c>
      <c r="B5356" s="138">
        <f>'Revenues 9-14'!D109</f>
        <v>1095696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3750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3750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3750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1099446</v>
      </c>
      <c r="C5508" s="2" t="s">
        <v>573</v>
      </c>
      <c r="D5508" s="2" t="str">
        <f t="shared" si="85"/>
        <v>Error?</v>
      </c>
    </row>
    <row r="5509" spans="1:4" x14ac:dyDescent="0.2">
      <c r="A5509" s="5">
        <v>5448</v>
      </c>
      <c r="B5509" s="138">
        <f>'Revenues 9-14'!E5</f>
        <v>1097361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1097361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21708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21708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1119069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1238614</v>
      </c>
      <c r="C5552" s="2" t="s">
        <v>573</v>
      </c>
      <c r="D5552" s="2" t="str">
        <f t="shared" si="85"/>
        <v>Error?</v>
      </c>
    </row>
    <row r="5553" spans="1:4" x14ac:dyDescent="0.2">
      <c r="A5553" s="5">
        <v>5492</v>
      </c>
      <c r="B5553" s="138">
        <f>'Revenues 9-14'!F5</f>
        <v>332006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332006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18199</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18199</v>
      </c>
      <c r="C5579" s="2" t="s">
        <v>573</v>
      </c>
      <c r="D5579" s="2" t="str">
        <f t="shared" si="86"/>
        <v>Error?</v>
      </c>
    </row>
    <row r="5580" spans="1:4" x14ac:dyDescent="0.2">
      <c r="A5580" s="5">
        <v>5519</v>
      </c>
      <c r="B5580" s="138">
        <f>'Revenues 9-14'!F65</f>
        <v>11476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11476</v>
      </c>
      <c r="C5582" s="2" t="s">
        <v>573</v>
      </c>
      <c r="D5582" s="2" t="str">
        <f t="shared" si="86"/>
        <v>Error?</v>
      </c>
    </row>
    <row r="5583" spans="1:4" x14ac:dyDescent="0.2">
      <c r="A5583" s="5">
        <v>5522</v>
      </c>
      <c r="B5583" s="138">
        <f>'Revenues 9-14'!F96</f>
        <v>215</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215</v>
      </c>
      <c r="C5587" s="2" t="s">
        <v>573</v>
      </c>
      <c r="D5587" s="2" t="str">
        <f t="shared" si="86"/>
        <v>Error?</v>
      </c>
    </row>
    <row r="5588" spans="1:4" x14ac:dyDescent="0.2">
      <c r="A5588" s="5">
        <v>5527</v>
      </c>
      <c r="B5588" s="138">
        <f>'Revenues 9-14'!F109</f>
        <v>361896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119511</v>
      </c>
      <c r="D5615" s="2" t="str">
        <f t="shared" si="86"/>
        <v>Error?</v>
      </c>
    </row>
    <row r="5616" spans="1:4" x14ac:dyDescent="0.2">
      <c r="A5616" s="10">
        <v>5555</v>
      </c>
      <c r="D5616" s="2" t="str">
        <f t="shared" si="86"/>
        <v>OK</v>
      </c>
    </row>
    <row r="5617" spans="1:5" x14ac:dyDescent="0.2">
      <c r="A5617" s="5">
        <v>5556</v>
      </c>
      <c r="B5617" s="138">
        <f>'Revenues 9-14'!F153</f>
        <v>121773</v>
      </c>
      <c r="D5617" s="2" t="str">
        <f t="shared" si="86"/>
        <v>Error?</v>
      </c>
    </row>
    <row r="5618" spans="1:5" x14ac:dyDescent="0.2">
      <c r="A5618" s="5">
        <v>5557</v>
      </c>
      <c r="B5618" s="138">
        <f>'Revenues 9-14'!F155</f>
        <v>241284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50000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291284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291284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653180</v>
      </c>
      <c r="C5720" s="2" t="s">
        <v>573</v>
      </c>
      <c r="D5720" s="2" t="str">
        <f t="shared" si="88"/>
        <v>Error?</v>
      </c>
    </row>
    <row r="5721" spans="1:4" x14ac:dyDescent="0.2">
      <c r="A5721" s="5">
        <v>5660</v>
      </c>
      <c r="B5721" s="138">
        <f>'Revenues 9-14'!G5</f>
        <v>106856</v>
      </c>
      <c r="D5721" s="2" t="str">
        <f t="shared" si="88"/>
        <v>Error?</v>
      </c>
    </row>
    <row r="5722" spans="1:4" x14ac:dyDescent="0.2">
      <c r="A5722" s="5">
        <v>5661</v>
      </c>
      <c r="B5722" s="138">
        <f>'Revenues 9-14'!G7</f>
        <v>0</v>
      </c>
      <c r="D5722" s="2" t="str">
        <f t="shared" si="88"/>
        <v>Error?</v>
      </c>
    </row>
    <row r="5723" spans="1:4" x14ac:dyDescent="0.2">
      <c r="A5723" s="5">
        <v>5662</v>
      </c>
      <c r="B5723" s="138">
        <f>'Revenues 9-14'!G8</f>
        <v>118136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224992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7595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7595</v>
      </c>
      <c r="C5730" s="2" t="s">
        <v>573</v>
      </c>
      <c r="D5730" s="2" t="str">
        <f t="shared" si="88"/>
        <v>Error?</v>
      </c>
    </row>
    <row r="5731" spans="1:4" x14ac:dyDescent="0.2">
      <c r="A5731" s="5">
        <v>5670</v>
      </c>
      <c r="B5731" s="138">
        <f>'Revenues 9-14'!G65</f>
        <v>4761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4761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237348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1410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1410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1410</v>
      </c>
      <c r="C5915" s="2" t="s">
        <v>573</v>
      </c>
      <c r="D5915" s="2" t="str">
        <f t="shared" si="91"/>
        <v>Error?</v>
      </c>
    </row>
    <row r="5916" spans="1:4" x14ac:dyDescent="0.2">
      <c r="A5916" s="5">
        <v>5855</v>
      </c>
      <c r="B5916" s="138">
        <f>'Revenues 9-14'!I5</f>
        <v>85622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85622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3224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3224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88846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85622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85622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1839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1839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87461</v>
      </c>
      <c r="C6023" s="2" t="s">
        <v>573</v>
      </c>
      <c r="D6023" s="2" t="str">
        <f t="shared" si="93"/>
        <v>Error?</v>
      </c>
    </row>
    <row r="6024" spans="1:5" x14ac:dyDescent="0.2">
      <c r="A6024" s="5">
        <v>5963</v>
      </c>
      <c r="B6024" s="138">
        <f>'Revenues 9-14'!G109</f>
        <v>237348</v>
      </c>
      <c r="C6024" s="2" t="s">
        <v>573</v>
      </c>
      <c r="D6024" s="2" t="str">
        <f t="shared" si="93"/>
        <v>Error?</v>
      </c>
    </row>
    <row r="6025" spans="1:5" x14ac:dyDescent="0.2">
      <c r="A6025" s="5">
        <v>5964</v>
      </c>
      <c r="B6025" s="138">
        <f>'Revenues 9-14'!H109</f>
        <v>1410</v>
      </c>
      <c r="C6025" s="2" t="s">
        <v>573</v>
      </c>
      <c r="D6025" s="2" t="str">
        <f t="shared" si="93"/>
        <v>Error?</v>
      </c>
    </row>
    <row r="6026" spans="1:5" x14ac:dyDescent="0.2">
      <c r="A6026" s="5">
        <v>5965</v>
      </c>
      <c r="B6026" s="138">
        <f>'Revenues 9-14'!I109</f>
        <v>88846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87461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154026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35182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553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202865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202865</v>
      </c>
      <c r="D6215" s="2" t="str">
        <f t="shared" si="96"/>
        <v>Error?</v>
      </c>
      <c r="E6215" s="2" t="s">
        <v>190</v>
      </c>
    </row>
    <row r="6216" spans="1:5" x14ac:dyDescent="0.2">
      <c r="A6216">
        <v>6155</v>
      </c>
      <c r="B6216" s="138">
        <f>'Assets-Liab 5-6'!J41</f>
        <v>202865</v>
      </c>
      <c r="D6216" s="2" t="str">
        <f t="shared" si="96"/>
        <v>Error?</v>
      </c>
      <c r="E6216" s="2" t="s">
        <v>190</v>
      </c>
    </row>
    <row r="6217" spans="1:5" x14ac:dyDescent="0.2">
      <c r="A6217">
        <v>6156</v>
      </c>
      <c r="B6217" s="138">
        <f>'Assets-Liab 5-6'!J4</f>
        <v>202865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183097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183097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183097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210367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210367</v>
      </c>
      <c r="D6229" s="2" t="str">
        <f t="shared" si="96"/>
        <v>Error?</v>
      </c>
      <c r="E6229" s="2" t="s">
        <v>190</v>
      </c>
    </row>
    <row r="6230" spans="1:5" x14ac:dyDescent="0.2">
      <c r="A6230">
        <v>6169</v>
      </c>
      <c r="B6230" s="138">
        <f>'Acct Summary 7-8'!J20</f>
        <v>-27270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35660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1470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-27270</v>
      </c>
      <c r="D6263" s="2" t="str">
        <f t="shared" si="96"/>
        <v>Error?</v>
      </c>
      <c r="E6263" s="2" t="s">
        <v>190</v>
      </c>
    </row>
    <row r="6264" spans="1:5" x14ac:dyDescent="0.2">
      <c r="A6264">
        <v>6203</v>
      </c>
      <c r="B6264" s="138">
        <f>'Acct Summary 7-8'!J79</f>
        <v>230135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202865</v>
      </c>
      <c r="D6266" s="2" t="str">
        <f t="shared" si="96"/>
        <v>Error?</v>
      </c>
      <c r="E6266" s="2" t="s">
        <v>190</v>
      </c>
    </row>
    <row r="6267" spans="1:5" x14ac:dyDescent="0.2">
      <c r="A6267">
        <v>6206</v>
      </c>
      <c r="B6267" s="138">
        <f>'Acct Summary 7-8'!C82</f>
        <v>298840</v>
      </c>
      <c r="D6267" s="2" t="str">
        <f t="shared" si="96"/>
        <v>Error?</v>
      </c>
      <c r="E6267" s="2" t="s">
        <v>190</v>
      </c>
    </row>
    <row r="6268" spans="1:5" x14ac:dyDescent="0.2">
      <c r="A6268">
        <v>6207</v>
      </c>
      <c r="B6268" s="138">
        <f>'Acct Summary 7-8'!D82</f>
        <v>42913</v>
      </c>
      <c r="D6268" s="2" t="str">
        <f t="shared" si="96"/>
        <v>Error?</v>
      </c>
      <c r="E6268" s="2" t="s">
        <v>190</v>
      </c>
    </row>
    <row r="6269" spans="1:5" x14ac:dyDescent="0.2">
      <c r="A6269">
        <v>6208</v>
      </c>
      <c r="B6269" s="138">
        <f>'Acct Summary 7-8'!E82</f>
        <v>-62362</v>
      </c>
      <c r="D6269" s="2" t="str">
        <f t="shared" si="96"/>
        <v>Error?</v>
      </c>
      <c r="E6269" s="2" t="s">
        <v>190</v>
      </c>
    </row>
    <row r="6270" spans="1:5" x14ac:dyDescent="0.2">
      <c r="A6270">
        <v>6209</v>
      </c>
      <c r="B6270" s="138">
        <f>'Acct Summary 7-8'!F82</f>
        <v>89412</v>
      </c>
      <c r="D6270" s="2" t="str">
        <f t="shared" si="96"/>
        <v>Error?</v>
      </c>
      <c r="E6270" s="2" t="s">
        <v>190</v>
      </c>
    </row>
    <row r="6271" spans="1:5" x14ac:dyDescent="0.2">
      <c r="A6271">
        <v>6210</v>
      </c>
      <c r="B6271" s="138">
        <f>'Acct Summary 7-8'!G82</f>
        <v>-12292</v>
      </c>
      <c r="D6271" s="2" t="str">
        <f t="shared" ref="D6271:D6334" si="97">IF(ISBLANK(B6271),"OK",IF(A6271-B6271=0,"OK","Error?"))</f>
        <v>Error?</v>
      </c>
      <c r="E6271" s="2" t="s">
        <v>190</v>
      </c>
    </row>
    <row r="6272" spans="1:5" x14ac:dyDescent="0.2">
      <c r="A6272">
        <v>6211</v>
      </c>
      <c r="B6272" s="138">
        <f>'Acct Summary 7-8'!H82</f>
        <v>-12172</v>
      </c>
      <c r="D6272" s="2" t="str">
        <f t="shared" si="97"/>
        <v>Error?</v>
      </c>
      <c r="E6272" s="2" t="s">
        <v>190</v>
      </c>
    </row>
    <row r="6273" spans="1:5" x14ac:dyDescent="0.2">
      <c r="A6273">
        <v>6212</v>
      </c>
      <c r="B6273" s="138">
        <f>'Acct Summary 7-8'!I82</f>
        <v>88846</v>
      </c>
      <c r="D6273" s="2" t="str">
        <f t="shared" si="97"/>
        <v>Error?</v>
      </c>
      <c r="E6273" s="2" t="s">
        <v>190</v>
      </c>
    </row>
    <row r="6274" spans="1:5" x14ac:dyDescent="0.2">
      <c r="A6274">
        <v>6213</v>
      </c>
      <c r="B6274" s="138">
        <f>'Acct Summary 7-8'!J82</f>
        <v>-27270</v>
      </c>
      <c r="D6274" s="2" t="str">
        <f t="shared" si="97"/>
        <v>Error?</v>
      </c>
      <c r="E6274" s="2" t="s">
        <v>190</v>
      </c>
    </row>
    <row r="6275" spans="1:5" x14ac:dyDescent="0.2">
      <c r="A6275">
        <v>6214</v>
      </c>
      <c r="B6275" s="138">
        <f>'Acct Summary 7-8'!K82</f>
        <v>-28561</v>
      </c>
      <c r="D6275" s="2" t="str">
        <f t="shared" si="97"/>
        <v>Error?</v>
      </c>
      <c r="E6275" s="2" t="s">
        <v>190</v>
      </c>
    </row>
    <row r="6276" spans="1:5" x14ac:dyDescent="0.2">
      <c r="A6276">
        <v>6215</v>
      </c>
      <c r="B6276" s="138">
        <f>'Acct Summary 7-8'!C83</f>
        <v>3.7434590618979781E-2</v>
      </c>
      <c r="D6276" s="2" t="str">
        <f t="shared" si="97"/>
        <v>Error?</v>
      </c>
      <c r="E6276" s="2" t="s">
        <v>190</v>
      </c>
    </row>
    <row r="6277" spans="1:5" x14ac:dyDescent="0.2">
      <c r="A6277">
        <v>6216</v>
      </c>
      <c r="B6277" s="138">
        <f>'Acct Summary 7-8'!D83</f>
        <v>2.1957650434696292E-2</v>
      </c>
      <c r="D6277" s="2" t="str">
        <f t="shared" si="97"/>
        <v>Error?</v>
      </c>
      <c r="E6277" s="2" t="s">
        <v>190</v>
      </c>
    </row>
    <row r="6278" spans="1:5" x14ac:dyDescent="0.2">
      <c r="A6278">
        <v>6217</v>
      </c>
      <c r="B6278" s="138">
        <f>'Acct Summary 7-8'!E83</f>
        <v>-0.16397718697164673</v>
      </c>
      <c r="D6278" s="2" t="str">
        <f t="shared" si="97"/>
        <v>Error?</v>
      </c>
      <c r="E6278" s="2" t="s">
        <v>190</v>
      </c>
    </row>
    <row r="6279" spans="1:5" x14ac:dyDescent="0.2">
      <c r="A6279">
        <v>6218</v>
      </c>
      <c r="B6279" s="138">
        <f>'Acct Summary 7-8'!F83</f>
        <v>5.0272639049288685E-2</v>
      </c>
      <c r="D6279" s="2" t="str">
        <f t="shared" si="97"/>
        <v>Error?</v>
      </c>
      <c r="E6279" s="2" t="s">
        <v>190</v>
      </c>
    </row>
    <row r="6280" spans="1:5" x14ac:dyDescent="0.2">
      <c r="A6280">
        <v>6219</v>
      </c>
      <c r="B6280" s="138">
        <f>'Acct Summary 7-8'!G83</f>
        <v>-6.7136014331671143E-2</v>
      </c>
      <c r="D6280" s="2" t="str">
        <f t="shared" si="97"/>
        <v>Error?</v>
      </c>
      <c r="E6280" s="2" t="s">
        <v>190</v>
      </c>
    </row>
    <row r="6281" spans="1:5" x14ac:dyDescent="0.2">
      <c r="A6281">
        <v>6220</v>
      </c>
      <c r="B6281" s="138">
        <f>'Acct Summary 7-8'!H83</f>
        <v>-1.7105595997639056E-2</v>
      </c>
      <c r="D6281" s="2" t="str">
        <f t="shared" si="97"/>
        <v>Error?</v>
      </c>
      <c r="E6281" s="2" t="s">
        <v>190</v>
      </c>
    </row>
    <row r="6282" spans="1:5" x14ac:dyDescent="0.2">
      <c r="A6282">
        <v>6221</v>
      </c>
      <c r="B6282" s="138">
        <f>'Acct Summary 7-8'!I83</f>
        <v>0.13078859430893111</v>
      </c>
      <c r="D6282" s="2" t="str">
        <f t="shared" si="97"/>
        <v>Error?</v>
      </c>
      <c r="E6282" s="2" t="s">
        <v>190</v>
      </c>
    </row>
    <row r="6283" spans="1:5" x14ac:dyDescent="0.2">
      <c r="A6283">
        <v>6222</v>
      </c>
      <c r="B6283" s="138">
        <f>'Acct Summary 7-8'!J83</f>
        <v>-0.13442437088704312</v>
      </c>
      <c r="D6283" s="2" t="str">
        <f t="shared" si="97"/>
        <v>Error?</v>
      </c>
      <c r="E6283" s="2" t="s">
        <v>190</v>
      </c>
    </row>
    <row r="6284" spans="1:5" x14ac:dyDescent="0.2">
      <c r="A6284">
        <v>6223</v>
      </c>
      <c r="B6284" s="138">
        <f>'Acct Summary 7-8'!K83</f>
        <v>-0.11007353394585928</v>
      </c>
      <c r="D6284" s="2" t="str">
        <f t="shared" si="97"/>
        <v>Error?</v>
      </c>
      <c r="E6284" s="2" t="s">
        <v>190</v>
      </c>
    </row>
    <row r="6285" spans="1:5" x14ac:dyDescent="0.2">
      <c r="A6285">
        <v>6224</v>
      </c>
      <c r="B6285" s="138">
        <f>'Acct Summary 7-8'!E37</f>
        <v>35660</v>
      </c>
      <c r="D6285" s="2" t="str">
        <f t="shared" si="97"/>
        <v>Error?</v>
      </c>
      <c r="E6285" s="2" t="s">
        <v>190</v>
      </c>
    </row>
    <row r="6286" spans="1:5" x14ac:dyDescent="0.2">
      <c r="A6286">
        <v>6225</v>
      </c>
      <c r="B6286" s="138">
        <f>'Acct Summary 7-8'!E38</f>
        <v>1470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179415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179415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3682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3682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2400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183097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19955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119545</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119545</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17332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17498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245</v>
      </c>
      <c r="D6880" s="2" t="str">
        <f t="shared" si="106"/>
        <v>Error?</v>
      </c>
    </row>
    <row r="6881" spans="1:4" x14ac:dyDescent="0.2">
      <c r="A6881">
        <v>6820</v>
      </c>
      <c r="B6881" s="138">
        <f>'Expenditures 15-22'!K22</f>
        <v>245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86881</v>
      </c>
      <c r="D6983" s="2" t="str">
        <f t="shared" si="108"/>
        <v>Error?</v>
      </c>
    </row>
    <row r="6984" spans="1:4" x14ac:dyDescent="0.2">
      <c r="A6984">
        <v>6923</v>
      </c>
      <c r="B6984" s="138">
        <f>'Expenditures 15-22'!K86</f>
        <v>86881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86881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2000</v>
      </c>
      <c r="D6998" s="2" t="str">
        <f t="shared" si="108"/>
        <v>Error?</v>
      </c>
    </row>
    <row r="6999" spans="1:4" x14ac:dyDescent="0.2">
      <c r="A6999">
        <v>6938</v>
      </c>
      <c r="B6999" s="138">
        <f>'Expenditures 15-22'!K94</f>
        <v>2000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34415</v>
      </c>
      <c r="D7002" s="2" t="str">
        <f t="shared" si="108"/>
        <v>Error?</v>
      </c>
    </row>
    <row r="7003" spans="1:4" x14ac:dyDescent="0.2">
      <c r="A7003">
        <v>6942</v>
      </c>
      <c r="B7003" s="138">
        <f>'Expenditures 15-22'!K96</f>
        <v>34415</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36415</v>
      </c>
      <c r="D7012" s="2" t="str">
        <f t="shared" si="108"/>
        <v>Error?</v>
      </c>
    </row>
    <row r="7013" spans="1:4" x14ac:dyDescent="0.2">
      <c r="A7013">
        <v>6952</v>
      </c>
      <c r="B7013" s="138">
        <f>'Expenditures 15-22'!K100</f>
        <v>36415</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210367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183097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2646</v>
      </c>
      <c r="D7067" s="2" t="str">
        <f t="shared" si="109"/>
        <v>Error?</v>
      </c>
    </row>
    <row r="7068" spans="1:4" x14ac:dyDescent="0.2">
      <c r="A7068">
        <v>7007</v>
      </c>
      <c r="B7068" s="138">
        <f>'Expenditures 15-22'!K205</f>
        <v>2646</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203</v>
      </c>
      <c r="D7079" s="2" t="str">
        <f t="shared" si="109"/>
        <v>Error?</v>
      </c>
    </row>
    <row r="7080" spans="1:4" x14ac:dyDescent="0.2">
      <c r="A7080">
        <v>7019</v>
      </c>
      <c r="B7080" s="138">
        <f>'Expenditures 15-22'!K226</f>
        <v>203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26956</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26956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11536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11536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33466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88289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16494</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138249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5017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5017</v>
      </c>
      <c r="D7198" s="2" t="str">
        <f t="shared" si="111"/>
        <v>Error?</v>
      </c>
    </row>
    <row r="7199" spans="1:4" x14ac:dyDescent="0.2">
      <c r="A7199">
        <v>7138</v>
      </c>
      <c r="B7199" s="138">
        <f>'Expenditures 15-22'!C330</f>
        <v>33466</v>
      </c>
      <c r="D7199" s="2" t="str">
        <f t="shared" si="111"/>
        <v>Error?</v>
      </c>
    </row>
    <row r="7200" spans="1:4" x14ac:dyDescent="0.2">
      <c r="A7200">
        <v>7139</v>
      </c>
      <c r="B7200" s="138">
        <f>'Expenditures 15-22'!D330</f>
        <v>26956</v>
      </c>
      <c r="D7200" s="2" t="str">
        <f t="shared" si="111"/>
        <v>Error?</v>
      </c>
    </row>
    <row r="7201" spans="1:4" x14ac:dyDescent="0.2">
      <c r="A7201">
        <v>7140</v>
      </c>
      <c r="B7201" s="138">
        <f>'Expenditures 15-22'!E330</f>
        <v>133451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16494</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210367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33466</v>
      </c>
      <c r="D7216" s="2" t="str">
        <f t="shared" si="111"/>
        <v>Error?</v>
      </c>
    </row>
    <row r="7217" spans="1:4" x14ac:dyDescent="0.2">
      <c r="A7217">
        <v>7156</v>
      </c>
      <c r="B7217" s="138">
        <f>'Expenditures 15-22'!D342</f>
        <v>26956</v>
      </c>
      <c r="D7217" s="2" t="str">
        <f t="shared" si="111"/>
        <v>Error?</v>
      </c>
    </row>
    <row r="7218" spans="1:4" x14ac:dyDescent="0.2">
      <c r="A7218">
        <v>7157</v>
      </c>
      <c r="B7218" s="138">
        <f>'Expenditures 15-22'!E342</f>
        <v>133451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16494</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210367</v>
      </c>
      <c r="D7224" s="2" t="str">
        <f t="shared" si="111"/>
        <v>Error?</v>
      </c>
    </row>
    <row r="7225" spans="1:4" x14ac:dyDescent="0.2">
      <c r="A7225">
        <v>7164</v>
      </c>
      <c r="B7225" s="138">
        <f>'Expenditures 15-22'!K343</f>
        <v>-27270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17018</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314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14983</v>
      </c>
      <c r="D7263" s="2" t="str">
        <f t="shared" si="112"/>
        <v>Error?</v>
      </c>
    </row>
    <row r="7264" spans="1:4" x14ac:dyDescent="0.2">
      <c r="A7264">
        <f t="shared" si="113"/>
        <v>7203</v>
      </c>
      <c r="B7264" s="138">
        <f>'Expenditures 15-22'!D17</f>
        <v>1403</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1112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696938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16383</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16383</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12226</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12226</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2400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9577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11977</v>
      </c>
      <c r="D7719" s="2" t="str">
        <f t="shared" si="126"/>
        <v>Error?</v>
      </c>
      <c r="E7719" s="2" t="s">
        <v>827</v>
      </c>
    </row>
    <row r="7720" spans="1:6" x14ac:dyDescent="0.2">
      <c r="A7720">
        <v>7659</v>
      </c>
      <c r="B7720" s="138">
        <f>'Rest Tax Levies-Tort Im 25'!H14</f>
        <v>68428</v>
      </c>
      <c r="D7720" s="2" t="str">
        <f t="shared" si="126"/>
        <v>Error?</v>
      </c>
      <c r="E7720" s="2" t="s">
        <v>827</v>
      </c>
    </row>
    <row r="7721" spans="1:6" x14ac:dyDescent="0.2">
      <c r="A7721">
        <v>7660</v>
      </c>
      <c r="B7721" s="138">
        <f>'Rest Tax Levies-Tort Im 25'!K14</f>
        <v>11977</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119545</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32219</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7219</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1" t="s">
        <v>1191</v>
      </c>
      <c r="B2" s="2411"/>
      <c r="C2" s="2411"/>
      <c r="D2" s="2411"/>
      <c r="E2" s="2411"/>
      <c r="F2" s="2411"/>
      <c r="G2" s="2411"/>
      <c r="H2" s="2411"/>
      <c r="I2" s="2411"/>
      <c r="J2" s="2411"/>
      <c r="K2" s="2411"/>
      <c r="L2" s="2411"/>
    </row>
    <row r="3" spans="1:29" ht="13.5" customHeight="1" x14ac:dyDescent="0.2">
      <c r="A3" s="2397" t="s">
        <v>1190</v>
      </c>
      <c r="B3" s="2397"/>
      <c r="C3" s="2397"/>
      <c r="D3" s="2397"/>
      <c r="E3" s="2397"/>
      <c r="F3" s="2397"/>
      <c r="G3" s="2397"/>
      <c r="H3" s="2397"/>
      <c r="I3" s="2397"/>
      <c r="J3" s="2397"/>
      <c r="K3" s="2397"/>
      <c r="L3" s="2397"/>
    </row>
    <row r="4" spans="1:29" ht="13.5" customHeight="1" x14ac:dyDescent="0.2">
      <c r="A4" s="2411" t="s">
        <v>1989</v>
      </c>
      <c r="B4" s="2428"/>
      <c r="C4" s="2428"/>
      <c r="D4" s="2428"/>
      <c r="E4" s="2428"/>
      <c r="F4" s="2428"/>
      <c r="G4" s="2428"/>
      <c r="H4" s="2428"/>
      <c r="I4" s="2428"/>
      <c r="J4" s="2428"/>
      <c r="K4" s="2428"/>
      <c r="L4" s="242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1" t="str">
        <f>COVER!A17</f>
        <v>Eastland CUSD 308</v>
      </c>
      <c r="B7" s="2392"/>
      <c r="C7" s="2392"/>
      <c r="D7" s="2429"/>
      <c r="E7" s="2430">
        <f>COVER!A13</f>
        <v>8008308026</v>
      </c>
      <c r="F7" s="2431"/>
      <c r="G7" s="2398" t="str">
        <f>COVER!T23</f>
        <v>066-004238</v>
      </c>
      <c r="H7" s="2399"/>
      <c r="I7" s="2399"/>
      <c r="J7" s="2399"/>
      <c r="K7" s="2399"/>
      <c r="L7" s="240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1"/>
      <c r="B9" s="2402"/>
      <c r="C9" s="2402"/>
      <c r="D9" s="2402"/>
      <c r="E9" s="2402"/>
      <c r="F9" s="2403"/>
      <c r="G9" s="2404" t="str">
        <f>COVER!T13</f>
        <v>BENNING GROUP, LLC</v>
      </c>
      <c r="H9" s="2405"/>
      <c r="I9" s="2405"/>
      <c r="J9" s="2405"/>
      <c r="K9" s="2405"/>
      <c r="L9" s="2406"/>
    </row>
    <row r="10" spans="1:29" ht="13.5" customHeight="1" x14ac:dyDescent="0.2">
      <c r="A10" s="2388" t="str">
        <f>COVER!A38</f>
        <v>Alex Kashner</v>
      </c>
      <c r="B10" s="2389"/>
      <c r="C10" s="2389"/>
      <c r="D10" s="2389"/>
      <c r="E10" s="2389"/>
      <c r="F10" s="2390"/>
      <c r="G10" s="2404" t="str">
        <f>COVER!T17</f>
        <v>50 W. DOUGLAS STREET, SUITE 801</v>
      </c>
      <c r="H10" s="2417"/>
      <c r="I10" s="2417"/>
      <c r="J10" s="2417"/>
      <c r="K10" s="2417"/>
      <c r="L10" s="2418"/>
    </row>
    <row r="11" spans="1:29" ht="13.5" customHeight="1" x14ac:dyDescent="0.2">
      <c r="A11" s="1184" t="s">
        <v>1519</v>
      </c>
      <c r="B11" s="1185"/>
      <c r="C11" s="1186"/>
      <c r="D11" s="1191"/>
      <c r="E11" s="1186"/>
      <c r="F11" s="1190"/>
      <c r="G11" s="2404" t="str">
        <f>COVER!T19</f>
        <v>FREEPORT</v>
      </c>
      <c r="H11" s="2417"/>
      <c r="I11" s="2417"/>
      <c r="J11" s="2417"/>
      <c r="K11" s="2417"/>
      <c r="L11" s="2418"/>
    </row>
    <row r="12" spans="1:29" ht="13.5" customHeight="1" x14ac:dyDescent="0.2">
      <c r="A12" s="2422" t="s">
        <v>1518</v>
      </c>
      <c r="B12" s="2423"/>
      <c r="C12" s="2423"/>
      <c r="D12" s="2423"/>
      <c r="E12" s="2423"/>
      <c r="F12" s="2424"/>
      <c r="G12" s="2419"/>
      <c r="H12" s="2420"/>
      <c r="I12" s="2420"/>
      <c r="J12" s="2420"/>
      <c r="K12" s="2420"/>
      <c r="L12" s="2421"/>
    </row>
    <row r="13" spans="1:29" ht="13.5" customHeight="1" x14ac:dyDescent="0.2">
      <c r="A13" s="2404"/>
      <c r="B13" s="2417"/>
      <c r="C13" s="2417"/>
      <c r="D13" s="2417"/>
      <c r="E13" s="2417"/>
      <c r="F13" s="2418"/>
      <c r="G13" s="2412" t="s">
        <v>1520</v>
      </c>
      <c r="H13" s="2413"/>
      <c r="I13" s="2425" t="str">
        <f>COVER!T25</f>
        <v>jblocker@benninggroup.com</v>
      </c>
      <c r="J13" s="2426"/>
      <c r="K13" s="2426"/>
      <c r="L13" s="2427"/>
    </row>
    <row r="14" spans="1:29" ht="13.5" customHeight="1" x14ac:dyDescent="0.2">
      <c r="A14" s="2404" t="str">
        <f>COVER!A19</f>
        <v>601 S. Chestnut St.</v>
      </c>
      <c r="B14" s="2417"/>
      <c r="C14" s="2417"/>
      <c r="D14" s="2417"/>
      <c r="E14" s="2417"/>
      <c r="F14" s="2418"/>
      <c r="G14" s="1195" t="s">
        <v>1185</v>
      </c>
      <c r="H14" s="1193"/>
      <c r="I14" s="1193"/>
      <c r="J14" s="1193"/>
      <c r="K14" s="1193"/>
      <c r="L14" s="1194"/>
    </row>
    <row r="15" spans="1:29" ht="13.5" customHeight="1" x14ac:dyDescent="0.2">
      <c r="A15" s="2404" t="str">
        <f>COVER!A21</f>
        <v>Shannon</v>
      </c>
      <c r="B15" s="2417"/>
      <c r="C15" s="2417"/>
      <c r="D15" s="2417"/>
      <c r="E15" s="2417"/>
      <c r="F15" s="2418"/>
      <c r="G15" s="2414" t="str">
        <f>COVER!T15</f>
        <v>JENNY L. BLOCKER</v>
      </c>
      <c r="H15" s="2415"/>
      <c r="I15" s="2415"/>
      <c r="J15" s="2415"/>
      <c r="K15" s="2415"/>
      <c r="L15" s="2416"/>
    </row>
    <row r="16" spans="1:29" ht="12.2" customHeight="1" x14ac:dyDescent="0.2">
      <c r="A16" s="2394">
        <f>COVER!A25</f>
        <v>61078</v>
      </c>
      <c r="B16" s="2395"/>
      <c r="C16" s="2395"/>
      <c r="D16" s="2395"/>
      <c r="E16" s="2395"/>
      <c r="F16" s="2396"/>
      <c r="G16" s="2407"/>
      <c r="H16" s="2408"/>
      <c r="I16" s="2408"/>
      <c r="J16" s="2408"/>
      <c r="K16" s="2408"/>
      <c r="L16" s="2409"/>
    </row>
    <row r="17" spans="1:13" ht="12.2" customHeight="1" x14ac:dyDescent="0.2">
      <c r="A17" s="2410"/>
      <c r="B17" s="2395"/>
      <c r="C17" s="2395"/>
      <c r="D17" s="2395"/>
      <c r="E17" s="2395"/>
      <c r="F17" s="2396"/>
      <c r="G17" s="1195" t="s">
        <v>1184</v>
      </c>
      <c r="H17" s="1193"/>
      <c r="I17" s="1193"/>
      <c r="J17" s="1193"/>
      <c r="K17" s="1197" t="s">
        <v>1183</v>
      </c>
      <c r="L17" s="1190"/>
      <c r="M17" s="1183"/>
    </row>
    <row r="18" spans="1:13" ht="12.2" customHeight="1" x14ac:dyDescent="0.2">
      <c r="A18" s="2388"/>
      <c r="B18" s="2389"/>
      <c r="C18" s="2389"/>
      <c r="D18" s="2389"/>
      <c r="E18" s="2389"/>
      <c r="F18" s="2390"/>
      <c r="G18" s="2391" t="str">
        <f>COVER!T21</f>
        <v>815/235-3157</v>
      </c>
      <c r="H18" s="2392"/>
      <c r="I18" s="2392"/>
      <c r="J18" s="2392"/>
      <c r="K18" s="2391" t="str">
        <f>COVER!X21</f>
        <v>815/235-3158</v>
      </c>
      <c r="L18" s="239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2" t="str">
        <f>'Single Audit Cover'!A7</f>
        <v>Eastland CUSD 308</v>
      </c>
      <c r="B1" s="2428"/>
      <c r="C1" s="2428"/>
      <c r="D1" s="2428"/>
    </row>
    <row r="2" spans="1:11" s="1212" customFormat="1" ht="12.75" x14ac:dyDescent="0.2">
      <c r="A2" s="2433">
        <f>'Single Audit Cover'!E7</f>
        <v>8008308026</v>
      </c>
      <c r="B2" s="2434"/>
      <c r="C2" s="2434"/>
      <c r="D2" s="2434"/>
    </row>
    <row r="3" spans="1:11" s="1212" customFormat="1" ht="12.75" x14ac:dyDescent="0.2">
      <c r="A3" s="2432" t="s">
        <v>1513</v>
      </c>
      <c r="B3" s="2428"/>
      <c r="C3" s="2428"/>
      <c r="D3" s="242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6" t="str">
        <f>'Single Audit Cover'!A7</f>
        <v>Eastland CUSD 308</v>
      </c>
      <c r="B1" s="2436"/>
      <c r="C1" s="2436"/>
      <c r="D1" s="2436"/>
      <c r="E1" s="2436"/>
    </row>
    <row r="2" spans="1:5" x14ac:dyDescent="0.2">
      <c r="A2" s="2437">
        <f>'Single Audit Cover'!E7</f>
        <v>8008308026</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7" t="s">
        <v>1243</v>
      </c>
    </row>
    <row r="10" spans="1:5" x14ac:dyDescent="0.2">
      <c r="A10" s="1258" t="s">
        <v>1242</v>
      </c>
      <c r="B10" s="1259" t="s">
        <v>1241</v>
      </c>
      <c r="C10" s="1259"/>
      <c r="D10" s="1260">
        <f>SUM('Acct Summary 7-8'!C7:K7)</f>
        <v>497313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35182</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-18627</v>
      </c>
    </row>
    <row r="19" spans="1:4" ht="13.5" thickBot="1" x14ac:dyDescent="0.25">
      <c r="A19" s="1262" t="s">
        <v>1235</v>
      </c>
      <c r="D19" s="1263">
        <f>SUM(D10:D17)</f>
        <v>513868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8"/>
      <c r="B24" s="2438"/>
      <c r="D24" s="1265"/>
    </row>
    <row r="25" spans="1:4" x14ac:dyDescent="0.2">
      <c r="A25" s="2435"/>
      <c r="B25" s="2435"/>
      <c r="D25" s="1265"/>
    </row>
    <row r="26" spans="1:4" x14ac:dyDescent="0.2">
      <c r="A26" s="2435"/>
      <c r="B26" s="2435"/>
      <c r="D26" s="1265"/>
    </row>
    <row r="27" spans="1:4" x14ac:dyDescent="0.2">
      <c r="A27" s="2435"/>
      <c r="B27" s="2435"/>
      <c r="D27" s="1265"/>
    </row>
    <row r="28" spans="1:4" x14ac:dyDescent="0.2">
      <c r="A28" s="2435"/>
      <c r="B28" s="2435"/>
      <c r="D28" s="1265"/>
    </row>
    <row r="29" spans="1:4" x14ac:dyDescent="0.2">
      <c r="A29" s="2435"/>
      <c r="B29" s="2435"/>
      <c r="D29" s="1265"/>
    </row>
    <row r="30" spans="1:4" x14ac:dyDescent="0.2">
      <c r="A30" s="2435"/>
      <c r="B30" s="2435"/>
      <c r="D30" s="1265"/>
    </row>
    <row r="32" spans="1:4" x14ac:dyDescent="0.2">
      <c r="A32" s="1257" t="s">
        <v>1233</v>
      </c>
      <c r="D32" s="1260">
        <f>SUM(D19:D30)</f>
        <v>513868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5"/>
      <c r="B40" s="2435"/>
      <c r="D40" s="1265"/>
    </row>
    <row r="41" spans="1:4" x14ac:dyDescent="0.2">
      <c r="A41" s="2435"/>
      <c r="B41" s="2435"/>
      <c r="D41" s="1268"/>
    </row>
    <row r="42" spans="1:4" x14ac:dyDescent="0.2">
      <c r="A42" s="2435"/>
      <c r="B42" s="2435"/>
      <c r="D42" s="1268"/>
    </row>
    <row r="43" spans="1:4" x14ac:dyDescent="0.2">
      <c r="A43" s="2435"/>
      <c r="B43" s="2435"/>
      <c r="D43" s="1268"/>
    </row>
    <row r="44" spans="1:4" x14ac:dyDescent="0.2">
      <c r="A44" s="2435"/>
      <c r="B44" s="2435"/>
      <c r="D44" s="1268"/>
    </row>
    <row r="45" spans="1:4" x14ac:dyDescent="0.2">
      <c r="A45" s="2435"/>
      <c r="B45" s="2435"/>
      <c r="D45" s="1268"/>
    </row>
    <row r="47" spans="1:4" x14ac:dyDescent="0.2">
      <c r="B47" s="1269" t="s">
        <v>1227</v>
      </c>
      <c r="C47" s="1269"/>
      <c r="D47" s="1270">
        <f>SUM(D35:D45)</f>
        <v>0</v>
      </c>
    </row>
    <row r="49" spans="2:4" x14ac:dyDescent="0.2">
      <c r="B49" s="1269" t="s">
        <v>1226</v>
      </c>
      <c r="C49" s="1269"/>
      <c r="D49" s="1270">
        <f>D32-D47</f>
        <v>513868</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7" t="str">
        <f>'Single Audit Cover'!A7</f>
        <v>Eastland CUSD 308</v>
      </c>
      <c r="C1" s="2440"/>
      <c r="D1" s="2440"/>
      <c r="E1" s="2440"/>
      <c r="F1" s="2440"/>
      <c r="G1" s="2440"/>
      <c r="H1" s="2440"/>
      <c r="I1" s="2440"/>
      <c r="J1" s="2440"/>
      <c r="K1" s="2440"/>
      <c r="L1" s="2440"/>
      <c r="M1" s="2440"/>
    </row>
    <row r="2" spans="2:14" ht="15" x14ac:dyDescent="0.2">
      <c r="B2" s="2441">
        <f>'Single Audit Cover'!E7</f>
        <v>8008308026</v>
      </c>
      <c r="C2" s="2441"/>
      <c r="D2" s="2441"/>
      <c r="E2" s="2441"/>
      <c r="F2" s="2441"/>
      <c r="G2" s="2441"/>
      <c r="H2" s="2441"/>
      <c r="I2" s="2441"/>
      <c r="J2" s="2441"/>
      <c r="K2" s="2441"/>
      <c r="L2" s="2441"/>
      <c r="M2" s="2441"/>
      <c r="N2" s="1299"/>
    </row>
    <row r="3" spans="2:14" ht="15" x14ac:dyDescent="0.2">
      <c r="B3" s="2442" t="s">
        <v>1219</v>
      </c>
      <c r="C3" s="2442"/>
      <c r="D3" s="2442"/>
      <c r="E3" s="2442"/>
      <c r="F3" s="2442"/>
      <c r="G3" s="2442"/>
      <c r="H3" s="2442"/>
      <c r="I3" s="2442"/>
      <c r="J3" s="2442"/>
      <c r="K3" s="2442"/>
      <c r="L3" s="2442"/>
      <c r="M3" s="2442"/>
      <c r="N3" s="1299"/>
    </row>
    <row r="4" spans="2:14" ht="15" x14ac:dyDescent="0.2">
      <c r="B4" s="2443" t="str">
        <f>'Single Audit Cover'!A4</f>
        <v>Year Ending June 30, 2019</v>
      </c>
      <c r="C4" s="2443"/>
      <c r="D4" s="2443"/>
      <c r="E4" s="2443"/>
      <c r="F4" s="2443"/>
      <c r="G4" s="2443"/>
      <c r="H4" s="2443"/>
      <c r="I4" s="2443"/>
      <c r="J4" s="2443"/>
      <c r="K4" s="2443"/>
      <c r="L4" s="2443"/>
      <c r="M4" s="244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Eastland CUSD 308</v>
      </c>
      <c r="B1" s="2445"/>
      <c r="C1" s="2445"/>
      <c r="D1" s="2445"/>
      <c r="E1" s="2445"/>
      <c r="F1" s="2445"/>
    </row>
    <row r="2" spans="1:7" ht="13.5" customHeight="1" x14ac:dyDescent="0.2">
      <c r="A2" s="2441">
        <f>'Single Audit Cover'!E7</f>
        <v>8008308026</v>
      </c>
      <c r="B2" s="2441"/>
      <c r="C2" s="2441"/>
      <c r="D2" s="2441"/>
      <c r="E2" s="2441"/>
      <c r="F2" s="2441"/>
      <c r="G2" s="1272"/>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1728</v>
      </c>
      <c r="C6" s="317"/>
      <c r="D6" s="317"/>
    </row>
    <row r="7" spans="1:7" ht="60.95" customHeight="1" x14ac:dyDescent="0.2">
      <c r="A7" s="2444" t="s">
        <v>1729</v>
      </c>
      <c r="B7" s="2444"/>
      <c r="C7" s="2444"/>
      <c r="D7" s="2444"/>
      <c r="E7" s="2444"/>
      <c r="F7" s="244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6" t="s">
        <v>1270</v>
      </c>
      <c r="D15" s="2449" t="s">
        <v>1269</v>
      </c>
      <c r="E15" s="2449"/>
      <c r="F15" s="2449"/>
    </row>
    <row r="16" spans="1:7" ht="13.5" customHeight="1" x14ac:dyDescent="0.2">
      <c r="A16" s="1279"/>
      <c r="B16" s="1273" t="s">
        <v>1268</v>
      </c>
      <c r="C16" s="1846" t="s">
        <v>1267</v>
      </c>
      <c r="D16" s="2450" t="s">
        <v>1588</v>
      </c>
      <c r="E16" s="2450"/>
      <c r="F16" s="2450"/>
    </row>
    <row r="17" spans="1:6" ht="20.45" customHeight="1" x14ac:dyDescent="0.2">
      <c r="A17" s="1280"/>
      <c r="B17" s="1281"/>
      <c r="C17" s="1282"/>
      <c r="D17" s="2448"/>
      <c r="E17" s="2448"/>
      <c r="F17" s="2448"/>
    </row>
    <row r="18" spans="1:6" ht="20.65" customHeight="1" x14ac:dyDescent="0.2">
      <c r="A18" s="1280"/>
      <c r="B18" s="1281"/>
      <c r="C18" s="1282"/>
      <c r="D18" s="2448"/>
      <c r="E18" s="2448"/>
      <c r="F18" s="2448"/>
    </row>
    <row r="19" spans="1:6" ht="20.65" customHeight="1" x14ac:dyDescent="0.2">
      <c r="A19" s="1280"/>
      <c r="B19" s="1281"/>
      <c r="C19" s="1282"/>
      <c r="D19" s="2448"/>
      <c r="E19" s="2448"/>
      <c r="F19" s="2448"/>
    </row>
    <row r="20" spans="1:6" ht="20.65" customHeight="1" x14ac:dyDescent="0.2">
      <c r="A20" s="1280"/>
      <c r="B20" s="1281"/>
      <c r="C20" s="1282"/>
      <c r="D20" s="2448"/>
      <c r="E20" s="2448"/>
      <c r="F20" s="2448"/>
    </row>
    <row r="21" spans="1:6" ht="20.65" customHeight="1" x14ac:dyDescent="0.2">
      <c r="A21" s="1280"/>
      <c r="B21" s="1281"/>
      <c r="C21" s="1282"/>
      <c r="D21" s="2448"/>
      <c r="E21" s="2448"/>
      <c r="F21" s="2448"/>
    </row>
    <row r="22" spans="1:6" ht="20.65" customHeight="1" x14ac:dyDescent="0.2">
      <c r="A22" s="1280"/>
      <c r="B22" s="1281"/>
      <c r="C22" s="1282"/>
      <c r="D22" s="2448"/>
      <c r="E22" s="2448"/>
      <c r="F22" s="2448"/>
    </row>
    <row r="23" spans="1:6" ht="20.65" customHeight="1" x14ac:dyDescent="0.2">
      <c r="A23" s="1280"/>
      <c r="B23" s="1281"/>
      <c r="C23" s="1282"/>
      <c r="D23" s="2448"/>
      <c r="E23" s="2448"/>
      <c r="F23" s="2448"/>
    </row>
    <row r="24" spans="1:6" ht="20.65" customHeight="1" x14ac:dyDescent="0.2">
      <c r="A24" s="1280"/>
      <c r="B24" s="1281"/>
      <c r="C24" s="1282"/>
      <c r="D24" s="2448"/>
      <c r="E24" s="2448"/>
      <c r="F24" s="2448"/>
    </row>
    <row r="25" spans="1:6" ht="20.65" customHeight="1" x14ac:dyDescent="0.2">
      <c r="A25" s="1280"/>
      <c r="B25" s="1281"/>
      <c r="C25" s="1282"/>
      <c r="D25" s="2448"/>
      <c r="E25" s="2448"/>
      <c r="F25" s="2448"/>
    </row>
    <row r="26" spans="1:6" ht="20.65" customHeight="1" x14ac:dyDescent="0.2">
      <c r="A26" s="1280"/>
      <c r="B26" s="1281"/>
      <c r="C26" s="1282"/>
      <c r="D26" s="2448"/>
      <c r="E26" s="2448"/>
      <c r="F26" s="2448"/>
    </row>
    <row r="27" spans="1:6" ht="20.65" customHeight="1" x14ac:dyDescent="0.2">
      <c r="A27" s="1280"/>
      <c r="B27" s="1281"/>
      <c r="C27" s="1282"/>
      <c r="D27" s="2448"/>
      <c r="E27" s="2448"/>
      <c r="F27" s="2448"/>
    </row>
    <row r="28" spans="1:6" ht="20.65" customHeight="1" x14ac:dyDescent="0.2">
      <c r="A28" s="1280"/>
      <c r="B28" s="1281"/>
      <c r="C28" s="1282"/>
      <c r="D28" s="2448"/>
      <c r="E28" s="2448"/>
      <c r="F28" s="2448"/>
    </row>
    <row r="29" spans="1:6" ht="20.65" customHeight="1" x14ac:dyDescent="0.2">
      <c r="A29" s="1280"/>
      <c r="B29" s="1281"/>
      <c r="C29" s="1282"/>
      <c r="D29" s="2448"/>
      <c r="E29" s="2448"/>
      <c r="F29" s="244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2" t="s">
        <v>1732</v>
      </c>
      <c r="B32" s="2452"/>
      <c r="C32" s="2452"/>
      <c r="D32" s="2452"/>
      <c r="E32" s="2452"/>
      <c r="F32" s="245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3">
        <f>+C33+C34</f>
        <v>0</v>
      </c>
      <c r="F34" s="245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5" t="s">
        <v>1590</v>
      </c>
      <c r="C49" s="2455"/>
      <c r="D49" s="2455"/>
      <c r="E49" s="1396"/>
    </row>
    <row r="50" spans="1:5" s="1297" customFormat="1" ht="3.75" customHeight="1" x14ac:dyDescent="0.2">
      <c r="A50" s="1296"/>
      <c r="B50" s="1845"/>
      <c r="C50" s="1845"/>
      <c r="D50" s="1845"/>
      <c r="E50" s="1396"/>
    </row>
    <row r="51" spans="1:5" s="1297" customFormat="1" ht="20.25" customHeight="1" x14ac:dyDescent="0.2">
      <c r="A51" s="1298">
        <v>6</v>
      </c>
      <c r="B51" s="2451" t="s">
        <v>1551</v>
      </c>
      <c r="C51" s="2451"/>
      <c r="D51" s="2451"/>
    </row>
    <row r="52" spans="1:5" ht="14.25" customHeight="1" x14ac:dyDescent="0.2">
      <c r="A52" s="1298"/>
      <c r="B52" s="2451"/>
      <c r="C52" s="2451"/>
      <c r="D52" s="245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101"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1168</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2080</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4" t="s">
        <v>1633</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313</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1323</v>
      </c>
      <c r="B70" s="2077"/>
      <c r="C70" s="2077"/>
      <c r="D70" s="2077"/>
      <c r="E70" s="2078"/>
      <c r="F70" s="2078"/>
      <c r="G70" s="2078"/>
      <c r="H70" s="2078"/>
      <c r="I70" s="207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1320</v>
      </c>
      <c r="B83" s="2079"/>
      <c r="C83" s="2079"/>
      <c r="D83" s="208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2064</v>
      </c>
      <c r="D114" s="207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1330</v>
      </c>
      <c r="D117" s="2072"/>
      <c r="E117" s="2073"/>
      <c r="F117" s="2073"/>
      <c r="G117" s="2073"/>
      <c r="H117" s="2073"/>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0" t="str">
        <f>'Single Audit Cover'!A7</f>
        <v>Eastland CUSD 308</v>
      </c>
      <c r="C1" s="2461"/>
      <c r="D1" s="2461"/>
      <c r="E1" s="2461"/>
      <c r="F1" s="2461"/>
      <c r="G1" s="2461"/>
      <c r="H1" s="2461"/>
      <c r="I1" s="2461"/>
      <c r="J1" s="1406"/>
    </row>
    <row r="2" spans="2:10" s="317" customFormat="1" ht="12.75" customHeight="1" x14ac:dyDescent="0.2">
      <c r="B2" s="2462">
        <f>'Single Audit Cover'!E7</f>
        <v>8008308026</v>
      </c>
      <c r="C2" s="2463"/>
      <c r="D2" s="2463"/>
      <c r="E2" s="2463"/>
      <c r="F2" s="2463"/>
      <c r="G2" s="2463"/>
      <c r="H2" s="2463"/>
      <c r="I2" s="2463"/>
      <c r="J2" s="1406"/>
    </row>
    <row r="3" spans="2:10" s="317" customFormat="1" ht="12.75" customHeight="1" x14ac:dyDescent="0.2">
      <c r="B3" s="2464" t="s">
        <v>1285</v>
      </c>
      <c r="C3" s="2465"/>
      <c r="D3" s="2465"/>
      <c r="E3" s="2465"/>
      <c r="F3" s="2465"/>
      <c r="G3" s="2465"/>
      <c r="H3" s="2465"/>
      <c r="I3" s="2465"/>
      <c r="J3" s="1407"/>
    </row>
    <row r="4" spans="2:10" s="317" customFormat="1" ht="12.75" customHeight="1" x14ac:dyDescent="0.2">
      <c r="B4" s="2464" t="str">
        <f>'Single Audit Cover'!A4</f>
        <v>Year Ending June 30, 2019</v>
      </c>
      <c r="C4" s="2465"/>
      <c r="D4" s="2465"/>
      <c r="E4" s="2465"/>
      <c r="F4" s="2465"/>
      <c r="G4" s="2465"/>
      <c r="H4" s="2465"/>
      <c r="I4" s="246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4" t="s">
        <v>1284</v>
      </c>
      <c r="C7" s="2465"/>
      <c r="D7" s="2465"/>
      <c r="E7" s="2465"/>
      <c r="F7" s="2465"/>
      <c r="G7" s="2465"/>
      <c r="H7" s="2465"/>
      <c r="I7" s="246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6"/>
      <c r="D11" s="246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7"/>
      <c r="E29" s="2467"/>
      <c r="F29" s="2467"/>
      <c r="G29" s="2467"/>
      <c r="H29" s="2467"/>
      <c r="I29" s="246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8" t="s">
        <v>1751</v>
      </c>
      <c r="D37" s="2469"/>
      <c r="E37" s="2469"/>
      <c r="F37" s="2470"/>
      <c r="G37" s="2468" t="s">
        <v>1592</v>
      </c>
      <c r="H37" s="2469"/>
      <c r="I37" s="2470"/>
    </row>
    <row r="38" spans="2:9" ht="16.5" customHeight="1" x14ac:dyDescent="0.2">
      <c r="B38" s="1428"/>
      <c r="C38" s="2456"/>
      <c r="D38" s="2457"/>
      <c r="E38" s="2457"/>
      <c r="F38" s="2458"/>
      <c r="G38" s="2471"/>
      <c r="H38" s="2472"/>
      <c r="I38" s="2473"/>
    </row>
    <row r="39" spans="2:9" ht="16.5" customHeight="1" x14ac:dyDescent="0.2">
      <c r="B39" s="1428"/>
      <c r="C39" s="2456"/>
      <c r="D39" s="2457"/>
      <c r="E39" s="2457"/>
      <c r="F39" s="2458"/>
      <c r="G39" s="2459"/>
      <c r="H39" s="2459"/>
      <c r="I39" s="2459"/>
    </row>
    <row r="40" spans="2:9" ht="16.5" customHeight="1" x14ac:dyDescent="0.2">
      <c r="B40" s="1428"/>
      <c r="C40" s="2456"/>
      <c r="D40" s="2457"/>
      <c r="E40" s="2457"/>
      <c r="F40" s="2458"/>
      <c r="G40" s="2459"/>
      <c r="H40" s="2459"/>
      <c r="I40" s="2459"/>
    </row>
    <row r="41" spans="2:9" ht="16.5" customHeight="1" x14ac:dyDescent="0.2">
      <c r="B41" s="1428"/>
      <c r="C41" s="2456"/>
      <c r="D41" s="2457"/>
      <c r="E41" s="2457"/>
      <c r="F41" s="2458"/>
      <c r="G41" s="2459"/>
      <c r="H41" s="2459"/>
      <c r="I41" s="2459"/>
    </row>
    <row r="42" spans="2:9" ht="16.5" customHeight="1" x14ac:dyDescent="0.2">
      <c r="B42" s="1428"/>
      <c r="C42" s="2456"/>
      <c r="D42" s="2457"/>
      <c r="E42" s="2457"/>
      <c r="F42" s="2458"/>
      <c r="G42" s="2459"/>
      <c r="H42" s="2459"/>
      <c r="I42" s="2459"/>
    </row>
    <row r="43" spans="2:9" ht="16.5" customHeight="1" x14ac:dyDescent="0.2">
      <c r="B43" s="1428"/>
      <c r="C43" s="2474" t="s">
        <v>1593</v>
      </c>
      <c r="D43" s="2475"/>
      <c r="E43" s="2475"/>
      <c r="F43" s="2476"/>
      <c r="G43" s="2477">
        <f>SUM(G38:I42)</f>
        <v>0</v>
      </c>
      <c r="H43" s="2477"/>
      <c r="I43" s="2477"/>
    </row>
    <row r="44" spans="2:9" ht="12.75" customHeight="1" x14ac:dyDescent="0.2"/>
    <row r="45" spans="2:9" ht="12.75" customHeight="1" x14ac:dyDescent="0.2">
      <c r="B45" s="1419" t="s">
        <v>1841</v>
      </c>
      <c r="D45" s="2478">
        <v>0</v>
      </c>
      <c r="E45" s="247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80"/>
      <c r="F49" s="2480"/>
      <c r="G49" s="248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0" t="str">
        <f>'Single Audit Cover'!A7</f>
        <v>Eastland CUSD 308</v>
      </c>
      <c r="C1" s="2460"/>
      <c r="D1" s="2460"/>
      <c r="E1" s="2460"/>
      <c r="F1" s="2460"/>
      <c r="G1" s="2460"/>
      <c r="H1" s="2460"/>
      <c r="I1" s="2460"/>
      <c r="J1" s="2460"/>
      <c r="K1" s="2460"/>
      <c r="L1" s="1371"/>
      <c r="M1" s="1371"/>
    </row>
    <row r="2" spans="1:13" ht="12" customHeight="1" x14ac:dyDescent="0.2">
      <c r="B2" s="2462">
        <f>'Single Audit Cover'!E7</f>
        <v>8008308026</v>
      </c>
      <c r="C2" s="2462"/>
      <c r="D2" s="2462"/>
      <c r="E2" s="2462"/>
      <c r="F2" s="2462"/>
      <c r="G2" s="2462"/>
      <c r="H2" s="2462"/>
      <c r="I2" s="2462"/>
      <c r="J2" s="2462"/>
      <c r="K2" s="2462"/>
      <c r="L2" s="1372"/>
      <c r="M2" s="1373"/>
    </row>
    <row r="3" spans="1:13" ht="10.35" customHeight="1" x14ac:dyDescent="0.2">
      <c r="B3" s="2483" t="s">
        <v>1285</v>
      </c>
      <c r="C3" s="2483"/>
      <c r="D3" s="2483"/>
      <c r="E3" s="2483"/>
      <c r="F3" s="2483"/>
      <c r="G3" s="2483"/>
      <c r="H3" s="2483"/>
      <c r="I3" s="2483"/>
      <c r="J3" s="2483"/>
      <c r="K3" s="2483"/>
      <c r="L3" s="1374"/>
      <c r="M3" s="1374"/>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4" t="s">
        <v>1296</v>
      </c>
      <c r="C7" s="2484"/>
      <c r="D7" s="2485"/>
      <c r="E7" s="2485"/>
      <c r="F7" s="2485"/>
      <c r="G7" s="2485"/>
      <c r="H7" s="2485"/>
      <c r="I7" s="2485"/>
      <c r="J7" s="2485"/>
      <c r="K7" s="248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2"/>
      <c r="C14" s="2482"/>
      <c r="D14" s="2482"/>
      <c r="E14" s="2482"/>
      <c r="F14" s="2482"/>
      <c r="G14" s="2482"/>
      <c r="H14" s="2482"/>
      <c r="I14" s="2482"/>
      <c r="J14" s="2482"/>
      <c r="K14" s="248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2"/>
      <c r="C17" s="2482"/>
      <c r="D17" s="2482"/>
      <c r="E17" s="2482"/>
      <c r="F17" s="2482"/>
      <c r="G17" s="2482"/>
      <c r="H17" s="2482"/>
      <c r="I17" s="2482"/>
      <c r="J17" s="2482"/>
      <c r="K17" s="248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6"/>
      <c r="C20" s="2486"/>
      <c r="D20" s="2482"/>
      <c r="E20" s="2482"/>
      <c r="F20" s="2482"/>
      <c r="G20" s="2482"/>
      <c r="H20" s="2482"/>
      <c r="I20" s="2482"/>
      <c r="J20" s="2482"/>
      <c r="K20" s="248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2"/>
      <c r="C23" s="2482"/>
      <c r="D23" s="2482"/>
      <c r="E23" s="2482"/>
      <c r="F23" s="2482"/>
      <c r="G23" s="2482"/>
      <c r="H23" s="2482"/>
      <c r="I23" s="2482"/>
      <c r="J23" s="2482"/>
      <c r="K23" s="248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2"/>
      <c r="C26" s="2482"/>
      <c r="D26" s="2482"/>
      <c r="E26" s="2482"/>
      <c r="F26" s="2482"/>
      <c r="G26" s="2482"/>
      <c r="H26" s="2482"/>
      <c r="I26" s="2482"/>
      <c r="J26" s="2482"/>
      <c r="K26" s="248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1"/>
      <c r="C29" s="2481"/>
      <c r="D29" s="2482"/>
      <c r="E29" s="2482"/>
      <c r="F29" s="2482"/>
      <c r="G29" s="2482"/>
      <c r="H29" s="2482"/>
      <c r="I29" s="2482"/>
      <c r="J29" s="2482"/>
      <c r="K29" s="248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1"/>
      <c r="C32" s="2481"/>
      <c r="D32" s="2482"/>
      <c r="E32" s="2482"/>
      <c r="F32" s="2482"/>
      <c r="G32" s="2482"/>
      <c r="H32" s="2482"/>
      <c r="I32" s="2482"/>
      <c r="J32" s="2482"/>
      <c r="K32" s="248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7" t="str">
        <f>'Single Audit Cover'!A7</f>
        <v>Eastland CUSD 308</v>
      </c>
      <c r="C1" s="2487"/>
      <c r="D1" s="2487"/>
      <c r="E1" s="2487"/>
      <c r="F1" s="2487"/>
      <c r="G1" s="2487"/>
      <c r="H1" s="2487"/>
      <c r="I1" s="2487"/>
      <c r="J1" s="2487"/>
      <c r="K1" s="2487"/>
      <c r="L1" s="1449"/>
    </row>
    <row r="2" spans="1:12" ht="12.75" customHeight="1" x14ac:dyDescent="0.2">
      <c r="B2" s="2488">
        <f>'Single Audit Cover'!E7</f>
        <v>8008308026</v>
      </c>
      <c r="C2" s="2488"/>
      <c r="D2" s="2488"/>
      <c r="E2" s="2488"/>
      <c r="F2" s="2488"/>
      <c r="G2" s="2488"/>
      <c r="H2" s="2488"/>
      <c r="I2" s="2488"/>
      <c r="J2" s="2488"/>
      <c r="K2" s="2488"/>
      <c r="L2" s="1450"/>
    </row>
    <row r="3" spans="1:12" ht="12.75" customHeight="1" x14ac:dyDescent="0.2">
      <c r="B3" s="2483" t="s">
        <v>1285</v>
      </c>
      <c r="C3" s="2483"/>
      <c r="D3" s="2483"/>
      <c r="E3" s="2483"/>
      <c r="F3" s="2483"/>
      <c r="G3" s="2483"/>
      <c r="H3" s="2483"/>
      <c r="I3" s="2483"/>
      <c r="J3" s="2483"/>
      <c r="K3" s="2483"/>
      <c r="L3" s="1374"/>
    </row>
    <row r="4" spans="1:12" ht="12.75" customHeight="1" x14ac:dyDescent="0.2">
      <c r="B4" s="2483" t="str">
        <f>'Single Audit Cover'!A4</f>
        <v>Year Ending June 30, 2019</v>
      </c>
      <c r="C4" s="2483"/>
      <c r="D4" s="2483"/>
      <c r="E4" s="2483"/>
      <c r="F4" s="2483"/>
      <c r="G4" s="2483"/>
      <c r="H4" s="2483"/>
      <c r="I4" s="2483"/>
      <c r="J4" s="2483"/>
      <c r="K4" s="2483"/>
      <c r="L4" s="1374"/>
    </row>
    <row r="5" spans="1:12" ht="5.25" customHeight="1" x14ac:dyDescent="0.2">
      <c r="B5" s="1257" t="s">
        <v>1169</v>
      </c>
      <c r="C5" s="1257"/>
      <c r="L5" s="322"/>
    </row>
    <row r="6" spans="1:12" ht="30.75" customHeight="1" x14ac:dyDescent="0.2">
      <c r="A6" s="322"/>
      <c r="B6" s="2489" t="s">
        <v>1308</v>
      </c>
      <c r="C6" s="2489"/>
      <c r="D6" s="2489"/>
      <c r="E6" s="2489"/>
      <c r="F6" s="2489"/>
      <c r="G6" s="2489"/>
      <c r="H6" s="2489"/>
      <c r="I6" s="2489"/>
      <c r="J6" s="2489"/>
      <c r="K6" s="248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7"/>
      <c r="G12" s="2467"/>
      <c r="H12" s="2467"/>
      <c r="I12" s="2467"/>
      <c r="J12" s="2467"/>
      <c r="K12" s="246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0"/>
      <c r="E14" s="2490"/>
      <c r="F14" s="2490"/>
      <c r="H14" s="1459" t="s">
        <v>1303</v>
      </c>
      <c r="I14" s="2491"/>
      <c r="J14" s="2491"/>
      <c r="K14" s="249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1"/>
      <c r="E16" s="2491"/>
      <c r="F16" s="2491"/>
      <c r="G16" s="2491"/>
      <c r="H16" s="2491"/>
      <c r="I16" s="2491"/>
      <c r="J16" s="2491"/>
      <c r="K16" s="2491"/>
      <c r="L16" s="322"/>
    </row>
    <row r="17" spans="2:12" ht="13.5" customHeight="1" x14ac:dyDescent="0.2">
      <c r="B17" s="1384" t="s">
        <v>1301</v>
      </c>
      <c r="C17" s="1384"/>
      <c r="D17" s="2492"/>
      <c r="E17" s="2492"/>
      <c r="F17" s="2492"/>
      <c r="G17" s="2492"/>
      <c r="H17" s="2492"/>
      <c r="I17" s="2492"/>
      <c r="J17" s="2492"/>
      <c r="K17" s="249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2"/>
      <c r="C20" s="2482"/>
      <c r="D20" s="2482"/>
      <c r="E20" s="2482"/>
      <c r="F20" s="2482"/>
      <c r="G20" s="2482"/>
      <c r="H20" s="2482"/>
      <c r="I20" s="2482"/>
      <c r="J20" s="2482"/>
      <c r="K20" s="248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2"/>
      <c r="C23" s="2482"/>
      <c r="D23" s="2482"/>
      <c r="E23" s="2482"/>
      <c r="F23" s="2482"/>
      <c r="G23" s="2482"/>
      <c r="H23" s="2482"/>
      <c r="I23" s="2482"/>
      <c r="J23" s="2482"/>
      <c r="K23" s="248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2"/>
      <c r="C26" s="2482"/>
      <c r="D26" s="2482"/>
      <c r="E26" s="2482"/>
      <c r="F26" s="2482"/>
      <c r="G26" s="2482"/>
      <c r="H26" s="2482"/>
      <c r="I26" s="2482"/>
      <c r="J26" s="2482"/>
      <c r="K26" s="248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2"/>
      <c r="C29" s="2482"/>
      <c r="D29" s="2482"/>
      <c r="E29" s="2482"/>
      <c r="F29" s="2482"/>
      <c r="G29" s="2482"/>
      <c r="H29" s="2482"/>
      <c r="I29" s="2482"/>
      <c r="J29" s="2482"/>
      <c r="K29" s="248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2"/>
      <c r="C32" s="2482"/>
      <c r="D32" s="2482"/>
      <c r="E32" s="2482"/>
      <c r="F32" s="2482"/>
      <c r="G32" s="2482"/>
      <c r="H32" s="2482"/>
      <c r="I32" s="2482"/>
      <c r="J32" s="2482"/>
      <c r="K32" s="248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2"/>
      <c r="C35" s="2482"/>
      <c r="D35" s="2482"/>
      <c r="E35" s="2482"/>
      <c r="F35" s="2482"/>
      <c r="G35" s="2482"/>
      <c r="H35" s="2482"/>
      <c r="I35" s="2482"/>
      <c r="J35" s="2482"/>
      <c r="K35" s="248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2"/>
      <c r="C38" s="2482"/>
      <c r="D38" s="2482"/>
      <c r="E38" s="2482"/>
      <c r="F38" s="2482"/>
      <c r="G38" s="2482"/>
      <c r="H38" s="2482"/>
      <c r="I38" s="2482"/>
      <c r="J38" s="2482"/>
      <c r="K38" s="248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2"/>
      <c r="C41" s="2482"/>
      <c r="D41" s="2482"/>
      <c r="E41" s="2482"/>
      <c r="F41" s="2482"/>
      <c r="G41" s="2482"/>
      <c r="H41" s="2482"/>
      <c r="I41" s="2482"/>
      <c r="J41" s="2482"/>
      <c r="K41" s="248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0" t="str">
        <f>'Single Audit Cover'!A7</f>
        <v>Eastland CUSD 308</v>
      </c>
      <c r="C1" s="2460"/>
      <c r="D1" s="2460"/>
      <c r="E1" s="1469"/>
    </row>
    <row r="2" spans="2:5" s="1279" customFormat="1" ht="12.75" customHeight="1" x14ac:dyDescent="0.2">
      <c r="B2" s="2462">
        <f>'Single Audit Cover'!E7</f>
        <v>8008308026</v>
      </c>
      <c r="C2" s="2462"/>
      <c r="D2" s="2462"/>
      <c r="E2" s="1470"/>
    </row>
    <row r="3" spans="2:5" ht="12.75" customHeight="1" x14ac:dyDescent="0.2">
      <c r="B3" s="2483" t="s">
        <v>1766</v>
      </c>
      <c r="C3" s="2483"/>
      <c r="D3" s="2483"/>
      <c r="E3" s="1271"/>
    </row>
    <row r="4" spans="2:5" s="1279" customFormat="1" ht="12.75" customHeight="1" x14ac:dyDescent="0.2">
      <c r="B4" s="2493" t="str">
        <f>'Single Audit Cover'!A4</f>
        <v>Year Ending June 30, 2019</v>
      </c>
      <c r="C4" s="2493"/>
      <c r="D4" s="249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topLeftCell="A13" colorId="8" zoomScale="110" zoomScaleNormal="110" workbookViewId="0">
      <selection activeCell="O15" sqref="O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386</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186535840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2.49454E-2</v>
      </c>
      <c r="E10" s="356" t="s">
        <v>1005</v>
      </c>
      <c r="F10" s="355">
        <v>5.9868999999999999E-3</v>
      </c>
      <c r="G10" s="356" t="s">
        <v>1005</v>
      </c>
      <c r="H10" s="355">
        <v>1.7492E-3</v>
      </c>
      <c r="I10" s="356" t="s">
        <v>1006</v>
      </c>
      <c r="J10" s="1732">
        <f>ROUND(D10+F10+H10,5)</f>
        <v>3.2680000000000001E-2</v>
      </c>
      <c r="K10" s="222"/>
      <c r="L10" s="355">
        <v>4.9899999999999999E-4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7758409</v>
      </c>
      <c r="E16" s="356"/>
      <c r="F16" s="1733">
        <f>SUM('Acct Summary 7-8'!C17,'Acct Summary 7-8'!D17,'Acct Summary 7-8'!F17)</f>
        <v>7216068</v>
      </c>
      <c r="G16" s="356"/>
      <c r="H16" s="1733">
        <f>SUM(D16-F16)</f>
        <v>542341</v>
      </c>
      <c r="I16" s="222"/>
      <c r="J16" s="1733">
        <f>SUM('Acct Summary 7-8'!C81,'Acct Summary 7-8'!D81,'Acct Summary 7-8'!F81,'Acct Summary 7-8'!I81)</f>
        <v>12395196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25741945.920000002</v>
      </c>
      <c r="I31" s="368"/>
      <c r="J31" s="222"/>
      <c r="K31" s="222"/>
      <c r="L31" s="222"/>
      <c r="M31" s="222"/>
    </row>
    <row r="32" spans="1:13" ht="13.35" customHeight="1" x14ac:dyDescent="0.2">
      <c r="B32" s="369" t="s">
        <v>2080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8383528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topLeftCell="A16"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1413</v>
      </c>
      <c r="B3" s="2110"/>
      <c r="C3" s="2110"/>
      <c r="D3" s="2110"/>
      <c r="E3" s="2110"/>
      <c r="F3" s="2110"/>
      <c r="G3" s="2110"/>
      <c r="H3" s="2110"/>
      <c r="I3" s="2110"/>
      <c r="J3" s="2110"/>
      <c r="K3" s="2110"/>
      <c r="L3" s="2110"/>
      <c r="M3" s="2110"/>
      <c r="N3" s="2110"/>
      <c r="O3" s="2110"/>
      <c r="P3" s="2110"/>
      <c r="Q3" s="2110"/>
      <c r="R3" s="2110"/>
    </row>
    <row r="4" spans="1:18" x14ac:dyDescent="0.2">
      <c r="A4" s="2111" t="s">
        <v>1554</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Eastland CUSD 308</v>
      </c>
      <c r="E7" s="391"/>
      <c r="G7" s="252"/>
      <c r="H7" s="387"/>
      <c r="I7" s="387"/>
      <c r="J7" s="387"/>
      <c r="K7" s="387"/>
      <c r="L7" s="329"/>
      <c r="M7" s="329"/>
      <c r="N7" s="329"/>
      <c r="O7" s="329"/>
      <c r="P7" s="329"/>
    </row>
    <row r="8" spans="1:18" ht="12.75" x14ac:dyDescent="0.2">
      <c r="A8" s="329"/>
      <c r="B8" s="329"/>
      <c r="C8" s="389" t="s">
        <v>1125</v>
      </c>
      <c r="D8" s="392">
        <f>COVER!A13</f>
        <v>8008308026</v>
      </c>
      <c r="E8" s="393"/>
      <c r="G8" s="329"/>
      <c r="H8" s="329"/>
      <c r="I8" s="329"/>
      <c r="J8" s="329"/>
      <c r="K8" s="329"/>
      <c r="L8" s="329"/>
      <c r="M8" s="329"/>
      <c r="N8" s="329"/>
      <c r="O8" s="329"/>
      <c r="P8" s="329"/>
    </row>
    <row r="9" spans="1:18" ht="12.75" x14ac:dyDescent="0.2">
      <c r="A9" s="329"/>
      <c r="B9" s="329"/>
      <c r="C9" s="389" t="s">
        <v>713</v>
      </c>
      <c r="D9" s="394" t="str">
        <f>COVER!A15</f>
        <v>Carroll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12395196</v>
      </c>
      <c r="I12" s="404"/>
      <c r="J12" s="404"/>
      <c r="K12" s="405">
        <f>TRUNC((H12/H13*100000),5)/100000</f>
        <v>1.6053293761</v>
      </c>
      <c r="L12" s="406"/>
      <c r="M12" s="360" t="s">
        <v>1144</v>
      </c>
      <c r="N12" s="360"/>
      <c r="O12" s="407">
        <v>0.35</v>
      </c>
      <c r="P12" s="218"/>
      <c r="Q12" s="218"/>
    </row>
    <row r="13" spans="1:18" s="408" customFormat="1" ht="12.75" x14ac:dyDescent="0.2">
      <c r="A13" s="218"/>
      <c r="B13" s="401"/>
      <c r="C13" s="2107" t="s">
        <v>1324</v>
      </c>
      <c r="D13" s="2108"/>
      <c r="E13" s="218"/>
      <c r="F13" s="409" t="s">
        <v>793</v>
      </c>
      <c r="G13" s="402"/>
      <c r="H13" s="403">
        <f>SUM('Acct Summary 7-8'!C8+'Acct Summary 7-8'!D8+'Acct Summary 7-8'!F8+'Acct Summary 7-8'!I8)+H14</f>
        <v>7721279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-37130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7216068</v>
      </c>
      <c r="I17" s="404"/>
      <c r="J17" s="416"/>
      <c r="K17" s="405">
        <f>TRUNC((H17/H18*100000),5)/100000</f>
        <v>0.93456900080000005</v>
      </c>
      <c r="L17" s="406"/>
      <c r="M17" s="417" t="s">
        <v>1171</v>
      </c>
      <c r="O17" s="418" t="str">
        <f>IF(AND(O16="2", J20 &gt; 2),"1",IF(AND(O16 = "1", J20 &gt; 2),"2",IF(AND(O16="1", J20 &gt;1),"1","0")))</f>
        <v>0</v>
      </c>
      <c r="P17" s="218"/>
    </row>
    <row r="18" spans="1:18" s="408" customFormat="1" ht="11.25" x14ac:dyDescent="0.2">
      <c r="A18" s="218"/>
      <c r="B18" s="401"/>
      <c r="C18" s="2107" t="s">
        <v>1317</v>
      </c>
      <c r="D18" s="2108"/>
      <c r="E18" s="218"/>
      <c r="F18" s="419" t="s">
        <v>794</v>
      </c>
      <c r="G18" s="402"/>
      <c r="H18" s="403">
        <f>SUM('Acct Summary 7-8'!C8+'Acct Summary 7-8'!D8+'Acct Summary 7-8'!F8+'Acct Summary 7-8'!I8)+H19</f>
        <v>7721279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-37130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4" t="s">
        <v>1412</v>
      </c>
      <c r="D24" s="2104"/>
      <c r="E24" s="218"/>
      <c r="F24" s="218" t="s">
        <v>445</v>
      </c>
      <c r="G24" s="402"/>
      <c r="H24" s="403">
        <f>SUM('Assets-Liab 5-6'!C4+'Assets-Liab 5-6'!D4+'Assets-Liab 5-6'!F4+'Assets-Liab 5-6'!I4+'Assets-Liab 5-6'!C5+'Assets-Liab 5-6'!D5+'Assets-Liab 5-6'!F5+'Assets-Liab 5-6'!I5)</f>
        <v>12395196</v>
      </c>
      <c r="I24" s="422"/>
      <c r="J24" s="422"/>
      <c r="K24" s="423">
        <f>TRUNC(((H24/H25*100000)/100000),2)</f>
        <v>618.37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20044.633330000001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5181592.5635200003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8383528</v>
      </c>
      <c r="I32" s="420"/>
      <c r="J32" s="420"/>
      <c r="K32" s="423">
        <f>TRUNC(100-((((H32/H33*100))*100)/100),2)</f>
        <v>67.430000000000007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25741945.920000002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topLeftCell="C1" colorId="8" zoomScaleNormal="100" workbookViewId="0">
      <pane ySplit="2" topLeftCell="A30" activePane="bottomLeft" state="frozen"/>
      <selection pane="bottomLeft" activeCell="O17" sqref="O1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4" t="s">
        <v>973</v>
      </c>
      <c r="B3" s="2115"/>
      <c r="C3" s="1559"/>
      <c r="D3" s="1560"/>
      <c r="E3" s="1560"/>
      <c r="F3" s="1560"/>
      <c r="G3" s="1560"/>
      <c r="H3" s="1560"/>
      <c r="I3" s="1560"/>
      <c r="J3" s="1560"/>
      <c r="K3" s="1560"/>
      <c r="L3" s="1560"/>
      <c r="M3" s="1561"/>
      <c r="N3" s="1562"/>
    </row>
    <row r="4" spans="1:14" ht="13.5" customHeight="1" x14ac:dyDescent="0.2">
      <c r="A4" s="463" t="s">
        <v>1651</v>
      </c>
      <c r="B4" s="464"/>
      <c r="C4" s="465">
        <v>7322991</v>
      </c>
      <c r="D4" s="466">
        <v>1954353</v>
      </c>
      <c r="E4" s="466">
        <v>380309</v>
      </c>
      <c r="F4" s="466">
        <v>1778542</v>
      </c>
      <c r="G4" s="466">
        <v>183091</v>
      </c>
      <c r="H4" s="466">
        <v>711580</v>
      </c>
      <c r="I4" s="466">
        <v>679310</v>
      </c>
      <c r="J4" s="467">
        <v>202865</v>
      </c>
      <c r="K4" s="466">
        <v>259472</v>
      </c>
      <c r="L4" s="466">
        <v>123560</v>
      </c>
      <c r="M4" s="468"/>
      <c r="N4" s="469"/>
    </row>
    <row r="5" spans="1:14" x14ac:dyDescent="0.2">
      <c r="A5" s="463" t="s">
        <v>992</v>
      </c>
      <c r="B5" s="470">
        <v>120</v>
      </c>
      <c r="C5" s="465">
        <v>660000</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7982991</v>
      </c>
      <c r="D13" s="1737">
        <f t="shared" ref="D13:L13" si="0">SUM(D4:D12)</f>
        <v>1954353</v>
      </c>
      <c r="E13" s="1737">
        <f t="shared" si="0"/>
        <v>380309</v>
      </c>
      <c r="F13" s="1737">
        <f t="shared" si="0"/>
        <v>1778542</v>
      </c>
      <c r="G13" s="1737">
        <f t="shared" si="0"/>
        <v>183091</v>
      </c>
      <c r="H13" s="1737">
        <f t="shared" si="0"/>
        <v>711580</v>
      </c>
      <c r="I13" s="1737">
        <f t="shared" si="0"/>
        <v>679310</v>
      </c>
      <c r="J13" s="1737">
        <f t="shared" si="0"/>
        <v>202865</v>
      </c>
      <c r="K13" s="1737">
        <f t="shared" si="0"/>
        <v>259472</v>
      </c>
      <c r="L13" s="1737">
        <f t="shared" si="0"/>
        <v>123560</v>
      </c>
      <c r="M13" s="468"/>
      <c r="N13" s="469"/>
    </row>
    <row r="14" spans="1:14" ht="18" customHeight="1" thickTop="1" x14ac:dyDescent="0.2">
      <c r="A14" s="2116" t="s">
        <v>147</v>
      </c>
      <c r="B14" s="2117"/>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63500</v>
      </c>
      <c r="N16" s="484"/>
    </row>
    <row r="17" spans="1:14" s="485" customFormat="1" ht="12.75" customHeight="1" x14ac:dyDescent="0.2">
      <c r="A17" s="482" t="s">
        <v>1403</v>
      </c>
      <c r="B17" s="483">
        <v>230</v>
      </c>
      <c r="C17" s="477"/>
      <c r="D17" s="477"/>
      <c r="E17" s="477"/>
      <c r="F17" s="477"/>
      <c r="G17" s="477"/>
      <c r="H17" s="477"/>
      <c r="I17" s="477"/>
      <c r="J17" s="477"/>
      <c r="K17" s="477"/>
      <c r="L17" s="477"/>
      <c r="M17" s="467">
        <v>23024088</v>
      </c>
      <c r="N17" s="484"/>
    </row>
    <row r="18" spans="1:14" s="485" customFormat="1" ht="12.75" customHeight="1" x14ac:dyDescent="0.2">
      <c r="A18" s="482" t="s">
        <v>1404</v>
      </c>
      <c r="B18" s="483">
        <v>240</v>
      </c>
      <c r="C18" s="477"/>
      <c r="D18" s="477"/>
      <c r="E18" s="477"/>
      <c r="F18" s="477"/>
      <c r="G18" s="477"/>
      <c r="H18" s="477"/>
      <c r="I18" s="477"/>
      <c r="J18" s="477"/>
      <c r="K18" s="477"/>
      <c r="L18" s="477"/>
      <c r="M18" s="467">
        <v>873597</v>
      </c>
      <c r="N18" s="484"/>
    </row>
    <row r="19" spans="1:14" s="485" customFormat="1" ht="12.75" customHeight="1" x14ac:dyDescent="0.2">
      <c r="A19" s="482" t="s">
        <v>1405</v>
      </c>
      <c r="B19" s="483">
        <v>250</v>
      </c>
      <c r="C19" s="477"/>
      <c r="D19" s="477"/>
      <c r="E19" s="477"/>
      <c r="F19" s="477"/>
      <c r="G19" s="477"/>
      <c r="H19" s="477"/>
      <c r="I19" s="477"/>
      <c r="J19" s="477"/>
      <c r="K19" s="477"/>
      <c r="L19" s="477"/>
      <c r="M19" s="467">
        <v>2854245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380309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8003219</v>
      </c>
    </row>
    <row r="23" spans="1:14" ht="13.5" customHeight="1" thickBot="1" x14ac:dyDescent="0.25">
      <c r="A23" s="1736" t="s">
        <v>643</v>
      </c>
      <c r="B23" s="1741"/>
      <c r="C23" s="468"/>
      <c r="D23" s="468"/>
      <c r="E23" s="468"/>
      <c r="F23" s="468"/>
      <c r="G23" s="468"/>
      <c r="H23" s="468"/>
      <c r="I23" s="468"/>
      <c r="J23" s="468"/>
      <c r="K23" s="468"/>
      <c r="L23" s="468"/>
      <c r="M23" s="1688">
        <f>SUM(M15:M22)</f>
        <v>26815430</v>
      </c>
      <c r="N23" s="1688">
        <f>SUM(N21:N22)</f>
        <v>8383528</v>
      </c>
    </row>
    <row r="24" spans="1:14" ht="18" customHeight="1" thickTop="1" x14ac:dyDescent="0.2">
      <c r="A24" s="2118" t="s">
        <v>598</v>
      </c>
      <c r="B24" s="2119"/>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123560</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123560</v>
      </c>
      <c r="M34" s="468"/>
      <c r="N34" s="480"/>
    </row>
    <row r="35" spans="1:14" ht="18" customHeight="1" thickTop="1" x14ac:dyDescent="0.2">
      <c r="A35" s="2120" t="s">
        <v>529</v>
      </c>
      <c r="B35" s="212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8383528</v>
      </c>
    </row>
    <row r="37" spans="1:14" ht="13.5" thickBot="1" x14ac:dyDescent="0.25">
      <c r="A37" s="1736" t="s">
        <v>653</v>
      </c>
      <c r="B37" s="1741"/>
      <c r="C37" s="477"/>
      <c r="D37" s="477"/>
      <c r="E37" s="477"/>
      <c r="F37" s="477"/>
      <c r="G37" s="477"/>
      <c r="H37" s="477"/>
      <c r="I37" s="477"/>
      <c r="J37" s="477"/>
      <c r="K37" s="477"/>
      <c r="L37" s="480"/>
      <c r="M37" s="468"/>
      <c r="N37" s="1688">
        <f>SUM(N36:N36)</f>
        <v>8383528</v>
      </c>
    </row>
    <row r="38" spans="1:14" s="329" customFormat="1" ht="13.5" customHeight="1" thickTop="1" x14ac:dyDescent="0.2">
      <c r="A38" s="496" t="s">
        <v>420</v>
      </c>
      <c r="B38" s="483">
        <v>714</v>
      </c>
      <c r="C38" s="466"/>
      <c r="D38" s="466"/>
      <c r="E38" s="466"/>
      <c r="F38" s="466"/>
      <c r="G38" s="466">
        <v>28267</v>
      </c>
      <c r="H38" s="466"/>
      <c r="I38" s="466"/>
      <c r="J38" s="467"/>
      <c r="K38" s="466"/>
      <c r="L38" s="481"/>
      <c r="M38" s="497"/>
      <c r="N38" s="497"/>
    </row>
    <row r="39" spans="1:14" s="329" customFormat="1" ht="13.5" customHeight="1" x14ac:dyDescent="0.2">
      <c r="A39" s="496" t="s">
        <v>342</v>
      </c>
      <c r="B39" s="483">
        <v>730</v>
      </c>
      <c r="C39" s="466">
        <v>7982991</v>
      </c>
      <c r="D39" s="466">
        <v>1954353</v>
      </c>
      <c r="E39" s="466">
        <v>380309</v>
      </c>
      <c r="F39" s="466">
        <v>1778542</v>
      </c>
      <c r="G39" s="466">
        <v>154824</v>
      </c>
      <c r="H39" s="466">
        <v>711580</v>
      </c>
      <c r="I39" s="466">
        <v>679310</v>
      </c>
      <c r="J39" s="467">
        <v>202865</v>
      </c>
      <c r="K39" s="466">
        <v>259472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26815430</v>
      </c>
      <c r="N40" s="497"/>
    </row>
    <row r="41" spans="1:14" ht="13.5" customHeight="1" thickBot="1" x14ac:dyDescent="0.25">
      <c r="A41" s="1736" t="s">
        <v>655</v>
      </c>
      <c r="B41" s="1706"/>
      <c r="C41" s="1688">
        <f>(SUM(C34,C37,C38,C39))</f>
        <v>7982991</v>
      </c>
      <c r="D41" s="1688">
        <f t="shared" ref="D41:L41" si="2">SUM(D34,D37,D38:D39)</f>
        <v>1954353</v>
      </c>
      <c r="E41" s="1688">
        <f t="shared" si="2"/>
        <v>380309</v>
      </c>
      <c r="F41" s="1688">
        <f t="shared" si="2"/>
        <v>1778542</v>
      </c>
      <c r="G41" s="1688">
        <f t="shared" si="2"/>
        <v>183091</v>
      </c>
      <c r="H41" s="1688">
        <f t="shared" si="2"/>
        <v>711580</v>
      </c>
      <c r="I41" s="1688">
        <f t="shared" si="2"/>
        <v>679310</v>
      </c>
      <c r="J41" s="1688">
        <f t="shared" si="2"/>
        <v>202865</v>
      </c>
      <c r="K41" s="1688">
        <f t="shared" si="2"/>
        <v>259472</v>
      </c>
      <c r="L41" s="1688">
        <f t="shared" si="2"/>
        <v>123560</v>
      </c>
      <c r="M41" s="1688">
        <f>SUM(M40)</f>
        <v>26815430</v>
      </c>
      <c r="N41" s="1688">
        <f>SUM(N37)</f>
        <v>8383528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topLeftCell="C1" colorId="8" zoomScaleNormal="100" zoomScaleSheetLayoutView="100" workbookViewId="0">
      <pane ySplit="2" topLeftCell="A69" activePane="bottomLeft" state="frozen"/>
      <selection pane="bottomLeft" activeCell="K79" sqref="K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2" t="s">
        <v>1175</v>
      </c>
      <c r="B3" s="2143"/>
      <c r="C3" s="1573"/>
      <c r="D3" s="1574"/>
      <c r="E3" s="1574"/>
      <c r="F3" s="1574"/>
      <c r="G3" s="1574"/>
      <c r="H3" s="1574"/>
      <c r="I3" s="1574"/>
      <c r="J3" s="1574"/>
      <c r="K3" s="1575"/>
      <c r="L3" s="506"/>
    </row>
    <row r="4" spans="1:13" ht="15.75" customHeight="1" x14ac:dyDescent="0.2">
      <c r="A4" s="1928" t="s">
        <v>1499</v>
      </c>
      <c r="B4" s="1929">
        <v>1000</v>
      </c>
      <c r="C4" s="1742">
        <f>'Revenues 9-14'!C109</f>
        <v>4923805</v>
      </c>
      <c r="D4" s="1742">
        <f>'Revenues 9-14'!D109</f>
        <v>1095696</v>
      </c>
      <c r="E4" s="1742">
        <f>'Revenues 9-14'!E109</f>
        <v>1119069</v>
      </c>
      <c r="F4" s="1742">
        <f>'Revenues 9-14'!F109</f>
        <v>361896</v>
      </c>
      <c r="G4" s="1742">
        <f>'Revenues 9-14'!G109</f>
        <v>237348</v>
      </c>
      <c r="H4" s="1742">
        <f>'Revenues 9-14'!H109</f>
        <v>1410</v>
      </c>
      <c r="I4" s="1742">
        <f>'Revenues 9-14'!I109</f>
        <v>88846</v>
      </c>
      <c r="J4" s="1742">
        <f>'Revenues 9-14'!J109</f>
        <v>183097</v>
      </c>
      <c r="K4" s="1742">
        <f>'Revenues 9-14'!K109</f>
        <v>87461</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615364</v>
      </c>
      <c r="D6" s="1743">
        <f>'Revenues 9-14'!D170</f>
        <v>3750</v>
      </c>
      <c r="E6" s="1743">
        <f>'Revenues 9-14'!E170</f>
        <v>0</v>
      </c>
      <c r="F6" s="1743">
        <f>'Revenues 9-14'!F170</f>
        <v>291284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377768</v>
      </c>
      <c r="D7" s="1743">
        <f>'Revenues 9-14'!D267</f>
        <v>0</v>
      </c>
      <c r="E7" s="1743">
        <f>'Revenues 9-14'!E267</f>
        <v>119545</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5916937</v>
      </c>
      <c r="D8" s="1688">
        <f t="shared" ref="D8:K8" si="0">SUM(D4:D7)</f>
        <v>1099446</v>
      </c>
      <c r="E8" s="1688">
        <f t="shared" si="0"/>
        <v>1238614</v>
      </c>
      <c r="F8" s="1688">
        <f t="shared" si="0"/>
        <v>653180</v>
      </c>
      <c r="G8" s="1688">
        <f t="shared" si="0"/>
        <v>237348</v>
      </c>
      <c r="H8" s="1688">
        <f t="shared" si="0"/>
        <v>1410</v>
      </c>
      <c r="I8" s="1688">
        <f t="shared" si="0"/>
        <v>88846</v>
      </c>
      <c r="J8" s="1688">
        <f t="shared" si="0"/>
        <v>183097</v>
      </c>
      <c r="K8" s="1688">
        <f t="shared" si="0"/>
        <v>87461</v>
      </c>
      <c r="L8" s="347"/>
    </row>
    <row r="9" spans="1:13" ht="15.75" thickTop="1" x14ac:dyDescent="0.2">
      <c r="A9" s="514" t="s">
        <v>1653</v>
      </c>
      <c r="B9" s="515">
        <v>3998</v>
      </c>
      <c r="C9" s="481">
        <v>2353715</v>
      </c>
      <c r="D9" s="516"/>
      <c r="E9" s="481"/>
      <c r="F9" s="481"/>
      <c r="G9" s="517"/>
      <c r="H9" s="481"/>
      <c r="I9" s="509" t="s">
        <v>1169</v>
      </c>
      <c r="J9" s="478"/>
      <c r="K9" s="481"/>
      <c r="L9" s="347"/>
    </row>
    <row r="10" spans="1:13" s="519" customFormat="1" ht="13.5" thickBot="1" x14ac:dyDescent="0.25">
      <c r="A10" s="1736" t="s">
        <v>1173</v>
      </c>
      <c r="B10" s="1709"/>
      <c r="C10" s="1688">
        <f>SUM(C8:C9)</f>
        <v>8270652</v>
      </c>
      <c r="D10" s="1688">
        <f t="shared" ref="D10:K10" si="1">SUM(D8:D9)</f>
        <v>1099446</v>
      </c>
      <c r="E10" s="1688">
        <f t="shared" si="1"/>
        <v>1238614</v>
      </c>
      <c r="F10" s="1688">
        <f t="shared" si="1"/>
        <v>653180</v>
      </c>
      <c r="G10" s="1688">
        <f t="shared" si="1"/>
        <v>237348</v>
      </c>
      <c r="H10" s="1688">
        <f t="shared" si="1"/>
        <v>1410</v>
      </c>
      <c r="I10" s="1688">
        <f t="shared" si="1"/>
        <v>88846</v>
      </c>
      <c r="J10" s="1688">
        <f t="shared" si="1"/>
        <v>183097</v>
      </c>
      <c r="K10" s="1688">
        <f t="shared" si="1"/>
        <v>87461</v>
      </c>
      <c r="L10" s="518"/>
    </row>
    <row r="11" spans="1:13" s="519" customFormat="1" ht="16.7" customHeight="1" thickTop="1" x14ac:dyDescent="0.2">
      <c r="A11" s="2116" t="s">
        <v>1176</v>
      </c>
      <c r="B11" s="2117"/>
      <c r="C11" s="1570"/>
      <c r="D11" s="1571"/>
      <c r="E11" s="1571"/>
      <c r="F11" s="1571"/>
      <c r="G11" s="1571"/>
      <c r="H11" s="1571"/>
      <c r="I11" s="1571"/>
      <c r="J11" s="1571"/>
      <c r="K11" s="1572"/>
      <c r="L11" s="518"/>
    </row>
    <row r="12" spans="1:13" ht="15.75" customHeight="1" x14ac:dyDescent="0.2">
      <c r="A12" s="1576" t="s">
        <v>456</v>
      </c>
      <c r="B12" s="1578">
        <v>1000</v>
      </c>
      <c r="C12" s="1742">
        <f>'Expenditures 15-22'!K33</f>
        <v>4095997</v>
      </c>
      <c r="D12" s="520" t="s">
        <v>1169</v>
      </c>
      <c r="E12" s="468" t="s">
        <v>1169</v>
      </c>
      <c r="F12" s="468" t="s">
        <v>1169</v>
      </c>
      <c r="G12" s="1742">
        <f>'Expenditures 15-22'!K229</f>
        <v>87712</v>
      </c>
      <c r="H12" s="521"/>
      <c r="I12" s="468" t="s">
        <v>1169</v>
      </c>
      <c r="J12" s="468" t="s">
        <v>1169</v>
      </c>
      <c r="K12" s="521" t="s">
        <v>1169</v>
      </c>
      <c r="L12" s="347"/>
    </row>
    <row r="13" spans="1:13" ht="15.75" customHeight="1" x14ac:dyDescent="0.2">
      <c r="A13" s="1576" t="s">
        <v>457</v>
      </c>
      <c r="B13" s="1578">
        <v>2000</v>
      </c>
      <c r="C13" s="1743">
        <f>'Expenditures 15-22'!K74</f>
        <v>1360807</v>
      </c>
      <c r="D13" s="1743">
        <f>'Expenditures 15-22'!K129</f>
        <v>1045296</v>
      </c>
      <c r="E13" s="469" t="s">
        <v>1169</v>
      </c>
      <c r="F13" s="1743">
        <f>'Expenditures 15-22'!K184</f>
        <v>480652</v>
      </c>
      <c r="G13" s="1743">
        <f>'Expenditures 15-22'!K279</f>
        <v>156216</v>
      </c>
      <c r="H13" s="1743">
        <f>'Expenditures 15-22'!K303</f>
        <v>13582</v>
      </c>
      <c r="I13" s="468" t="s">
        <v>1169</v>
      </c>
      <c r="J13" s="1743">
        <f>'Expenditures 15-22'!K330</f>
        <v>210367</v>
      </c>
      <c r="K13" s="1747">
        <f>'Expenditures 15-22'!K352</f>
        <v>109754</v>
      </c>
      <c r="L13" s="347"/>
    </row>
    <row r="14" spans="1:13" ht="15.75" customHeight="1" x14ac:dyDescent="0.2">
      <c r="A14" s="1576" t="s">
        <v>449</v>
      </c>
      <c r="B14" s="1578">
        <v>3000</v>
      </c>
      <c r="C14" s="1743">
        <f>'Expenditures 15-22'!K75</f>
        <v>867</v>
      </c>
      <c r="D14" s="1743">
        <f>'Expenditures 15-22'!K130</f>
        <v>0</v>
      </c>
      <c r="E14" s="520" t="s">
        <v>1169</v>
      </c>
      <c r="F14" s="1743">
        <f>'Expenditures 15-22'!K185</f>
        <v>45347</v>
      </c>
      <c r="G14" s="1743">
        <f>'Expenditures 15-22'!K280</f>
        <v>5712</v>
      </c>
      <c r="H14" s="512"/>
      <c r="I14" s="468" t="s">
        <v>1169</v>
      </c>
      <c r="J14" s="468" t="s">
        <v>1169</v>
      </c>
      <c r="K14" s="512" t="s">
        <v>1169</v>
      </c>
      <c r="L14" s="347"/>
    </row>
    <row r="15" spans="1:13" ht="15.75" customHeight="1" x14ac:dyDescent="0.2">
      <c r="A15" s="1576" t="s">
        <v>107</v>
      </c>
      <c r="B15" s="1578">
        <v>4000</v>
      </c>
      <c r="C15" s="1743">
        <f>'Expenditures 15-22'!K102</f>
        <v>123296</v>
      </c>
      <c r="D15" s="1743">
        <f>'Expenditures 15-22'!K139</f>
        <v>11237</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6268</v>
      </c>
      <c r="L15" s="347"/>
    </row>
    <row r="16" spans="1:13" ht="15.75" customHeight="1" x14ac:dyDescent="0.2">
      <c r="A16" s="1576" t="s">
        <v>450</v>
      </c>
      <c r="B16" s="1578">
        <v>5000</v>
      </c>
      <c r="C16" s="1743">
        <f>'Expenditures 15-22'!K112</f>
        <v>0</v>
      </c>
      <c r="D16" s="1743">
        <f>'Expenditures 15-22'!K149</f>
        <v>0</v>
      </c>
      <c r="E16" s="1743">
        <f>'Expenditures 15-22'!K172</f>
        <v>1338106</v>
      </c>
      <c r="F16" s="1743">
        <f>'Expenditures 15-22'!K208</f>
        <v>52569</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5580967</v>
      </c>
      <c r="D17" s="1688">
        <f t="shared" si="2"/>
        <v>1056533</v>
      </c>
      <c r="E17" s="1688">
        <f t="shared" si="2"/>
        <v>1338106</v>
      </c>
      <c r="F17" s="1688">
        <f t="shared" si="2"/>
        <v>578568</v>
      </c>
      <c r="G17" s="1688">
        <f t="shared" si="2"/>
        <v>249640</v>
      </c>
      <c r="H17" s="1688">
        <f t="shared" si="2"/>
        <v>13582</v>
      </c>
      <c r="I17" s="468"/>
      <c r="J17" s="1688">
        <f>SUM(J12:J16)</f>
        <v>210367</v>
      </c>
      <c r="K17" s="1688">
        <f>SUM(K12:K16)</f>
        <v>116022</v>
      </c>
      <c r="L17" s="347"/>
    </row>
    <row r="18" spans="1:12" ht="15" customHeight="1" thickTop="1" x14ac:dyDescent="0.2">
      <c r="A18" s="1744" t="s">
        <v>1654</v>
      </c>
      <c r="B18" s="1745">
        <v>4180</v>
      </c>
      <c r="C18" s="1742">
        <f t="shared" ref="C18:H18" si="3">C9</f>
        <v>2353715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7934682</v>
      </c>
      <c r="D19" s="1688">
        <f t="shared" si="4"/>
        <v>1056533</v>
      </c>
      <c r="E19" s="1688">
        <f t="shared" si="4"/>
        <v>1338106</v>
      </c>
      <c r="F19" s="1688">
        <f t="shared" si="4"/>
        <v>578568</v>
      </c>
      <c r="G19" s="1688">
        <f t="shared" si="4"/>
        <v>249640</v>
      </c>
      <c r="H19" s="1688">
        <f t="shared" si="4"/>
        <v>13582</v>
      </c>
      <c r="I19" s="468"/>
      <c r="J19" s="1688">
        <f>SUM(J17:J18)</f>
        <v>210367</v>
      </c>
      <c r="K19" s="1688">
        <f>SUM(K17:K18)</f>
        <v>116022</v>
      </c>
      <c r="L19" s="347"/>
    </row>
    <row r="20" spans="1:12" ht="16.5" thickTop="1" thickBot="1" x14ac:dyDescent="0.25">
      <c r="A20" s="2132" t="s">
        <v>1655</v>
      </c>
      <c r="B20" s="2133"/>
      <c r="C20" s="1746">
        <f>C8-C17</f>
        <v>335970</v>
      </c>
      <c r="D20" s="1746">
        <f t="shared" ref="D20:K20" si="5">D8-D17</f>
        <v>42913</v>
      </c>
      <c r="E20" s="1746">
        <f t="shared" si="5"/>
        <v>-99492</v>
      </c>
      <c r="F20" s="1746">
        <f t="shared" si="5"/>
        <v>74612</v>
      </c>
      <c r="G20" s="1746">
        <f t="shared" si="5"/>
        <v>-12292</v>
      </c>
      <c r="H20" s="1746">
        <f t="shared" si="5"/>
        <v>-12172</v>
      </c>
      <c r="I20" s="1746">
        <f t="shared" si="5"/>
        <v>88846</v>
      </c>
      <c r="J20" s="1746">
        <f t="shared" si="5"/>
        <v>-27270</v>
      </c>
      <c r="K20" s="1746">
        <f t="shared" si="5"/>
        <v>-28561</v>
      </c>
      <c r="L20" s="347"/>
    </row>
    <row r="21" spans="1:12" ht="16.7" customHeight="1" thickTop="1" x14ac:dyDescent="0.2">
      <c r="A21" s="2144" t="s">
        <v>595</v>
      </c>
      <c r="B21" s="2145"/>
      <c r="C21" s="1570"/>
      <c r="D21" s="1571"/>
      <c r="E21" s="1571"/>
      <c r="F21" s="1571"/>
      <c r="G21" s="1571"/>
      <c r="H21" s="1571"/>
      <c r="I21" s="1571"/>
      <c r="J21" s="1571"/>
      <c r="K21" s="1572"/>
      <c r="L21" s="524"/>
    </row>
    <row r="22" spans="1:12" ht="15.75" customHeight="1" collapsed="1" x14ac:dyDescent="0.2">
      <c r="A22" s="2140" t="s">
        <v>596</v>
      </c>
      <c r="B22" s="2141"/>
      <c r="C22" s="477"/>
      <c r="D22" s="477"/>
      <c r="E22" s="477"/>
      <c r="F22" s="477"/>
      <c r="G22" s="477"/>
      <c r="H22" s="477"/>
      <c r="I22" s="477"/>
      <c r="J22" s="477"/>
      <c r="K22" s="477"/>
      <c r="L22" s="347"/>
    </row>
    <row r="23" spans="1:12" s="485" customFormat="1" ht="15.75" customHeight="1" x14ac:dyDescent="0.2">
      <c r="A23" s="2136" t="s">
        <v>293</v>
      </c>
      <c r="B23" s="2137"/>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8" t="s">
        <v>981</v>
      </c>
      <c r="B32" s="2139"/>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v>14800</v>
      </c>
      <c r="G36" s="467"/>
      <c r="H36" s="467"/>
      <c r="I36" s="475"/>
      <c r="J36" s="467"/>
      <c r="K36" s="467"/>
      <c r="L36" s="524"/>
    </row>
    <row r="37" spans="1:12" s="485" customFormat="1" x14ac:dyDescent="0.2">
      <c r="A37" s="1489" t="s">
        <v>441</v>
      </c>
      <c r="B37" s="525">
        <v>7400</v>
      </c>
      <c r="C37" s="475"/>
      <c r="D37" s="475"/>
      <c r="E37" s="1743">
        <f>SUM(C54:D57,H54:H57)</f>
        <v>35660</v>
      </c>
      <c r="F37" s="475"/>
      <c r="G37" s="475"/>
      <c r="H37" s="475"/>
      <c r="I37" s="477"/>
      <c r="J37" s="475"/>
      <c r="K37" s="475"/>
      <c r="L37" s="524"/>
    </row>
    <row r="38" spans="1:12" s="485" customFormat="1" x14ac:dyDescent="0.2">
      <c r="A38" s="1489" t="s">
        <v>442</v>
      </c>
      <c r="B38" s="525">
        <v>7500</v>
      </c>
      <c r="C38" s="477"/>
      <c r="D38" s="477"/>
      <c r="E38" s="1743">
        <f>SUM(C58:D61,H58:H61)</f>
        <v>1470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6" t="s">
        <v>374</v>
      </c>
      <c r="B44" s="2147"/>
      <c r="C44" s="1703">
        <f>SUM(C24:C43)</f>
        <v>0</v>
      </c>
      <c r="D44" s="1703">
        <f t="shared" ref="D44:K44" si="6">SUM(D24:D43)</f>
        <v>0</v>
      </c>
      <c r="E44" s="1703">
        <f t="shared" si="6"/>
        <v>37130</v>
      </c>
      <c r="F44" s="1703">
        <f t="shared" si="6"/>
        <v>14800</v>
      </c>
      <c r="G44" s="1703">
        <f t="shared" si="6"/>
        <v>0</v>
      </c>
      <c r="H44" s="1703">
        <f t="shared" si="6"/>
        <v>0</v>
      </c>
      <c r="I44" s="1703">
        <f t="shared" si="6"/>
        <v>0</v>
      </c>
      <c r="J44" s="1703">
        <f t="shared" si="6"/>
        <v>0</v>
      </c>
      <c r="K44" s="1703">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v>35660</v>
      </c>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v>1470</v>
      </c>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2" t="s">
        <v>440</v>
      </c>
      <c r="B76" s="2123"/>
      <c r="C76" s="1703">
        <f t="shared" ref="C76:K76" si="7">SUM(C47:C75)</f>
        <v>37130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4" t="s">
        <v>1177</v>
      </c>
      <c r="B77" s="2125"/>
      <c r="C77" s="1703">
        <f t="shared" ref="C77:K77" si="8">C44-C76</f>
        <v>-37130</v>
      </c>
      <c r="D77" s="1703">
        <f t="shared" si="8"/>
        <v>0</v>
      </c>
      <c r="E77" s="1703">
        <f t="shared" si="8"/>
        <v>37130</v>
      </c>
      <c r="F77" s="1703">
        <f t="shared" si="8"/>
        <v>14800</v>
      </c>
      <c r="G77" s="1703">
        <f t="shared" si="8"/>
        <v>0</v>
      </c>
      <c r="H77" s="1703">
        <f t="shared" si="8"/>
        <v>0</v>
      </c>
      <c r="I77" s="1703">
        <f t="shared" si="8"/>
        <v>0</v>
      </c>
      <c r="J77" s="1703">
        <f t="shared" si="8"/>
        <v>0</v>
      </c>
      <c r="K77" s="1703">
        <f t="shared" si="8"/>
        <v>0</v>
      </c>
      <c r="L77" s="347"/>
    </row>
    <row r="78" spans="1:12" ht="21.75" customHeight="1" thickTop="1" thickBot="1" x14ac:dyDescent="0.25">
      <c r="A78" s="2128" t="s">
        <v>597</v>
      </c>
      <c r="B78" s="2129"/>
      <c r="C78" s="1702">
        <f t="shared" ref="C78:K78" si="9">C20+C77</f>
        <v>298840</v>
      </c>
      <c r="D78" s="1702">
        <f t="shared" si="9"/>
        <v>42913</v>
      </c>
      <c r="E78" s="1702">
        <f t="shared" si="9"/>
        <v>-62362</v>
      </c>
      <c r="F78" s="1702">
        <f t="shared" si="9"/>
        <v>89412</v>
      </c>
      <c r="G78" s="1702">
        <f t="shared" si="9"/>
        <v>-12292</v>
      </c>
      <c r="H78" s="1702">
        <f t="shared" si="9"/>
        <v>-12172</v>
      </c>
      <c r="I78" s="1702">
        <f t="shared" si="9"/>
        <v>88846</v>
      </c>
      <c r="J78" s="1702">
        <f t="shared" si="9"/>
        <v>-27270</v>
      </c>
      <c r="K78" s="1702">
        <f t="shared" si="9"/>
        <v>-28561</v>
      </c>
      <c r="L78" s="533"/>
    </row>
    <row r="79" spans="1:12" ht="13.5" thickTop="1" x14ac:dyDescent="0.2">
      <c r="A79" s="1494" t="s">
        <v>1949</v>
      </c>
      <c r="B79" s="534"/>
      <c r="C79" s="478">
        <v>7684151</v>
      </c>
      <c r="D79" s="535">
        <v>1911440</v>
      </c>
      <c r="E79" s="535">
        <v>442671</v>
      </c>
      <c r="F79" s="535">
        <v>1689130</v>
      </c>
      <c r="G79" s="535">
        <v>195383</v>
      </c>
      <c r="H79" s="535">
        <v>723752</v>
      </c>
      <c r="I79" s="535">
        <v>590464</v>
      </c>
      <c r="J79" s="535">
        <v>230135</v>
      </c>
      <c r="K79" s="535">
        <v>288033</v>
      </c>
      <c r="L79" s="347"/>
    </row>
    <row r="80" spans="1:12" x14ac:dyDescent="0.2">
      <c r="A80" s="2134" t="s">
        <v>1795</v>
      </c>
      <c r="B80" s="2135"/>
      <c r="C80" s="467"/>
      <c r="D80" s="467"/>
      <c r="E80" s="467"/>
      <c r="F80" s="467"/>
      <c r="G80" s="467"/>
      <c r="H80" s="467"/>
      <c r="I80" s="467"/>
      <c r="J80" s="467"/>
      <c r="K80" s="467"/>
      <c r="L80" s="347"/>
    </row>
    <row r="81" spans="1:12" ht="13.5" thickBot="1" x14ac:dyDescent="0.25">
      <c r="A81" s="2126" t="s">
        <v>1950</v>
      </c>
      <c r="B81" s="2127"/>
      <c r="C81" s="1688">
        <f>(SUM(C78:C80))</f>
        <v>7982991</v>
      </c>
      <c r="D81" s="1688">
        <f>SUM(D78:D80)</f>
        <v>1954353</v>
      </c>
      <c r="E81" s="1688">
        <f t="shared" ref="E81:K81" si="10">SUM(E78:E80)</f>
        <v>380309</v>
      </c>
      <c r="F81" s="1688">
        <f t="shared" si="10"/>
        <v>1778542</v>
      </c>
      <c r="G81" s="1688">
        <f t="shared" si="10"/>
        <v>183091</v>
      </c>
      <c r="H81" s="1688">
        <f t="shared" si="10"/>
        <v>711580</v>
      </c>
      <c r="I81" s="1688">
        <f t="shared" si="10"/>
        <v>679310</v>
      </c>
      <c r="J81" s="1688">
        <f t="shared" si="10"/>
        <v>202865</v>
      </c>
      <c r="K81" s="1688">
        <f t="shared" si="10"/>
        <v>259472</v>
      </c>
      <c r="L81" s="347"/>
    </row>
    <row r="82" spans="1:12" ht="0.75" customHeight="1" thickTop="1" thickBot="1" x14ac:dyDescent="0.25">
      <c r="A82" s="536" t="s">
        <v>343</v>
      </c>
      <c r="B82" s="537"/>
      <c r="C82" s="538">
        <f>(C81-C79)</f>
        <v>298840</v>
      </c>
      <c r="D82" s="538">
        <f t="shared" ref="D82:K82" si="11">(D81-D79)</f>
        <v>42913</v>
      </c>
      <c r="E82" s="538">
        <f t="shared" si="11"/>
        <v>-62362</v>
      </c>
      <c r="F82" s="538">
        <f t="shared" si="11"/>
        <v>89412</v>
      </c>
      <c r="G82" s="538">
        <f t="shared" si="11"/>
        <v>-12292</v>
      </c>
      <c r="H82" s="538">
        <f t="shared" si="11"/>
        <v>-12172</v>
      </c>
      <c r="I82" s="538">
        <f t="shared" si="11"/>
        <v>88846</v>
      </c>
      <c r="J82" s="538">
        <f t="shared" si="11"/>
        <v>-27270</v>
      </c>
      <c r="K82" s="538">
        <f t="shared" si="11"/>
        <v>-28561</v>
      </c>
    </row>
    <row r="83" spans="1:12" ht="14.25" hidden="1" thickTop="1" thickBot="1" x14ac:dyDescent="0.25">
      <c r="A83" s="539" t="s">
        <v>344</v>
      </c>
      <c r="B83" s="464"/>
      <c r="C83" s="540">
        <f>C82/C81</f>
        <v>3.7434590618979781E-2</v>
      </c>
      <c r="D83" s="540">
        <f t="shared" ref="D83:K83" si="12">D82/D81</f>
        <v>2.1957650434696292E-2</v>
      </c>
      <c r="E83" s="540">
        <f t="shared" si="12"/>
        <v>-0.16397718697164673</v>
      </c>
      <c r="F83" s="540">
        <f t="shared" si="12"/>
        <v>5.0272639049288685E-2</v>
      </c>
      <c r="G83" s="540">
        <f t="shared" si="12"/>
        <v>-6.7136014331671143E-2</v>
      </c>
      <c r="H83" s="540">
        <f t="shared" si="12"/>
        <v>-1.7105595997639056E-2</v>
      </c>
      <c r="I83" s="540">
        <f t="shared" si="12"/>
        <v>0.13078859430893111</v>
      </c>
      <c r="J83" s="540">
        <f t="shared" si="12"/>
        <v>-0.13442437088704312</v>
      </c>
      <c r="K83" s="540">
        <f t="shared" si="12"/>
        <v>-0.11007353394585928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1802</v>
      </c>
      <c r="B1" s="452"/>
      <c r="C1" s="453" t="s">
        <v>425</v>
      </c>
      <c r="D1" s="453" t="s">
        <v>426</v>
      </c>
      <c r="E1" s="453" t="s">
        <v>427</v>
      </c>
      <c r="F1" s="453" t="s">
        <v>428</v>
      </c>
      <c r="G1" s="453" t="s">
        <v>429</v>
      </c>
      <c r="H1" s="453" t="s">
        <v>430</v>
      </c>
      <c r="I1" s="453" t="s">
        <v>431</v>
      </c>
      <c r="J1" s="453" t="s">
        <v>432</v>
      </c>
      <c r="K1" s="453" t="s">
        <v>756</v>
      </c>
    </row>
    <row r="2" spans="1:12" ht="36" x14ac:dyDescent="0.2">
      <c r="A2" s="213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4281270</v>
      </c>
      <c r="D5" s="481">
        <v>1027452</v>
      </c>
      <c r="E5" s="466">
        <v>1097361</v>
      </c>
      <c r="F5" s="548">
        <v>332006</v>
      </c>
      <c r="G5" s="466">
        <v>106856</v>
      </c>
      <c r="H5" s="466"/>
      <c r="I5" s="466">
        <v>85622</v>
      </c>
      <c r="J5" s="467">
        <v>179415</v>
      </c>
      <c r="K5" s="466">
        <v>85622</v>
      </c>
    </row>
    <row r="6" spans="1:12" ht="15" x14ac:dyDescent="0.2">
      <c r="A6" s="463" t="s">
        <v>1662</v>
      </c>
      <c r="B6" s="470">
        <v>1130</v>
      </c>
      <c r="C6" s="466">
        <v>85622</v>
      </c>
      <c r="D6" s="466"/>
      <c r="E6" s="475"/>
      <c r="F6" s="475"/>
      <c r="G6" s="468"/>
      <c r="H6" s="468"/>
      <c r="I6" s="468"/>
      <c r="J6" s="468"/>
      <c r="K6" s="468"/>
    </row>
    <row r="7" spans="1:12" x14ac:dyDescent="0.2">
      <c r="A7" s="463" t="s">
        <v>110</v>
      </c>
      <c r="B7" s="549">
        <v>1140</v>
      </c>
      <c r="C7" s="466">
        <v>68423</v>
      </c>
      <c r="D7" s="466"/>
      <c r="E7" s="468"/>
      <c r="F7" s="467"/>
      <c r="G7" s="467"/>
      <c r="H7" s="467"/>
      <c r="I7" s="468"/>
      <c r="J7" s="468"/>
      <c r="K7" s="468"/>
    </row>
    <row r="8" spans="1:12" x14ac:dyDescent="0.2">
      <c r="A8" s="463" t="s">
        <v>413</v>
      </c>
      <c r="B8" s="470">
        <v>1150</v>
      </c>
      <c r="C8" s="475"/>
      <c r="D8" s="475"/>
      <c r="E8" s="477"/>
      <c r="F8" s="477"/>
      <c r="G8" s="481">
        <v>118136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4435315</v>
      </c>
      <c r="D12" s="1707">
        <f t="shared" si="0"/>
        <v>1027452</v>
      </c>
      <c r="E12" s="1707">
        <f t="shared" si="0"/>
        <v>1097361</v>
      </c>
      <c r="F12" s="1707">
        <f t="shared" si="0"/>
        <v>332006</v>
      </c>
      <c r="G12" s="1707">
        <f t="shared" si="0"/>
        <v>224992</v>
      </c>
      <c r="H12" s="1707">
        <f t="shared" si="0"/>
        <v>0</v>
      </c>
      <c r="I12" s="1707">
        <f t="shared" si="0"/>
        <v>85622</v>
      </c>
      <c r="J12" s="1707">
        <f t="shared" si="0"/>
        <v>179415</v>
      </c>
      <c r="K12" s="1688">
        <f t="shared" si="0"/>
        <v>85622</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758</v>
      </c>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101068</v>
      </c>
      <c r="D16" s="466"/>
      <c r="E16" s="466"/>
      <c r="F16" s="466"/>
      <c r="G16" s="466">
        <v>7595</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101826</v>
      </c>
      <c r="D18" s="1710">
        <f t="shared" ref="D18:K18" si="1">SUM(D14:D17)</f>
        <v>0</v>
      </c>
      <c r="E18" s="1710">
        <f t="shared" si="1"/>
        <v>0</v>
      </c>
      <c r="F18" s="1710">
        <f t="shared" si="1"/>
        <v>0</v>
      </c>
      <c r="G18" s="1710">
        <f t="shared" si="1"/>
        <v>7595</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v>18199</v>
      </c>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18199</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133269</v>
      </c>
      <c r="D65" s="466">
        <v>25319</v>
      </c>
      <c r="E65" s="466">
        <v>21708</v>
      </c>
      <c r="F65" s="467">
        <v>11476</v>
      </c>
      <c r="G65" s="466">
        <v>4761</v>
      </c>
      <c r="H65" s="466">
        <v>1410</v>
      </c>
      <c r="I65" s="466">
        <v>3224</v>
      </c>
      <c r="J65" s="467">
        <v>3682</v>
      </c>
      <c r="K65" s="466">
        <v>1839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133269</v>
      </c>
      <c r="D67" s="1688">
        <f t="shared" ref="D67:K67" si="2">SUM(D65:D66)</f>
        <v>25319</v>
      </c>
      <c r="E67" s="1688">
        <f t="shared" si="2"/>
        <v>21708</v>
      </c>
      <c r="F67" s="1688">
        <f t="shared" si="2"/>
        <v>11476</v>
      </c>
      <c r="G67" s="1688">
        <f t="shared" si="2"/>
        <v>4761</v>
      </c>
      <c r="H67" s="1688">
        <f t="shared" si="2"/>
        <v>1410</v>
      </c>
      <c r="I67" s="1688">
        <f t="shared" si="2"/>
        <v>3224</v>
      </c>
      <c r="J67" s="1688">
        <f t="shared" si="2"/>
        <v>3682</v>
      </c>
      <c r="K67" s="1688">
        <f t="shared" si="2"/>
        <v>1839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154026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9306</v>
      </c>
      <c r="D73" s="468"/>
      <c r="E73" s="468"/>
      <c r="F73" s="468"/>
      <c r="G73" s="468"/>
      <c r="H73" s="468"/>
      <c r="I73" s="468"/>
      <c r="J73" s="468"/>
      <c r="K73" s="468"/>
    </row>
    <row r="74" spans="1:11" ht="12.75" customHeight="1" x14ac:dyDescent="0.2">
      <c r="A74" s="463" t="s">
        <v>25</v>
      </c>
      <c r="B74" s="470">
        <v>1690</v>
      </c>
      <c r="C74" s="551">
        <v>114</v>
      </c>
      <c r="D74" s="468"/>
      <c r="E74" s="468"/>
      <c r="F74" s="468"/>
      <c r="G74" s="468"/>
      <c r="H74" s="468"/>
      <c r="I74" s="468"/>
      <c r="J74" s="468"/>
      <c r="K74" s="468"/>
    </row>
    <row r="75" spans="1:11" ht="12.75" customHeight="1" thickBot="1" x14ac:dyDescent="0.25">
      <c r="A75" s="1708" t="s">
        <v>548</v>
      </c>
      <c r="B75" s="1709"/>
      <c r="C75" s="1688">
        <f>SUM(C69:C74)</f>
        <v>163446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22786</v>
      </c>
      <c r="D77" s="466"/>
      <c r="E77" s="468"/>
      <c r="F77" s="468"/>
      <c r="G77" s="468"/>
      <c r="H77" s="468"/>
      <c r="I77" s="468"/>
      <c r="J77" s="468"/>
      <c r="K77" s="468"/>
    </row>
    <row r="78" spans="1:11" ht="12.75" customHeight="1" x14ac:dyDescent="0.2">
      <c r="A78" s="463" t="s">
        <v>76</v>
      </c>
      <c r="B78" s="470">
        <v>1719</v>
      </c>
      <c r="C78" s="551">
        <v>17967</v>
      </c>
      <c r="D78" s="466"/>
      <c r="E78" s="468"/>
      <c r="F78" s="468"/>
      <c r="G78" s="468"/>
      <c r="H78" s="468"/>
      <c r="I78" s="468"/>
      <c r="J78" s="468"/>
      <c r="K78" s="468"/>
    </row>
    <row r="79" spans="1:11" ht="12.75" customHeight="1" x14ac:dyDescent="0.2">
      <c r="A79" s="463" t="s">
        <v>550</v>
      </c>
      <c r="B79" s="470">
        <v>1720</v>
      </c>
      <c r="C79" s="551">
        <v>805</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41558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20762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20762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9000</v>
      </c>
      <c r="D95" s="551">
        <v>1825</v>
      </c>
      <c r="E95" s="521"/>
      <c r="F95" s="521"/>
      <c r="G95" s="521"/>
      <c r="H95" s="521"/>
      <c r="I95" s="521"/>
      <c r="J95" s="521"/>
      <c r="K95" s="521"/>
    </row>
    <row r="96" spans="1:11" ht="12.75" customHeight="1" x14ac:dyDescent="0.2">
      <c r="A96" s="463" t="s">
        <v>391</v>
      </c>
      <c r="B96" s="470">
        <v>1920</v>
      </c>
      <c r="C96" s="551">
        <v>12850</v>
      </c>
      <c r="D96" s="551">
        <v>25000</v>
      </c>
      <c r="E96" s="479"/>
      <c r="F96" s="478">
        <v>215</v>
      </c>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2502</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2400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696</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181</v>
      </c>
      <c r="D107" s="466">
        <v>16100</v>
      </c>
      <c r="E107" s="466"/>
      <c r="F107" s="466"/>
      <c r="G107" s="466"/>
      <c r="H107" s="466"/>
      <c r="I107" s="466"/>
      <c r="J107" s="467"/>
      <c r="K107" s="466"/>
    </row>
    <row r="108" spans="1:12" ht="12.75" customHeight="1" thickBot="1" x14ac:dyDescent="0.25">
      <c r="A108" s="1708" t="s">
        <v>487</v>
      </c>
      <c r="B108" s="1712"/>
      <c r="C108" s="1707">
        <f>SUM(C95:C107)</f>
        <v>27629</v>
      </c>
      <c r="D108" s="1707">
        <f t="shared" ref="D108:K108" si="3">SUM(D95:D107)</f>
        <v>42925</v>
      </c>
      <c r="E108" s="1707">
        <f t="shared" si="3"/>
        <v>0</v>
      </c>
      <c r="F108" s="1707">
        <f t="shared" si="3"/>
        <v>215</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4923805</v>
      </c>
      <c r="D109" s="1715">
        <f t="shared" si="4"/>
        <v>1095696</v>
      </c>
      <c r="E109" s="1715">
        <f t="shared" si="4"/>
        <v>1119069</v>
      </c>
      <c r="F109" s="1715">
        <f t="shared" si="4"/>
        <v>361896</v>
      </c>
      <c r="G109" s="1715">
        <f t="shared" si="4"/>
        <v>237348</v>
      </c>
      <c r="H109" s="1715">
        <f t="shared" si="4"/>
        <v>1410</v>
      </c>
      <c r="I109" s="1715">
        <f t="shared" si="4"/>
        <v>88846</v>
      </c>
      <c r="J109" s="1715">
        <f t="shared" si="4"/>
        <v>183097</v>
      </c>
      <c r="K109" s="1702">
        <f t="shared" si="4"/>
        <v>87461</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564700</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564700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16151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19955</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36106</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2497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9577</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119511</v>
      </c>
      <c r="G152" s="467"/>
      <c r="H152" s="468"/>
      <c r="I152" s="468"/>
      <c r="J152" s="468"/>
      <c r="K152" s="468"/>
    </row>
    <row r="153" spans="1:11" ht="12.75" customHeight="1" x14ac:dyDescent="0.2">
      <c r="A153" s="463" t="s">
        <v>1057</v>
      </c>
      <c r="B153" s="562">
        <v>3510</v>
      </c>
      <c r="C153" s="551"/>
      <c r="D153" s="466"/>
      <c r="E153" s="561"/>
      <c r="F153" s="466">
        <v>121773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241284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v>750</v>
      </c>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1734</v>
      </c>
      <c r="D159" s="578">
        <v>3750</v>
      </c>
      <c r="E159" s="561"/>
      <c r="F159" s="576">
        <v>50000</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0" t="s">
        <v>398</v>
      </c>
      <c r="B169" s="2151"/>
      <c r="C169" s="1722">
        <f t="shared" ref="C169:K169" si="6">SUM(C132,C141,C145,C146:C150,C155,C156:C167,C168)</f>
        <v>50664</v>
      </c>
      <c r="D169" s="1722">
        <f t="shared" si="6"/>
        <v>3750</v>
      </c>
      <c r="E169" s="1722">
        <f t="shared" si="6"/>
        <v>0</v>
      </c>
      <c r="F169" s="1722">
        <f t="shared" si="6"/>
        <v>291284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615364</v>
      </c>
      <c r="D170" s="1715">
        <f t="shared" si="7"/>
        <v>3750</v>
      </c>
      <c r="E170" s="1715">
        <f t="shared" si="7"/>
        <v>0</v>
      </c>
      <c r="F170" s="1715">
        <f t="shared" si="7"/>
        <v>291284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2" t="s">
        <v>1492</v>
      </c>
      <c r="B172" s="2153"/>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6" t="s">
        <v>1665</v>
      </c>
      <c r="B175" s="2157"/>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0" t="s">
        <v>1664</v>
      </c>
      <c r="B176" s="2161"/>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27637</v>
      </c>
      <c r="D180" s="466"/>
      <c r="E180" s="468"/>
      <c r="F180" s="466"/>
      <c r="G180" s="466"/>
      <c r="H180" s="466"/>
      <c r="I180" s="468"/>
      <c r="J180" s="468"/>
      <c r="K180" s="466"/>
    </row>
    <row r="181" spans="1:11" ht="13.5" thickBot="1" x14ac:dyDescent="0.25">
      <c r="A181" s="2158" t="s">
        <v>785</v>
      </c>
      <c r="B181" s="2159"/>
      <c r="C181" s="1707">
        <f>SUM(C177:C180)</f>
        <v>27637</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4" t="s">
        <v>1803</v>
      </c>
      <c r="B182" s="2155"/>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126102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28360</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v>2014</v>
      </c>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156476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130940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130940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12812</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12812</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v>119545</v>
      </c>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119545</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18950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12326</v>
      </c>
      <c r="D263" s="576"/>
      <c r="E263" s="468"/>
      <c r="F263" s="576"/>
      <c r="G263" s="576"/>
      <c r="H263" s="468"/>
      <c r="I263" s="468"/>
      <c r="J263" s="468"/>
      <c r="K263" s="468"/>
    </row>
    <row r="264" spans="1:11" ht="12.75" customHeight="1" thickTop="1" thickBot="1" x14ac:dyDescent="0.25">
      <c r="A264" s="463" t="s">
        <v>377</v>
      </c>
      <c r="B264" s="470">
        <v>4992</v>
      </c>
      <c r="C264" s="575">
        <v>18627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350131</v>
      </c>
      <c r="D266" s="1715">
        <f t="shared" si="10"/>
        <v>0</v>
      </c>
      <c r="E266" s="1715">
        <f t="shared" si="10"/>
        <v>119545</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377768</v>
      </c>
      <c r="D267" s="1715">
        <f>SUM(D175,D181,D266)</f>
        <v>0</v>
      </c>
      <c r="E267" s="1715">
        <f>SUM(E175,E266)</f>
        <v>119545</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5916937</v>
      </c>
      <c r="D268" s="1715">
        <f t="shared" si="12"/>
        <v>1099446</v>
      </c>
      <c r="E268" s="1715">
        <f t="shared" si="12"/>
        <v>1238614</v>
      </c>
      <c r="F268" s="1715">
        <f t="shared" si="12"/>
        <v>653180</v>
      </c>
      <c r="G268" s="1715">
        <f t="shared" si="12"/>
        <v>237348</v>
      </c>
      <c r="H268" s="1715">
        <f t="shared" si="12"/>
        <v>1410</v>
      </c>
      <c r="I268" s="1715">
        <f t="shared" si="12"/>
        <v>88846</v>
      </c>
      <c r="J268" s="1715">
        <f t="shared" si="12"/>
        <v>183097</v>
      </c>
      <c r="K268" s="1702">
        <f t="shared" si="12"/>
        <v>87461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83" activePane="bottomLeft" state="frozen"/>
      <selection pane="bottomLeft" activeCell="C44" sqref="C4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0" t="s">
        <v>297</v>
      </c>
      <c r="B3" s="217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2357617</v>
      </c>
      <c r="D5" s="466">
        <v>541590</v>
      </c>
      <c r="E5" s="466">
        <v>6151</v>
      </c>
      <c r="F5" s="466">
        <v>127583</v>
      </c>
      <c r="G5" s="466">
        <v>55023</v>
      </c>
      <c r="H5" s="466"/>
      <c r="I5" s="467"/>
      <c r="J5" s="467"/>
      <c r="K5" s="1671">
        <f>SUM(C5:J5)</f>
        <v>3087964</v>
      </c>
      <c r="L5" s="466">
        <v>3186752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387559</v>
      </c>
      <c r="D8" s="466">
        <v>72210</v>
      </c>
      <c r="E8" s="466">
        <v>-196</v>
      </c>
      <c r="F8" s="466">
        <v>2400</v>
      </c>
      <c r="G8" s="466"/>
      <c r="H8" s="466"/>
      <c r="I8" s="467"/>
      <c r="J8" s="467"/>
      <c r="K8" s="1671">
        <f t="shared" si="0"/>
        <v>461973</v>
      </c>
      <c r="L8" s="466">
        <v>455859</v>
      </c>
    </row>
    <row r="9" spans="1:14" x14ac:dyDescent="0.2">
      <c r="A9" s="1504" t="s">
        <v>721</v>
      </c>
      <c r="B9" s="614" t="s">
        <v>968</v>
      </c>
      <c r="C9" s="467">
        <v>17018</v>
      </c>
      <c r="D9" s="467"/>
      <c r="E9" s="467"/>
      <c r="F9" s="467">
        <v>314</v>
      </c>
      <c r="G9" s="467"/>
      <c r="H9" s="467"/>
      <c r="I9" s="467"/>
      <c r="J9" s="467"/>
      <c r="K9" s="1671">
        <f t="shared" si="0"/>
        <v>17332</v>
      </c>
      <c r="L9" s="466">
        <v>25236</v>
      </c>
    </row>
    <row r="10" spans="1:14" x14ac:dyDescent="0.2">
      <c r="A10" s="1504" t="s">
        <v>722</v>
      </c>
      <c r="B10" s="614">
        <v>1250</v>
      </c>
      <c r="C10" s="466">
        <v>59577</v>
      </c>
      <c r="D10" s="466"/>
      <c r="E10" s="466">
        <v>23963</v>
      </c>
      <c r="F10" s="466"/>
      <c r="G10" s="466"/>
      <c r="H10" s="466"/>
      <c r="I10" s="467"/>
      <c r="J10" s="467"/>
      <c r="K10" s="1671">
        <f t="shared" si="0"/>
        <v>83540</v>
      </c>
      <c r="L10" s="466">
        <v>93170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146874</v>
      </c>
      <c r="D13" s="466">
        <v>35998</v>
      </c>
      <c r="E13" s="466"/>
      <c r="F13" s="466">
        <v>10848</v>
      </c>
      <c r="G13" s="466"/>
      <c r="H13" s="466"/>
      <c r="I13" s="467"/>
      <c r="J13" s="467"/>
      <c r="K13" s="1671">
        <f t="shared" si="0"/>
        <v>193720</v>
      </c>
      <c r="L13" s="466">
        <v>189627</v>
      </c>
    </row>
    <row r="14" spans="1:14" x14ac:dyDescent="0.2">
      <c r="A14" s="1504" t="s">
        <v>963</v>
      </c>
      <c r="B14" s="614">
        <v>1500</v>
      </c>
      <c r="C14" s="466">
        <v>107666</v>
      </c>
      <c r="D14" s="466">
        <v>9351</v>
      </c>
      <c r="E14" s="466">
        <v>61504</v>
      </c>
      <c r="F14" s="466">
        <v>42831</v>
      </c>
      <c r="G14" s="466">
        <v>3960</v>
      </c>
      <c r="H14" s="466"/>
      <c r="I14" s="467"/>
      <c r="J14" s="467"/>
      <c r="K14" s="1671">
        <f t="shared" si="0"/>
        <v>225312</v>
      </c>
      <c r="L14" s="466">
        <v>243359</v>
      </c>
    </row>
    <row r="15" spans="1:14" x14ac:dyDescent="0.2">
      <c r="A15" s="1504" t="s">
        <v>964</v>
      </c>
      <c r="B15" s="614">
        <v>1600</v>
      </c>
      <c r="C15" s="466">
        <v>8289</v>
      </c>
      <c r="D15" s="466">
        <v>124</v>
      </c>
      <c r="E15" s="466"/>
      <c r="F15" s="466"/>
      <c r="G15" s="466"/>
      <c r="H15" s="466"/>
      <c r="I15" s="467"/>
      <c r="J15" s="467"/>
      <c r="K15" s="1671">
        <f t="shared" si="0"/>
        <v>8413</v>
      </c>
      <c r="L15" s="466">
        <v>16740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14983</v>
      </c>
      <c r="D17" s="467">
        <v>1403</v>
      </c>
      <c r="E17" s="467"/>
      <c r="F17" s="467">
        <v>1112</v>
      </c>
      <c r="G17" s="467"/>
      <c r="H17" s="467"/>
      <c r="I17" s="467"/>
      <c r="J17" s="467"/>
      <c r="K17" s="1671">
        <f t="shared" si="0"/>
        <v>17498</v>
      </c>
      <c r="L17" s="466">
        <v>38288</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245</v>
      </c>
      <c r="I22" s="616"/>
      <c r="J22" s="477"/>
      <c r="K22" s="1671">
        <f t="shared" si="0"/>
        <v>245</v>
      </c>
      <c r="L22" s="471">
        <v>5000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3099583</v>
      </c>
      <c r="D33" s="1670">
        <f t="shared" ref="D33:L33" si="1">SUM(D5:D32)</f>
        <v>660676</v>
      </c>
      <c r="E33" s="1670">
        <f t="shared" si="1"/>
        <v>91422</v>
      </c>
      <c r="F33" s="1670">
        <f t="shared" si="1"/>
        <v>185088</v>
      </c>
      <c r="G33" s="1670">
        <f t="shared" si="1"/>
        <v>58983</v>
      </c>
      <c r="H33" s="1670">
        <f t="shared" si="1"/>
        <v>245</v>
      </c>
      <c r="I33" s="1670">
        <f t="shared" si="1"/>
        <v>0</v>
      </c>
      <c r="J33" s="1670">
        <f t="shared" si="1"/>
        <v>0</v>
      </c>
      <c r="K33" s="1670">
        <f t="shared" si="1"/>
        <v>4095997</v>
      </c>
      <c r="L33" s="1670">
        <f t="shared" si="1"/>
        <v>4254031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42534</v>
      </c>
      <c r="D36" s="481">
        <v>12262</v>
      </c>
      <c r="E36" s="481"/>
      <c r="F36" s="481">
        <v>591</v>
      </c>
      <c r="G36" s="481"/>
      <c r="H36" s="481"/>
      <c r="I36" s="467"/>
      <c r="J36" s="467"/>
      <c r="K36" s="1671">
        <f t="shared" ref="K36:K41" si="2">SUM(C36:J36)</f>
        <v>55387</v>
      </c>
      <c r="L36" s="466">
        <v>60202</v>
      </c>
    </row>
    <row r="37" spans="1:14" x14ac:dyDescent="0.2">
      <c r="A37" s="1504" t="s">
        <v>1090</v>
      </c>
      <c r="B37" s="614">
        <v>2120</v>
      </c>
      <c r="C37" s="466">
        <v>61579</v>
      </c>
      <c r="D37" s="466">
        <v>15346</v>
      </c>
      <c r="E37" s="466"/>
      <c r="F37" s="466">
        <v>344</v>
      </c>
      <c r="G37" s="466"/>
      <c r="H37" s="466"/>
      <c r="I37" s="467"/>
      <c r="J37" s="467"/>
      <c r="K37" s="1671">
        <f t="shared" si="2"/>
        <v>77269</v>
      </c>
      <c r="L37" s="466">
        <v>76756</v>
      </c>
    </row>
    <row r="38" spans="1:14" x14ac:dyDescent="0.2">
      <c r="A38" s="1504" t="s">
        <v>198</v>
      </c>
      <c r="B38" s="614">
        <v>2130</v>
      </c>
      <c r="C38" s="466">
        <v>26359</v>
      </c>
      <c r="D38" s="466"/>
      <c r="E38" s="466">
        <v>2919</v>
      </c>
      <c r="F38" s="466">
        <v>1640</v>
      </c>
      <c r="G38" s="466"/>
      <c r="H38" s="466"/>
      <c r="I38" s="467"/>
      <c r="J38" s="467"/>
      <c r="K38" s="1671">
        <f t="shared" si="2"/>
        <v>30918</v>
      </c>
      <c r="L38" s="466">
        <v>40550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130472</v>
      </c>
      <c r="D42" s="1670">
        <f t="shared" ref="D42:L42" si="3">SUM(D36:D41)</f>
        <v>27608</v>
      </c>
      <c r="E42" s="1670">
        <f t="shared" si="3"/>
        <v>2919</v>
      </c>
      <c r="F42" s="1670">
        <f t="shared" si="3"/>
        <v>2575</v>
      </c>
      <c r="G42" s="1670">
        <f t="shared" si="3"/>
        <v>0</v>
      </c>
      <c r="H42" s="1670">
        <f t="shared" si="3"/>
        <v>0</v>
      </c>
      <c r="I42" s="1670">
        <f t="shared" si="3"/>
        <v>0</v>
      </c>
      <c r="J42" s="1670">
        <f t="shared" si="3"/>
        <v>0</v>
      </c>
      <c r="K42" s="1670">
        <f t="shared" si="3"/>
        <v>163574</v>
      </c>
      <c r="L42" s="1670">
        <f t="shared" si="3"/>
        <v>177508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13378</v>
      </c>
      <c r="E44" s="481">
        <v>25383</v>
      </c>
      <c r="F44" s="481"/>
      <c r="G44" s="481"/>
      <c r="H44" s="481"/>
      <c r="I44" s="467"/>
      <c r="J44" s="467"/>
      <c r="K44" s="1672">
        <f>SUM(C44:J44)</f>
        <v>38761</v>
      </c>
      <c r="L44" s="481">
        <v>41000</v>
      </c>
    </row>
    <row r="45" spans="1:14" x14ac:dyDescent="0.2">
      <c r="A45" s="1504" t="s">
        <v>815</v>
      </c>
      <c r="B45" s="614">
        <v>2220</v>
      </c>
      <c r="C45" s="466">
        <v>102891</v>
      </c>
      <c r="D45" s="466">
        <v>22735</v>
      </c>
      <c r="E45" s="466"/>
      <c r="F45" s="466">
        <v>15037</v>
      </c>
      <c r="G45" s="466"/>
      <c r="H45" s="466"/>
      <c r="I45" s="467"/>
      <c r="J45" s="467"/>
      <c r="K45" s="1672">
        <f>SUM(C45:J45)</f>
        <v>140663</v>
      </c>
      <c r="L45" s="466">
        <v>169469</v>
      </c>
    </row>
    <row r="46" spans="1:14" x14ac:dyDescent="0.2">
      <c r="A46" s="1504" t="s">
        <v>816</v>
      </c>
      <c r="B46" s="614">
        <v>2230</v>
      </c>
      <c r="C46" s="466"/>
      <c r="D46" s="466"/>
      <c r="E46" s="466">
        <v>11988</v>
      </c>
      <c r="F46" s="466">
        <v>7291</v>
      </c>
      <c r="G46" s="466"/>
      <c r="H46" s="466"/>
      <c r="I46" s="467"/>
      <c r="J46" s="467"/>
      <c r="K46" s="1672">
        <f>SUM(C46:J46)</f>
        <v>19279</v>
      </c>
      <c r="L46" s="466">
        <v>25401</v>
      </c>
    </row>
    <row r="47" spans="1:14" ht="12.75" customHeight="1" thickBot="1" x14ac:dyDescent="0.25">
      <c r="A47" s="1668" t="s">
        <v>561</v>
      </c>
      <c r="B47" s="1669" t="s">
        <v>32</v>
      </c>
      <c r="C47" s="1670">
        <f>SUM(C44:C46)</f>
        <v>102891</v>
      </c>
      <c r="D47" s="1670">
        <f t="shared" ref="D47:K47" si="4">SUM(D44:D46)</f>
        <v>36113</v>
      </c>
      <c r="E47" s="1670">
        <f t="shared" si="4"/>
        <v>37371</v>
      </c>
      <c r="F47" s="1670">
        <f t="shared" si="4"/>
        <v>22328</v>
      </c>
      <c r="G47" s="1670">
        <f t="shared" si="4"/>
        <v>0</v>
      </c>
      <c r="H47" s="1670">
        <f t="shared" si="4"/>
        <v>0</v>
      </c>
      <c r="I47" s="1670">
        <f t="shared" si="4"/>
        <v>0</v>
      </c>
      <c r="J47" s="1670">
        <f t="shared" si="4"/>
        <v>0</v>
      </c>
      <c r="K47" s="1670">
        <f t="shared" si="4"/>
        <v>198703</v>
      </c>
      <c r="L47" s="1670">
        <f>SUM(L44:L46)</f>
        <v>235870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57095</v>
      </c>
      <c r="F49" s="481">
        <v>1520</v>
      </c>
      <c r="G49" s="481"/>
      <c r="H49" s="481"/>
      <c r="I49" s="467"/>
      <c r="J49" s="467"/>
      <c r="K49" s="1672">
        <f>SUM(C49:J49)</f>
        <v>58615</v>
      </c>
      <c r="L49" s="481">
        <v>74656</v>
      </c>
    </row>
    <row r="50" spans="1:14" x14ac:dyDescent="0.2">
      <c r="A50" s="1504" t="s">
        <v>818</v>
      </c>
      <c r="B50" s="614">
        <v>2320</v>
      </c>
      <c r="C50" s="466">
        <v>136850</v>
      </c>
      <c r="D50" s="466">
        <v>36414</v>
      </c>
      <c r="E50" s="466">
        <v>2914</v>
      </c>
      <c r="F50" s="466">
        <v>487</v>
      </c>
      <c r="G50" s="466"/>
      <c r="H50" s="466"/>
      <c r="I50" s="467"/>
      <c r="J50" s="467"/>
      <c r="K50" s="1672">
        <f>SUM(C50:J50)</f>
        <v>176665</v>
      </c>
      <c r="L50" s="466">
        <v>181573</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136850</v>
      </c>
      <c r="D53" s="1670">
        <f t="shared" ref="D53:L53" si="5">SUM(D49:D52)</f>
        <v>36414</v>
      </c>
      <c r="E53" s="1670">
        <f t="shared" si="5"/>
        <v>60009</v>
      </c>
      <c r="F53" s="1670">
        <f t="shared" si="5"/>
        <v>2007</v>
      </c>
      <c r="G53" s="1670">
        <f t="shared" si="5"/>
        <v>0</v>
      </c>
      <c r="H53" s="1670">
        <f t="shared" si="5"/>
        <v>0</v>
      </c>
      <c r="I53" s="1670">
        <f t="shared" si="5"/>
        <v>0</v>
      </c>
      <c r="J53" s="1670">
        <f t="shared" si="5"/>
        <v>0</v>
      </c>
      <c r="K53" s="1670">
        <f t="shared" si="5"/>
        <v>235280</v>
      </c>
      <c r="L53" s="1670">
        <f t="shared" si="5"/>
        <v>256229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257697</v>
      </c>
      <c r="D55" s="481">
        <v>88215</v>
      </c>
      <c r="E55" s="481">
        <v>4657</v>
      </c>
      <c r="F55" s="481">
        <v>6032</v>
      </c>
      <c r="G55" s="481"/>
      <c r="H55" s="481"/>
      <c r="I55" s="467"/>
      <c r="J55" s="467"/>
      <c r="K55" s="1672">
        <f>SUM(C55:J55)</f>
        <v>356601</v>
      </c>
      <c r="L55" s="481">
        <v>352578</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257697</v>
      </c>
      <c r="D57" s="1674">
        <f t="shared" ref="D57:K57" si="6">SUM(D55:D56)</f>
        <v>88215</v>
      </c>
      <c r="E57" s="1674">
        <f t="shared" si="6"/>
        <v>4657</v>
      </c>
      <c r="F57" s="1674">
        <f t="shared" si="6"/>
        <v>6032</v>
      </c>
      <c r="G57" s="1674">
        <f t="shared" si="6"/>
        <v>0</v>
      </c>
      <c r="H57" s="1674">
        <f t="shared" si="6"/>
        <v>0</v>
      </c>
      <c r="I57" s="1674">
        <f t="shared" si="6"/>
        <v>0</v>
      </c>
      <c r="J57" s="1674">
        <f t="shared" si="6"/>
        <v>0</v>
      </c>
      <c r="K57" s="1674">
        <f t="shared" si="6"/>
        <v>356601</v>
      </c>
      <c r="L57" s="1670">
        <f>SUM(L55:L56)</f>
        <v>352578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75867</v>
      </c>
      <c r="D60" s="466">
        <v>11423</v>
      </c>
      <c r="E60" s="466">
        <v>680</v>
      </c>
      <c r="F60" s="466"/>
      <c r="G60" s="466"/>
      <c r="H60" s="466"/>
      <c r="I60" s="467"/>
      <c r="J60" s="467"/>
      <c r="K60" s="1672">
        <f t="shared" si="7"/>
        <v>87970</v>
      </c>
      <c r="L60" s="466">
        <v>87074</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119264</v>
      </c>
      <c r="D63" s="466">
        <v>8906</v>
      </c>
      <c r="E63" s="466">
        <v>2059</v>
      </c>
      <c r="F63" s="466">
        <v>188450</v>
      </c>
      <c r="G63" s="466"/>
      <c r="H63" s="466"/>
      <c r="I63" s="467"/>
      <c r="J63" s="467"/>
      <c r="K63" s="1672">
        <f t="shared" si="7"/>
        <v>318679</v>
      </c>
      <c r="L63" s="466">
        <v>313497</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195131</v>
      </c>
      <c r="D65" s="1670">
        <f t="shared" ref="D65:L65" si="8">SUM(D59:D64)</f>
        <v>20329</v>
      </c>
      <c r="E65" s="1670">
        <f t="shared" si="8"/>
        <v>2739</v>
      </c>
      <c r="F65" s="1670">
        <f t="shared" si="8"/>
        <v>188450</v>
      </c>
      <c r="G65" s="1670">
        <f t="shared" si="8"/>
        <v>0</v>
      </c>
      <c r="H65" s="1670">
        <f t="shared" si="8"/>
        <v>0</v>
      </c>
      <c r="I65" s="1670">
        <f t="shared" si="8"/>
        <v>0</v>
      </c>
      <c r="J65" s="1670">
        <f t="shared" si="8"/>
        <v>0</v>
      </c>
      <c r="K65" s="1670">
        <f t="shared" si="8"/>
        <v>406649</v>
      </c>
      <c r="L65" s="1670">
        <f t="shared" si="8"/>
        <v>400571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275</v>
      </c>
      <c r="M73" s="609"/>
      <c r="N73" s="609"/>
    </row>
    <row r="74" spans="1:14" ht="12.75" customHeight="1" thickTop="1" thickBot="1" x14ac:dyDescent="0.25">
      <c r="A74" s="1668" t="s">
        <v>811</v>
      </c>
      <c r="B74" s="1676">
        <v>2000</v>
      </c>
      <c r="C74" s="1677">
        <f>SUM(C42,C47,C53,C57,C65,C72,C73)</f>
        <v>823041</v>
      </c>
      <c r="D74" s="1677">
        <f t="shared" ref="D74:K74" si="10">SUM(D42,D47,D53,D57,D65,D72,D73)</f>
        <v>208679</v>
      </c>
      <c r="E74" s="1677">
        <f t="shared" si="10"/>
        <v>107695</v>
      </c>
      <c r="F74" s="1677">
        <f t="shared" si="10"/>
        <v>221392</v>
      </c>
      <c r="G74" s="1677">
        <f t="shared" si="10"/>
        <v>0</v>
      </c>
      <c r="H74" s="1677">
        <f t="shared" si="10"/>
        <v>0</v>
      </c>
      <c r="I74" s="1677">
        <f t="shared" si="10"/>
        <v>0</v>
      </c>
      <c r="J74" s="1677">
        <f t="shared" si="10"/>
        <v>0</v>
      </c>
      <c r="K74" s="1677">
        <f t="shared" si="10"/>
        <v>1360807</v>
      </c>
      <c r="L74" s="1677">
        <f>SUM(L42,L47,L53,L57,L65,L72,L73)</f>
        <v>1423031</v>
      </c>
    </row>
    <row r="75" spans="1:14" s="259" customFormat="1" ht="15.75" customHeight="1" thickTop="1" thickBot="1" x14ac:dyDescent="0.25">
      <c r="A75" s="1610" t="s">
        <v>47</v>
      </c>
      <c r="B75" s="1611" t="s">
        <v>575</v>
      </c>
      <c r="C75" s="573">
        <v>867</v>
      </c>
      <c r="D75" s="573"/>
      <c r="E75" s="573"/>
      <c r="F75" s="573"/>
      <c r="G75" s="573"/>
      <c r="H75" s="573"/>
      <c r="I75" s="531"/>
      <c r="J75" s="531"/>
      <c r="K75" s="1670">
        <f>SUM(C75:J75)</f>
        <v>867</v>
      </c>
      <c r="L75" s="576">
        <v>1000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v>830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830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86881</v>
      </c>
      <c r="I86" s="477"/>
      <c r="J86" s="477"/>
      <c r="K86" s="1677">
        <f t="shared" ref="K86:K98" si="12">H86</f>
        <v>86881</v>
      </c>
      <c r="L86" s="530">
        <v>121623</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86881</v>
      </c>
      <c r="I92" s="477"/>
      <c r="J92" s="477"/>
      <c r="K92" s="1677">
        <f t="shared" si="12"/>
        <v>86881</v>
      </c>
      <c r="L92" s="1670">
        <f>SUM(L85:L91)</f>
        <v>121623</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v>2000</v>
      </c>
      <c r="I94" s="477"/>
      <c r="J94" s="477"/>
      <c r="K94" s="1677">
        <f t="shared" si="12"/>
        <v>2000</v>
      </c>
      <c r="L94" s="530">
        <v>2000</v>
      </c>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v>34415</v>
      </c>
      <c r="I96" s="477"/>
      <c r="J96" s="477"/>
      <c r="K96" s="1677">
        <f t="shared" si="12"/>
        <v>34415</v>
      </c>
      <c r="L96" s="530">
        <v>53000</v>
      </c>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36415</v>
      </c>
      <c r="I100" s="477"/>
      <c r="J100" s="477"/>
      <c r="K100" s="1677">
        <f>SUM(K93:K99)</f>
        <v>36415</v>
      </c>
      <c r="L100" s="1677">
        <f>SUM(L93:L99)</f>
        <v>55000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123296</v>
      </c>
      <c r="I102" s="477"/>
      <c r="J102" s="477"/>
      <c r="K102" s="1677">
        <f>SUM(K84,K92,K100,K101)</f>
        <v>123296</v>
      </c>
      <c r="L102" s="1677">
        <f>SUM(L84,L92,L100,L101)</f>
        <v>177453</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3923491</v>
      </c>
      <c r="D114" s="1670">
        <f t="shared" ref="D114:K114" si="13">SUM(D33,D74,D75,D102,D112,D113)</f>
        <v>869355</v>
      </c>
      <c r="E114" s="1670">
        <f t="shared" si="13"/>
        <v>199117</v>
      </c>
      <c r="F114" s="1670">
        <f t="shared" si="13"/>
        <v>406480</v>
      </c>
      <c r="G114" s="1670">
        <f t="shared" si="13"/>
        <v>58983</v>
      </c>
      <c r="H114" s="1670">
        <f>SUM(H33,H74,H75,H102,H112,H113)</f>
        <v>123541</v>
      </c>
      <c r="I114" s="1670">
        <f t="shared" si="13"/>
        <v>0</v>
      </c>
      <c r="J114" s="1670">
        <f t="shared" si="13"/>
        <v>0</v>
      </c>
      <c r="K114" s="1670">
        <f t="shared" si="13"/>
        <v>5580967</v>
      </c>
      <c r="L114" s="1670">
        <f>SUM(L33,L74,L75,L102,L112,L113)</f>
        <v>5855515</v>
      </c>
    </row>
    <row r="115" spans="1:14" ht="13.5" thickTop="1" x14ac:dyDescent="0.2">
      <c r="A115" s="2162" t="s">
        <v>996</v>
      </c>
      <c r="B115" s="2163"/>
      <c r="C115" s="618"/>
      <c r="D115" s="618"/>
      <c r="E115" s="618"/>
      <c r="F115" s="618"/>
      <c r="G115" s="618"/>
      <c r="H115" s="618"/>
      <c r="I115" s="618"/>
      <c r="J115" s="618"/>
      <c r="K115" s="1684">
        <f>'Revenues 9-14'!C268-'Expenditures 15-22'!K114</f>
        <v>335970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296</v>
      </c>
      <c r="B117" s="216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295229</v>
      </c>
      <c r="D124" s="466">
        <v>48174</v>
      </c>
      <c r="E124" s="466">
        <v>206397</v>
      </c>
      <c r="F124" s="466">
        <v>265304</v>
      </c>
      <c r="G124" s="466">
        <v>230192</v>
      </c>
      <c r="H124" s="466"/>
      <c r="I124" s="467"/>
      <c r="J124" s="467"/>
      <c r="K124" s="1670">
        <f>SUM(C124:J124)</f>
        <v>1045296</v>
      </c>
      <c r="L124" s="466">
        <v>1127484</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295229</v>
      </c>
      <c r="D127" s="1670">
        <f t="shared" ref="D127:L127" si="14">SUM(D122:D126)</f>
        <v>48174</v>
      </c>
      <c r="E127" s="1670">
        <f t="shared" si="14"/>
        <v>206397</v>
      </c>
      <c r="F127" s="1670">
        <f t="shared" si="14"/>
        <v>265304</v>
      </c>
      <c r="G127" s="1670">
        <f t="shared" si="14"/>
        <v>230192</v>
      </c>
      <c r="H127" s="1670">
        <f t="shared" si="14"/>
        <v>0</v>
      </c>
      <c r="I127" s="1670">
        <f t="shared" si="14"/>
        <v>0</v>
      </c>
      <c r="J127" s="1670">
        <f t="shared" si="14"/>
        <v>0</v>
      </c>
      <c r="K127" s="1670">
        <f t="shared" si="14"/>
        <v>1045296</v>
      </c>
      <c r="L127" s="1670">
        <f t="shared" si="14"/>
        <v>1127484</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295229</v>
      </c>
      <c r="D129" s="1677">
        <f t="shared" ref="D129:L129" si="15">SUM(D120,D127,D128)</f>
        <v>48174</v>
      </c>
      <c r="E129" s="1677">
        <f t="shared" si="15"/>
        <v>206397</v>
      </c>
      <c r="F129" s="1677">
        <f t="shared" si="15"/>
        <v>265304</v>
      </c>
      <c r="G129" s="1677">
        <f t="shared" si="15"/>
        <v>230192</v>
      </c>
      <c r="H129" s="1677">
        <f t="shared" si="15"/>
        <v>0</v>
      </c>
      <c r="I129" s="1677">
        <f t="shared" si="15"/>
        <v>0</v>
      </c>
      <c r="J129" s="1677">
        <f t="shared" si="15"/>
        <v>0</v>
      </c>
      <c r="K129" s="1677">
        <f t="shared" si="15"/>
        <v>1045296</v>
      </c>
      <c r="L129" s="1677">
        <f t="shared" si="15"/>
        <v>1127484</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v>2625</v>
      </c>
      <c r="I134" s="477"/>
      <c r="J134" s="616"/>
      <c r="K134" s="1672">
        <f>SUM(E134,H134)</f>
        <v>2625</v>
      </c>
      <c r="L134" s="481">
        <v>1800</v>
      </c>
    </row>
    <row r="135" spans="1:14" x14ac:dyDescent="0.2">
      <c r="A135" s="1504" t="s">
        <v>697</v>
      </c>
      <c r="B135" s="614">
        <v>4140</v>
      </c>
      <c r="C135" s="616"/>
      <c r="D135" s="616"/>
      <c r="E135" s="467"/>
      <c r="F135" s="616"/>
      <c r="G135" s="616"/>
      <c r="H135" s="466">
        <v>8612</v>
      </c>
      <c r="I135" s="477"/>
      <c r="J135" s="616"/>
      <c r="K135" s="1672">
        <f>SUM(E135,H135)</f>
        <v>8612</v>
      </c>
      <c r="L135" s="466">
        <v>9263</v>
      </c>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11237</v>
      </c>
      <c r="I137" s="477"/>
      <c r="J137" s="616"/>
      <c r="K137" s="1670">
        <f>SUM(K133:K136)</f>
        <v>11237</v>
      </c>
      <c r="L137" s="1670">
        <f>SUM(L133:L136)</f>
        <v>11063</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11237</v>
      </c>
      <c r="I139" s="477"/>
      <c r="J139" s="616"/>
      <c r="K139" s="1672">
        <f>SUM(K137,K138)</f>
        <v>11237</v>
      </c>
      <c r="L139" s="1679">
        <f>SUM(L137,L138)</f>
        <v>11063</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9" t="s">
        <v>620</v>
      </c>
      <c r="B151" s="2159"/>
      <c r="C151" s="1670">
        <f>SUM(C129,C130,C139,C149,C150)</f>
        <v>295229</v>
      </c>
      <c r="D151" s="1670">
        <f t="shared" ref="D151:K151" si="16">SUM(D129,D130,D139,D149,D150)</f>
        <v>48174</v>
      </c>
      <c r="E151" s="1670">
        <f t="shared" si="16"/>
        <v>206397</v>
      </c>
      <c r="F151" s="1670">
        <f t="shared" si="16"/>
        <v>265304</v>
      </c>
      <c r="G151" s="1670">
        <f t="shared" si="16"/>
        <v>230192</v>
      </c>
      <c r="H151" s="1670">
        <f t="shared" si="16"/>
        <v>11237</v>
      </c>
      <c r="I151" s="1670">
        <f t="shared" si="16"/>
        <v>0</v>
      </c>
      <c r="J151" s="1670">
        <f t="shared" si="16"/>
        <v>0</v>
      </c>
      <c r="K151" s="1670">
        <f t="shared" si="16"/>
        <v>1056533</v>
      </c>
      <c r="L151" s="1670">
        <f>SUM(L129,L130,L139,L149,L150)</f>
        <v>1138547</v>
      </c>
    </row>
    <row r="152" spans="1:14" ht="12.75" customHeight="1" thickTop="1" x14ac:dyDescent="0.2">
      <c r="A152" s="2182" t="s">
        <v>1178</v>
      </c>
      <c r="B152" s="2183"/>
      <c r="C152" s="618"/>
      <c r="D152" s="618"/>
      <c r="E152" s="618"/>
      <c r="F152" s="618"/>
      <c r="G152" s="618"/>
      <c r="H152" s="618"/>
      <c r="I152" s="618"/>
      <c r="J152" s="616"/>
      <c r="K152" s="1684">
        <f>'Revenues 9-14'!D268-'Expenditures 15-22'!K151</f>
        <v>42913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621</v>
      </c>
      <c r="B154" s="216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412446</v>
      </c>
      <c r="I169" s="616"/>
      <c r="J169" s="616"/>
      <c r="K169" s="1671">
        <f>SUM(C169:H169)</f>
        <v>412446</v>
      </c>
      <c r="L169" s="656">
        <v>412453</v>
      </c>
    </row>
    <row r="170" spans="1:14" ht="33.75" customHeight="1" x14ac:dyDescent="0.2">
      <c r="A170" s="669" t="s">
        <v>1670</v>
      </c>
      <c r="B170" s="671" t="s">
        <v>31</v>
      </c>
      <c r="C170" s="616"/>
      <c r="D170" s="616"/>
      <c r="E170" s="616"/>
      <c r="F170" s="616"/>
      <c r="G170" s="616"/>
      <c r="H170" s="569">
        <v>925660</v>
      </c>
      <c r="I170" s="616"/>
      <c r="J170" s="616"/>
      <c r="K170" s="1671">
        <f>SUM(C170:J170)</f>
        <v>925660</v>
      </c>
      <c r="L170" s="569">
        <v>925775</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1338106</v>
      </c>
      <c r="I172" s="638"/>
      <c r="J172" s="616"/>
      <c r="K172" s="1677">
        <f>SUM(K168,K169,K170,K171)</f>
        <v>1338106</v>
      </c>
      <c r="L172" s="1677">
        <f>SUM(L168,L169,L170,L171)</f>
        <v>1338228</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1338106</v>
      </c>
      <c r="I174" s="638"/>
      <c r="J174" s="616"/>
      <c r="K174" s="1677">
        <f>SUM(K160,K172,K173)</f>
        <v>1338106</v>
      </c>
      <c r="L174" s="1677">
        <f>SUM(L160,L172,L173)</f>
        <v>1338228</v>
      </c>
    </row>
    <row r="175" spans="1:14" ht="13.5" thickTop="1" x14ac:dyDescent="0.2">
      <c r="A175" s="2162" t="s">
        <v>996</v>
      </c>
      <c r="B175" s="2163"/>
      <c r="C175" s="616"/>
      <c r="D175" s="616"/>
      <c r="E175" s="616"/>
      <c r="F175" s="616"/>
      <c r="G175" s="616"/>
      <c r="H175" s="618"/>
      <c r="I175" s="616"/>
      <c r="J175" s="616"/>
      <c r="K175" s="1684">
        <f>'Revenues 9-14'!E268-'Expenditures 15-22'!K174</f>
        <v>-99492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275075</v>
      </c>
      <c r="D182" s="466">
        <v>6693</v>
      </c>
      <c r="E182" s="466">
        <v>56423</v>
      </c>
      <c r="F182" s="466">
        <v>51546</v>
      </c>
      <c r="G182" s="466">
        <v>90915</v>
      </c>
      <c r="H182" s="466"/>
      <c r="I182" s="467"/>
      <c r="J182" s="467"/>
      <c r="K182" s="1671">
        <f>SUM(C182:J182)</f>
        <v>480652</v>
      </c>
      <c r="L182" s="466">
        <v>565553</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275075</v>
      </c>
      <c r="D184" s="1677">
        <f t="shared" ref="D184:J184" si="17">SUM(D180,D182,D183)</f>
        <v>6693</v>
      </c>
      <c r="E184" s="1677">
        <f t="shared" si="17"/>
        <v>56423</v>
      </c>
      <c r="F184" s="1677">
        <f t="shared" si="17"/>
        <v>51546</v>
      </c>
      <c r="G184" s="1677">
        <f t="shared" si="17"/>
        <v>90915</v>
      </c>
      <c r="H184" s="1677">
        <f t="shared" si="17"/>
        <v>0</v>
      </c>
      <c r="I184" s="1677">
        <f t="shared" si="17"/>
        <v>0</v>
      </c>
      <c r="J184" s="1677">
        <f t="shared" si="17"/>
        <v>0</v>
      </c>
      <c r="K184" s="1677">
        <f>SUM(K180,K182,K183)</f>
        <v>480652</v>
      </c>
      <c r="L184" s="1677">
        <f>SUM(L180, L182:L183)</f>
        <v>565553</v>
      </c>
    </row>
    <row r="185" spans="1:14" ht="15.75" customHeight="1" thickTop="1" thickBot="1" x14ac:dyDescent="0.25">
      <c r="A185" s="1622" t="s">
        <v>939</v>
      </c>
      <c r="B185" s="1611">
        <v>3000</v>
      </c>
      <c r="C185" s="576">
        <v>38727</v>
      </c>
      <c r="D185" s="576">
        <v>740</v>
      </c>
      <c r="E185" s="576">
        <v>2752</v>
      </c>
      <c r="F185" s="576">
        <v>3128</v>
      </c>
      <c r="G185" s="576"/>
      <c r="H185" s="576"/>
      <c r="I185" s="531"/>
      <c r="J185" s="531"/>
      <c r="K185" s="1670">
        <f>SUM(C185:J185)</f>
        <v>45347</v>
      </c>
      <c r="L185" s="576">
        <v>46283</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v>1000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1000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1000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2646</v>
      </c>
      <c r="I205" s="616"/>
      <c r="J205" s="616"/>
      <c r="K205" s="1685">
        <f>SUM(H205)</f>
        <v>2646</v>
      </c>
      <c r="L205" s="535">
        <v>2644</v>
      </c>
    </row>
    <row r="206" spans="1:14" ht="30" customHeight="1" x14ac:dyDescent="0.2">
      <c r="A206" s="681" t="s">
        <v>1671</v>
      </c>
      <c r="B206" s="672" t="s">
        <v>31</v>
      </c>
      <c r="C206" s="616"/>
      <c r="D206" s="616"/>
      <c r="E206" s="616"/>
      <c r="F206" s="616"/>
      <c r="G206" s="616"/>
      <c r="H206" s="466">
        <v>49923</v>
      </c>
      <c r="I206" s="616"/>
      <c r="J206" s="616"/>
      <c r="K206" s="1671">
        <f>SUM(H206)</f>
        <v>49923</v>
      </c>
      <c r="L206" s="466">
        <v>49925</v>
      </c>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52569</v>
      </c>
      <c r="I208" s="616"/>
      <c r="J208" s="616"/>
      <c r="K208" s="1677">
        <f>SUM(K204,K205,K206,K207)</f>
        <v>52569</v>
      </c>
      <c r="L208" s="1677">
        <f>SUM(L204,L205,L206,L207)</f>
        <v>52569</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313802</v>
      </c>
      <c r="D210" s="1670">
        <f>SUM(D184,D185)</f>
        <v>7433</v>
      </c>
      <c r="E210" s="1670">
        <f>SUM(E184,E185,E196)</f>
        <v>59175</v>
      </c>
      <c r="F210" s="1670">
        <f>SUM(F184,F185)</f>
        <v>54674</v>
      </c>
      <c r="G210" s="1670">
        <f>SUM(G184,G185)</f>
        <v>90915</v>
      </c>
      <c r="H210" s="1670">
        <f>SUM(H184,H185,H196,H208,H209)</f>
        <v>52569</v>
      </c>
      <c r="I210" s="1670">
        <f>SUM(I184,I185)</f>
        <v>0</v>
      </c>
      <c r="J210" s="1670">
        <f>SUM(J184,J185)</f>
        <v>0</v>
      </c>
      <c r="K210" s="1671">
        <f>SUM(K184,K185,K196,K208,K209)</f>
        <v>578568</v>
      </c>
      <c r="L210" s="1670">
        <f>SUM(L184,L185,L196,L208,L209)</f>
        <v>665405</v>
      </c>
    </row>
    <row r="211" spans="1:14" ht="13.5" thickTop="1" x14ac:dyDescent="0.2">
      <c r="A211" s="2162" t="s">
        <v>996</v>
      </c>
      <c r="B211" s="2163"/>
      <c r="C211" s="618"/>
      <c r="D211" s="618"/>
      <c r="E211" s="618"/>
      <c r="F211" s="618"/>
      <c r="G211" s="618"/>
      <c r="H211" s="618"/>
      <c r="I211" s="616"/>
      <c r="J211" s="616"/>
      <c r="K211" s="1684">
        <f>'Revenues 9-14'!F268-'Expenditures 15-22'!K210</f>
        <v>74612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965</v>
      </c>
      <c r="B213" s="218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44491</v>
      </c>
      <c r="E215" s="616"/>
      <c r="F215" s="616"/>
      <c r="G215" s="616"/>
      <c r="H215" s="616"/>
      <c r="I215" s="616"/>
      <c r="J215" s="616"/>
      <c r="K215" s="1671">
        <f>D215</f>
        <v>44491</v>
      </c>
      <c r="L215" s="466">
        <v>44828</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24505</v>
      </c>
      <c r="E217" s="616"/>
      <c r="F217" s="616"/>
      <c r="G217" s="616"/>
      <c r="H217" s="616"/>
      <c r="I217" s="616"/>
      <c r="J217" s="616"/>
      <c r="K217" s="1671">
        <f t="shared" si="19"/>
        <v>24505</v>
      </c>
      <c r="L217" s="466">
        <v>18888</v>
      </c>
    </row>
    <row r="218" spans="1:14" x14ac:dyDescent="0.2">
      <c r="A218" s="1504" t="s">
        <v>278</v>
      </c>
      <c r="B218" s="614" t="s">
        <v>968</v>
      </c>
      <c r="C218" s="616"/>
      <c r="D218" s="467"/>
      <c r="E218" s="616"/>
      <c r="F218" s="616"/>
      <c r="G218" s="616"/>
      <c r="H218" s="616"/>
      <c r="I218" s="616"/>
      <c r="J218" s="616"/>
      <c r="K218" s="1671">
        <f t="shared" si="19"/>
        <v>0</v>
      </c>
      <c r="L218" s="466">
        <v>11</v>
      </c>
    </row>
    <row r="219" spans="1:14" x14ac:dyDescent="0.2">
      <c r="A219" s="1504" t="s">
        <v>279</v>
      </c>
      <c r="B219" s="614">
        <v>1250</v>
      </c>
      <c r="C219" s="616"/>
      <c r="D219" s="466">
        <v>11752</v>
      </c>
      <c r="E219" s="616"/>
      <c r="F219" s="616"/>
      <c r="G219" s="616"/>
      <c r="H219" s="616"/>
      <c r="I219" s="616"/>
      <c r="J219" s="616"/>
      <c r="K219" s="1671">
        <f t="shared" si="19"/>
        <v>11752</v>
      </c>
      <c r="L219" s="466">
        <v>15416</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1924</v>
      </c>
      <c r="E222" s="616"/>
      <c r="F222" s="616"/>
      <c r="G222" s="616"/>
      <c r="H222" s="616"/>
      <c r="I222" s="616"/>
      <c r="J222" s="616"/>
      <c r="K222" s="1671">
        <f t="shared" si="19"/>
        <v>1924</v>
      </c>
      <c r="L222" s="466">
        <v>1488</v>
      </c>
    </row>
    <row r="223" spans="1:14" x14ac:dyDescent="0.2">
      <c r="A223" s="1504" t="s">
        <v>963</v>
      </c>
      <c r="B223" s="614">
        <v>1500</v>
      </c>
      <c r="C223" s="616"/>
      <c r="D223" s="466">
        <v>4717</v>
      </c>
      <c r="E223" s="616"/>
      <c r="F223" s="616"/>
      <c r="G223" s="616"/>
      <c r="H223" s="616"/>
      <c r="I223" s="616"/>
      <c r="J223" s="616"/>
      <c r="K223" s="1671">
        <f t="shared" si="19"/>
        <v>4717</v>
      </c>
      <c r="L223" s="466">
        <v>4783</v>
      </c>
    </row>
    <row r="224" spans="1:14" x14ac:dyDescent="0.2">
      <c r="A224" s="1504" t="s">
        <v>964</v>
      </c>
      <c r="B224" s="614">
        <v>1600</v>
      </c>
      <c r="C224" s="616"/>
      <c r="D224" s="466">
        <v>120</v>
      </c>
      <c r="E224" s="616"/>
      <c r="F224" s="616"/>
      <c r="G224" s="616"/>
      <c r="H224" s="616"/>
      <c r="I224" s="616"/>
      <c r="J224" s="616"/>
      <c r="K224" s="1671">
        <f t="shared" si="19"/>
        <v>120</v>
      </c>
      <c r="L224" s="466">
        <v>400</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203</v>
      </c>
      <c r="E226" s="616"/>
      <c r="F226" s="616"/>
      <c r="G226" s="616"/>
      <c r="H226" s="616"/>
      <c r="I226" s="616"/>
      <c r="J226" s="616"/>
      <c r="K226" s="1671">
        <f t="shared" si="19"/>
        <v>203</v>
      </c>
      <c r="L226" s="466">
        <v>366</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87712</v>
      </c>
      <c r="E229" s="616"/>
      <c r="F229" s="616"/>
      <c r="G229" s="616"/>
      <c r="H229" s="616"/>
      <c r="I229" s="616"/>
      <c r="J229" s="616"/>
      <c r="K229" s="1670">
        <f>SUM(K215:K228)</f>
        <v>87712</v>
      </c>
      <c r="L229" s="1670">
        <f>SUM(L215:L228)</f>
        <v>86180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609</v>
      </c>
      <c r="E232" s="616"/>
      <c r="F232" s="616"/>
      <c r="G232" s="616"/>
      <c r="H232" s="616"/>
      <c r="I232" s="616"/>
      <c r="J232" s="616"/>
      <c r="K232" s="1671">
        <f t="shared" ref="K232:K237" si="20">D232</f>
        <v>609</v>
      </c>
      <c r="L232" s="466">
        <v>623</v>
      </c>
    </row>
    <row r="233" spans="1:12" x14ac:dyDescent="0.2">
      <c r="A233" s="1504" t="s">
        <v>1090</v>
      </c>
      <c r="B233" s="614">
        <v>2120</v>
      </c>
      <c r="C233" s="616"/>
      <c r="D233" s="466">
        <v>892</v>
      </c>
      <c r="E233" s="616"/>
      <c r="F233" s="616"/>
      <c r="G233" s="616"/>
      <c r="H233" s="616"/>
      <c r="I233" s="616"/>
      <c r="J233" s="616"/>
      <c r="K233" s="1671">
        <f t="shared" si="20"/>
        <v>892</v>
      </c>
      <c r="L233" s="466">
        <v>844</v>
      </c>
    </row>
    <row r="234" spans="1:12" x14ac:dyDescent="0.2">
      <c r="A234" s="1504" t="s">
        <v>198</v>
      </c>
      <c r="B234" s="614">
        <v>2130</v>
      </c>
      <c r="C234" s="616"/>
      <c r="D234" s="466">
        <v>4347</v>
      </c>
      <c r="E234" s="616"/>
      <c r="F234" s="616"/>
      <c r="G234" s="616"/>
      <c r="H234" s="616"/>
      <c r="I234" s="616"/>
      <c r="J234" s="616"/>
      <c r="K234" s="1671">
        <f t="shared" si="20"/>
        <v>4347</v>
      </c>
      <c r="L234" s="466">
        <v>4519</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5848</v>
      </c>
      <c r="E238" s="616"/>
      <c r="F238" s="616"/>
      <c r="G238" s="616"/>
      <c r="H238" s="616"/>
      <c r="I238" s="616"/>
      <c r="J238" s="616"/>
      <c r="K238" s="1670">
        <f>SUM(K232:K237)</f>
        <v>5848</v>
      </c>
      <c r="L238" s="1670">
        <f>SUM(L232:L237)</f>
        <v>5986</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6770</v>
      </c>
      <c r="E241" s="616"/>
      <c r="F241" s="616"/>
      <c r="G241" s="616"/>
      <c r="H241" s="616"/>
      <c r="I241" s="616"/>
      <c r="J241" s="616"/>
      <c r="K241" s="1672">
        <f>D241</f>
        <v>6770</v>
      </c>
      <c r="L241" s="466">
        <v>8508</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6770</v>
      </c>
      <c r="E243" s="616"/>
      <c r="F243" s="616"/>
      <c r="G243" s="616"/>
      <c r="H243" s="616"/>
      <c r="I243" s="616"/>
      <c r="J243" s="616"/>
      <c r="K243" s="1670">
        <f>SUM(K240:K242)</f>
        <v>6770</v>
      </c>
      <c r="L243" s="1670">
        <f>SUM(L240:L242)</f>
        <v>8508</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2335</v>
      </c>
      <c r="E246" s="616"/>
      <c r="F246" s="616"/>
      <c r="G246" s="616"/>
      <c r="H246" s="616"/>
      <c r="I246" s="616"/>
      <c r="J246" s="616"/>
      <c r="K246" s="1672">
        <f t="shared" ref="K246:K256" si="21">D246</f>
        <v>2335</v>
      </c>
      <c r="L246" s="466">
        <v>2344</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2335</v>
      </c>
      <c r="E257" s="616"/>
      <c r="F257" s="616"/>
      <c r="G257" s="616"/>
      <c r="H257" s="616"/>
      <c r="I257" s="616"/>
      <c r="J257" s="616"/>
      <c r="K257" s="1670">
        <f>SUM(K245:K256)</f>
        <v>2335</v>
      </c>
      <c r="L257" s="1670">
        <f>SUM(L245:L256)</f>
        <v>2344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18076</v>
      </c>
      <c r="E259" s="616"/>
      <c r="F259" s="616"/>
      <c r="G259" s="616"/>
      <c r="H259" s="616"/>
      <c r="I259" s="616"/>
      <c r="J259" s="616"/>
      <c r="K259" s="1672">
        <f>D259</f>
        <v>18076</v>
      </c>
      <c r="L259" s="481">
        <v>15972</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18076</v>
      </c>
      <c r="E261" s="616"/>
      <c r="F261" s="616"/>
      <c r="G261" s="616"/>
      <c r="H261" s="616"/>
      <c r="I261" s="616"/>
      <c r="J261" s="616"/>
      <c r="K261" s="1670">
        <f>SUM(K259:K260)</f>
        <v>18076</v>
      </c>
      <c r="L261" s="1670">
        <f>SUM(L259:L260)</f>
        <v>15972</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9450</v>
      </c>
      <c r="E264" s="616"/>
      <c r="F264" s="616"/>
      <c r="G264" s="616"/>
      <c r="H264" s="616"/>
      <c r="I264" s="616"/>
      <c r="J264" s="616"/>
      <c r="K264" s="1672">
        <f t="shared" ref="K264:K269" si="22">D264</f>
        <v>9450</v>
      </c>
      <c r="L264" s="466">
        <v>12398</v>
      </c>
    </row>
    <row r="265" spans="1:14" x14ac:dyDescent="0.2">
      <c r="A265" s="1504" t="s">
        <v>4</v>
      </c>
      <c r="B265" s="614">
        <v>2530</v>
      </c>
      <c r="C265" s="616"/>
      <c r="D265" s="466">
        <v>2315</v>
      </c>
      <c r="E265" s="616"/>
      <c r="F265" s="616"/>
      <c r="G265" s="616"/>
      <c r="H265" s="616"/>
      <c r="I265" s="616"/>
      <c r="J265" s="616"/>
      <c r="K265" s="1672">
        <f t="shared" si="22"/>
        <v>2315</v>
      </c>
      <c r="L265" s="466">
        <v>2433</v>
      </c>
    </row>
    <row r="266" spans="1:14" x14ac:dyDescent="0.2">
      <c r="A266" s="1504" t="s">
        <v>197</v>
      </c>
      <c r="B266" s="614">
        <v>2540</v>
      </c>
      <c r="C266" s="616"/>
      <c r="D266" s="466">
        <v>47679</v>
      </c>
      <c r="E266" s="616"/>
      <c r="F266" s="616"/>
      <c r="G266" s="616"/>
      <c r="H266" s="616"/>
      <c r="I266" s="616"/>
      <c r="J266" s="616"/>
      <c r="K266" s="1672">
        <f t="shared" si="22"/>
        <v>47679</v>
      </c>
      <c r="L266" s="466">
        <v>49924</v>
      </c>
    </row>
    <row r="267" spans="1:14" x14ac:dyDescent="0.2">
      <c r="A267" s="1504" t="s">
        <v>953</v>
      </c>
      <c r="B267" s="614">
        <v>2550</v>
      </c>
      <c r="C267" s="616"/>
      <c r="D267" s="466">
        <v>44612</v>
      </c>
      <c r="E267" s="616"/>
      <c r="F267" s="616"/>
      <c r="G267" s="616"/>
      <c r="H267" s="616"/>
      <c r="I267" s="616"/>
      <c r="J267" s="616"/>
      <c r="K267" s="1672">
        <f t="shared" si="22"/>
        <v>44612</v>
      </c>
      <c r="L267" s="466">
        <v>46331</v>
      </c>
    </row>
    <row r="268" spans="1:14" x14ac:dyDescent="0.2">
      <c r="A268" s="1504" t="s">
        <v>100</v>
      </c>
      <c r="B268" s="614">
        <v>2560</v>
      </c>
      <c r="C268" s="616"/>
      <c r="D268" s="466">
        <v>19131</v>
      </c>
      <c r="E268" s="616"/>
      <c r="F268" s="616"/>
      <c r="G268" s="616"/>
      <c r="H268" s="616"/>
      <c r="I268" s="616"/>
      <c r="J268" s="616"/>
      <c r="K268" s="1672">
        <f t="shared" si="22"/>
        <v>19131</v>
      </c>
      <c r="L268" s="466">
        <v>19977</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123187</v>
      </c>
      <c r="E270" s="616"/>
      <c r="F270" s="616"/>
      <c r="G270" s="616"/>
      <c r="H270" s="616"/>
      <c r="I270" s="616"/>
      <c r="J270" s="616"/>
      <c r="K270" s="1670">
        <f>SUM(K263:K269)</f>
        <v>123187</v>
      </c>
      <c r="L270" s="1670">
        <f>SUM(L263:L269)</f>
        <v>131063</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156216</v>
      </c>
      <c r="E279" s="616"/>
      <c r="F279" s="616"/>
      <c r="G279" s="616"/>
      <c r="H279" s="616"/>
      <c r="I279" s="616"/>
      <c r="J279" s="616"/>
      <c r="K279" s="1677">
        <f>SUM(K238,K243,K257,K261,K270,K277,K278)</f>
        <v>156216</v>
      </c>
      <c r="L279" s="1677">
        <f>SUM(L238,L243,L257,L261,L270,L277,L278)</f>
        <v>163873</v>
      </c>
    </row>
    <row r="280" spans="1:12" ht="15.75" customHeight="1" thickTop="1" thickBot="1" x14ac:dyDescent="0.25">
      <c r="A280" s="1624" t="s">
        <v>875</v>
      </c>
      <c r="B280" s="1613">
        <v>3000</v>
      </c>
      <c r="C280" s="616"/>
      <c r="D280" s="576">
        <v>5712</v>
      </c>
      <c r="E280" s="616"/>
      <c r="F280" s="616"/>
      <c r="G280" s="616"/>
      <c r="H280" s="616"/>
      <c r="I280" s="616"/>
      <c r="J280" s="616"/>
      <c r="K280" s="1679">
        <f>D280</f>
        <v>5712</v>
      </c>
      <c r="L280" s="576">
        <v>5864</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0" t="s">
        <v>505</v>
      </c>
      <c r="B295" s="2181"/>
      <c r="C295" s="616"/>
      <c r="D295" s="1670">
        <f>SUM(D229,D279,D280,D285)</f>
        <v>249640</v>
      </c>
      <c r="E295" s="616"/>
      <c r="F295" s="616"/>
      <c r="G295" s="616"/>
      <c r="H295" s="1670">
        <f>H293</f>
        <v>0</v>
      </c>
      <c r="I295" s="616"/>
      <c r="J295" s="616"/>
      <c r="K295" s="1670">
        <f>SUM(K229,K279,K280,K285,K293,K294)</f>
        <v>249640</v>
      </c>
      <c r="L295" s="1670">
        <f>SUM(L229,L279,L280,L285,L293,L294)</f>
        <v>255917</v>
      </c>
    </row>
    <row r="296" spans="1:14" ht="13.5" thickTop="1" x14ac:dyDescent="0.2">
      <c r="A296" s="2162" t="s">
        <v>996</v>
      </c>
      <c r="B296" s="2163"/>
      <c r="C296" s="616"/>
      <c r="D296" s="618"/>
      <c r="E296" s="616"/>
      <c r="F296" s="616"/>
      <c r="G296" s="616"/>
      <c r="H296" s="687"/>
      <c r="I296" s="616"/>
      <c r="J296" s="616"/>
      <c r="K296" s="1684">
        <f>'Revenues 9-14'!G268-'Expenditures 15-22'!K295</f>
        <v>-12292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13582</v>
      </c>
      <c r="H301" s="466"/>
      <c r="I301" s="467"/>
      <c r="J301" s="467"/>
      <c r="K301" s="1671">
        <f>SUM(C301:J301)</f>
        <v>13582</v>
      </c>
      <c r="L301" s="467">
        <v>13582</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13582</v>
      </c>
      <c r="H303" s="1677">
        <f t="shared" si="23"/>
        <v>0</v>
      </c>
      <c r="I303" s="1677">
        <f t="shared" si="23"/>
        <v>0</v>
      </c>
      <c r="J303" s="1677">
        <f t="shared" si="23"/>
        <v>0</v>
      </c>
      <c r="K303" s="1677">
        <f t="shared" si="23"/>
        <v>13582</v>
      </c>
      <c r="L303" s="1677">
        <f t="shared" si="23"/>
        <v>13582</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7" t="s">
        <v>277</v>
      </c>
      <c r="B312" s="2178"/>
      <c r="C312" s="1670">
        <f>SUM(C303)</f>
        <v>0</v>
      </c>
      <c r="D312" s="1670">
        <f>SUM(D303)</f>
        <v>0</v>
      </c>
      <c r="E312" s="1670">
        <f>SUM(E303,E310)</f>
        <v>0</v>
      </c>
      <c r="F312" s="1670">
        <f>SUM(F303)</f>
        <v>0</v>
      </c>
      <c r="G312" s="1670">
        <f>SUM(G303)</f>
        <v>13582</v>
      </c>
      <c r="H312" s="1670">
        <f>SUM(H303,H310)</f>
        <v>0</v>
      </c>
      <c r="I312" s="1670">
        <f>SUM(I303)</f>
        <v>0</v>
      </c>
      <c r="J312" s="1670">
        <f>SUM(J303)</f>
        <v>0</v>
      </c>
      <c r="K312" s="1670">
        <f>SUM(K303,K310,K311)</f>
        <v>13582</v>
      </c>
      <c r="L312" s="1670">
        <f>SUM(L303,L310,L311)</f>
        <v>13582</v>
      </c>
      <c r="M312" s="665"/>
      <c r="N312" s="665"/>
    </row>
    <row r="313" spans="1:14" ht="13.5" thickTop="1" x14ac:dyDescent="0.2">
      <c r="A313" s="2173" t="s">
        <v>996</v>
      </c>
      <c r="B313" s="2174"/>
      <c r="C313" s="626"/>
      <c r="D313" s="626"/>
      <c r="E313" s="626"/>
      <c r="F313" s="626"/>
      <c r="G313" s="626"/>
      <c r="H313" s="626"/>
      <c r="I313" s="626"/>
      <c r="J313" s="626"/>
      <c r="K313" s="1685">
        <f>'Revenues 9-14'!H268-'Expenditures 15-22'!K312</f>
        <v>-12172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898</v>
      </c>
      <c r="B317" s="218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v>26956</v>
      </c>
      <c r="E320" s="467"/>
      <c r="F320" s="467"/>
      <c r="G320" s="467"/>
      <c r="H320" s="467"/>
      <c r="I320" s="467"/>
      <c r="J320" s="467"/>
      <c r="K320" s="1671">
        <f t="shared" ref="K320:K327" si="24">SUM(C320:J320)</f>
        <v>26956</v>
      </c>
      <c r="L320" s="467">
        <v>30000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2500</v>
      </c>
      <c r="M321" s="665"/>
      <c r="N321" s="665"/>
    </row>
    <row r="322" spans="1:14" s="674" customFormat="1" x14ac:dyDescent="0.2">
      <c r="A322" s="1519" t="s">
        <v>238</v>
      </c>
      <c r="B322" s="697" t="s">
        <v>284</v>
      </c>
      <c r="C322" s="467"/>
      <c r="D322" s="467"/>
      <c r="E322" s="467">
        <v>11536</v>
      </c>
      <c r="F322" s="467"/>
      <c r="G322" s="467"/>
      <c r="H322" s="467"/>
      <c r="I322" s="467"/>
      <c r="J322" s="467"/>
      <c r="K322" s="1671">
        <f t="shared" si="24"/>
        <v>11536</v>
      </c>
      <c r="L322" s="467">
        <v>10552</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33466</v>
      </c>
      <c r="D325" s="467"/>
      <c r="E325" s="467">
        <v>88289</v>
      </c>
      <c r="F325" s="467"/>
      <c r="G325" s="467">
        <v>16494</v>
      </c>
      <c r="H325" s="467"/>
      <c r="I325" s="467"/>
      <c r="J325" s="467"/>
      <c r="K325" s="1671">
        <f t="shared" si="24"/>
        <v>138249</v>
      </c>
      <c r="L325" s="467">
        <v>181255</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5017</v>
      </c>
      <c r="F327" s="467"/>
      <c r="G327" s="467"/>
      <c r="H327" s="467"/>
      <c r="I327" s="467"/>
      <c r="J327" s="467"/>
      <c r="K327" s="1671">
        <f t="shared" si="24"/>
        <v>5017</v>
      </c>
      <c r="L327" s="467">
        <v>8529</v>
      </c>
      <c r="M327" s="665"/>
      <c r="N327" s="665"/>
    </row>
    <row r="328" spans="1:14" s="674" customFormat="1" x14ac:dyDescent="0.2">
      <c r="A328" s="1520" t="s">
        <v>472</v>
      </c>
      <c r="B328" s="690" t="s">
        <v>1132</v>
      </c>
      <c r="C328" s="474"/>
      <c r="D328" s="474"/>
      <c r="E328" s="474">
        <v>16383</v>
      </c>
      <c r="F328" s="474"/>
      <c r="G328" s="474"/>
      <c r="H328" s="474"/>
      <c r="I328" s="474"/>
      <c r="J328" s="474"/>
      <c r="K328" s="1699">
        <f>SUM(C328:J328)</f>
        <v>16383</v>
      </c>
      <c r="L328" s="474">
        <v>16383</v>
      </c>
      <c r="M328" s="665"/>
      <c r="N328" s="665"/>
    </row>
    <row r="329" spans="1:14" s="674" customFormat="1" x14ac:dyDescent="0.2">
      <c r="A329" s="1520" t="s">
        <v>1133</v>
      </c>
      <c r="B329" s="690" t="s">
        <v>1134</v>
      </c>
      <c r="C329" s="474"/>
      <c r="D329" s="474"/>
      <c r="E329" s="474">
        <v>12226</v>
      </c>
      <c r="F329" s="474"/>
      <c r="G329" s="474"/>
      <c r="H329" s="474"/>
      <c r="I329" s="474"/>
      <c r="J329" s="474"/>
      <c r="K329" s="1699">
        <f>SUM(C329:J329)</f>
        <v>12226</v>
      </c>
      <c r="L329" s="474">
        <v>12242</v>
      </c>
      <c r="M329" s="665"/>
      <c r="N329" s="665"/>
    </row>
    <row r="330" spans="1:14" s="674" customFormat="1" ht="12.75" customHeight="1" thickBot="1" x14ac:dyDescent="0.25">
      <c r="A330" s="1700" t="s">
        <v>717</v>
      </c>
      <c r="B330" s="1669" t="s">
        <v>569</v>
      </c>
      <c r="C330" s="1670">
        <f>SUM(C319:C329)</f>
        <v>33466</v>
      </c>
      <c r="D330" s="1670">
        <f t="shared" ref="D330:J330" si="25">SUM(D319:D329)</f>
        <v>26956</v>
      </c>
      <c r="E330" s="1670">
        <f t="shared" si="25"/>
        <v>133451</v>
      </c>
      <c r="F330" s="1670">
        <f t="shared" si="25"/>
        <v>0</v>
      </c>
      <c r="G330" s="1670">
        <f t="shared" si="25"/>
        <v>16494</v>
      </c>
      <c r="H330" s="1670">
        <f t="shared" si="25"/>
        <v>0</v>
      </c>
      <c r="I330" s="1670">
        <f t="shared" si="25"/>
        <v>0</v>
      </c>
      <c r="J330" s="1670">
        <f t="shared" si="25"/>
        <v>0</v>
      </c>
      <c r="K330" s="1670">
        <f>SUM(K319:K329)</f>
        <v>210367</v>
      </c>
      <c r="L330" s="1670">
        <f>SUM(L319:L329)</f>
        <v>261461</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33466</v>
      </c>
      <c r="D342" s="1670">
        <f>SUM(D330)</f>
        <v>26956</v>
      </c>
      <c r="E342" s="1670">
        <f>SUM(E330)</f>
        <v>133451</v>
      </c>
      <c r="F342" s="1670">
        <f>SUM(F330)</f>
        <v>0</v>
      </c>
      <c r="G342" s="1670">
        <f>SUM(G330)</f>
        <v>16494</v>
      </c>
      <c r="H342" s="1670">
        <f>SUM(H330,H334,H340)</f>
        <v>0</v>
      </c>
      <c r="I342" s="1670">
        <f>SUM(I330)</f>
        <v>0</v>
      </c>
      <c r="J342" s="1670">
        <f>SUM(J330)</f>
        <v>0</v>
      </c>
      <c r="K342" s="1670">
        <f>SUM(K330,K334,K340)</f>
        <v>210367</v>
      </c>
      <c r="L342" s="1677">
        <f>SUM(L330,L340,L341)</f>
        <v>261461</v>
      </c>
    </row>
    <row r="343" spans="1:14" ht="12.75" customHeight="1" thickTop="1" x14ac:dyDescent="0.2">
      <c r="A343" s="2175" t="s">
        <v>996</v>
      </c>
      <c r="B343" s="2176"/>
      <c r="C343" s="616"/>
      <c r="D343" s="616"/>
      <c r="E343" s="616"/>
      <c r="F343" s="616"/>
      <c r="G343" s="616"/>
      <c r="H343" s="616"/>
      <c r="I343" s="616"/>
      <c r="J343" s="616"/>
      <c r="K343" s="1684">
        <f>'Revenues 9-14'!J268-'Expenditures 15-22'!K342</f>
        <v>-27270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966</v>
      </c>
      <c r="B345" s="216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13536</v>
      </c>
      <c r="D348" s="466"/>
      <c r="E348" s="466">
        <v>4676</v>
      </c>
      <c r="F348" s="466"/>
      <c r="G348" s="466">
        <v>91542</v>
      </c>
      <c r="H348" s="466"/>
      <c r="I348" s="467"/>
      <c r="J348" s="467"/>
      <c r="K348" s="1671">
        <f>SUM(C348:J348)</f>
        <v>109754</v>
      </c>
      <c r="L348" s="466">
        <v>113425</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13536</v>
      </c>
      <c r="D350" s="1670">
        <f t="shared" ref="D350:L350" si="26">SUM(D348:D349)</f>
        <v>0</v>
      </c>
      <c r="E350" s="1670">
        <f t="shared" si="26"/>
        <v>4676</v>
      </c>
      <c r="F350" s="1670">
        <f t="shared" si="26"/>
        <v>0</v>
      </c>
      <c r="G350" s="1670">
        <f t="shared" si="26"/>
        <v>91542</v>
      </c>
      <c r="H350" s="1670">
        <f t="shared" si="26"/>
        <v>0</v>
      </c>
      <c r="I350" s="1670">
        <f t="shared" si="26"/>
        <v>0</v>
      </c>
      <c r="J350" s="1670">
        <f t="shared" si="26"/>
        <v>0</v>
      </c>
      <c r="K350" s="1670">
        <f t="shared" si="26"/>
        <v>109754</v>
      </c>
      <c r="L350" s="1670">
        <f t="shared" si="26"/>
        <v>113425</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13536</v>
      </c>
      <c r="D352" s="1670">
        <f t="shared" ref="D352:L352" si="27">SUM(D350:D351)</f>
        <v>0</v>
      </c>
      <c r="E352" s="1670">
        <f t="shared" si="27"/>
        <v>4676</v>
      </c>
      <c r="F352" s="1670">
        <f t="shared" si="27"/>
        <v>0</v>
      </c>
      <c r="G352" s="1670">
        <f t="shared" si="27"/>
        <v>91542</v>
      </c>
      <c r="H352" s="1670">
        <f t="shared" si="27"/>
        <v>0</v>
      </c>
      <c r="I352" s="1670">
        <f t="shared" si="27"/>
        <v>0</v>
      </c>
      <c r="J352" s="1670">
        <f t="shared" si="27"/>
        <v>0</v>
      </c>
      <c r="K352" s="1670">
        <f t="shared" si="27"/>
        <v>109754</v>
      </c>
      <c r="L352" s="1670">
        <f t="shared" si="27"/>
        <v>113425</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v>6268</v>
      </c>
      <c r="I356" s="701"/>
      <c r="J356" s="616"/>
      <c r="K356" s="1740">
        <f>H356</f>
        <v>6268</v>
      </c>
      <c r="L356" s="479"/>
    </row>
    <row r="357" spans="1:14" ht="12.75" customHeight="1" thickBot="1" x14ac:dyDescent="0.25">
      <c r="A357" s="1668" t="s">
        <v>1487</v>
      </c>
      <c r="B357" s="1669" t="s">
        <v>860</v>
      </c>
      <c r="C357" s="616"/>
      <c r="D357" s="616"/>
      <c r="E357" s="616"/>
      <c r="F357" s="616"/>
      <c r="G357" s="616"/>
      <c r="H357" s="1688">
        <f>SUM(H354:H356)</f>
        <v>6268</v>
      </c>
      <c r="I357" s="701"/>
      <c r="J357" s="616"/>
      <c r="K357" s="1688">
        <f>SUM(K354:K356)</f>
        <v>6268</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13536</v>
      </c>
      <c r="D367" s="1670">
        <f t="shared" si="28"/>
        <v>0</v>
      </c>
      <c r="E367" s="1670">
        <f t="shared" si="28"/>
        <v>4676</v>
      </c>
      <c r="F367" s="1670">
        <f t="shared" si="28"/>
        <v>0</v>
      </c>
      <c r="G367" s="1670">
        <f t="shared" si="28"/>
        <v>91542</v>
      </c>
      <c r="H367" s="1670">
        <f t="shared" si="28"/>
        <v>6268</v>
      </c>
      <c r="I367" s="1670">
        <f t="shared" si="28"/>
        <v>0</v>
      </c>
      <c r="J367" s="1670">
        <f t="shared" si="28"/>
        <v>0</v>
      </c>
      <c r="K367" s="1670">
        <f t="shared" si="28"/>
        <v>116022</v>
      </c>
      <c r="L367" s="1670">
        <f t="shared" si="28"/>
        <v>113425</v>
      </c>
    </row>
    <row r="368" spans="1:14" ht="13.5" thickTop="1" x14ac:dyDescent="0.2">
      <c r="A368" s="2162" t="s">
        <v>996</v>
      </c>
      <c r="B368" s="2163"/>
      <c r="C368" s="654"/>
      <c r="D368" s="654"/>
      <c r="E368" s="626"/>
      <c r="F368" s="626"/>
      <c r="G368" s="626"/>
      <c r="H368" s="626"/>
      <c r="I368" s="626"/>
      <c r="J368" s="623"/>
      <c r="K368" s="1671">
        <f>'Revenues 9-14'!K268-'Expenditures 15-22'!K367</f>
        <v>-28561</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metadata/properties"/>
    <ds:schemaRef ds:uri="http://purl.org/dc/elements/1.1/"/>
    <ds:schemaRef ds:uri="http://purl.org/dc/dcmitype/"/>
    <ds:schemaRef ds:uri="http://schemas.microsoft.com/office/infopath/2007/PartnerControls"/>
    <ds:schemaRef ds:uri="http://schemas.microsoft.com/office/2006/documentManagement/types"/>
    <ds:schemaRef ds:uri="d21dc803-237d-4c68-8692-8d731fd29118"/>
    <ds:schemaRef ds:uri="4d435f69-8686-490b-bd6d-b153bf22ab50"/>
    <ds:schemaRef ds:uri="http://www.w3.org/XML/1998/namespace"/>
    <ds:schemaRef ds:uri="6ce3111e-7420-4802-b50a-75d4e9a0b980"/>
    <ds:schemaRef ds:uri="http://schemas.microsoft.com/sharepoint/v3"/>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2019-10-02T15:06:00Z</cp:lastPrinted>
  <dcterms:created xsi:type="dcterms:W3CDTF">2003-10-29T19:06:34Z</dcterms:created>
  <dcterms:modified xsi:type="dcterms:W3CDTF">2019-11-06T17:45:31Z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