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52D0A48-31D5-4A91-9076-E314F2B63DC0}" xr6:coauthVersionLast="36" xr6:coauthVersionMax="36" xr10:uidLastSave="{00000000-0000-0000-0000-000000000000}"/>
  <bookViews>
    <workbookView xWindow="-15" yWindow="13650" windowWidth="28830" windowHeight="6450" tabRatio="97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1)" sheetId="175" r:id="rId32"/>
    <sheet name="SF&amp;QC Sec-2 (2)" sheetId="185" r:id="rId33"/>
    <sheet name="SF&amp;QC Sec-3 (3)" sheetId="176" r:id="rId34"/>
    <sheet name="SF&amp;QC Sec-3 (4)" sheetId="184" r:id="rId35"/>
    <sheet name="SF&amp;QC Sec-3 (5)" sheetId="186" r:id="rId36"/>
    <sheet name="SSPAF" sheetId="177" r:id="rId37"/>
  </sheets>
  <definedNames>
    <definedName name="_xlnm.Print_Area" localSheetId="27">' SEFA'!$B$1:$M$47</definedName>
    <definedName name="_xlnm.Print_Area" localSheetId="28">' SEFA (2)'!$B$1:$M$45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 (3)'!$A$1:$K$48</definedName>
    <definedName name="_xlnm.Print_Area" localSheetId="34">'SF&amp;QC Sec-3 (4)'!$A$1:$K$48</definedName>
    <definedName name="_xlnm.Print_Area" localSheetId="35">'SF&amp;QC Sec-3 (5)'!$A$1:$K$48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B4" i="186" l="1"/>
  <c r="B4" i="185" l="1"/>
  <c r="B4" i="184"/>
  <c r="G42" i="174"/>
  <c r="G40" i="174"/>
  <c r="G39" i="174"/>
  <c r="C34" i="173"/>
  <c r="C33" i="173"/>
  <c r="K25" i="179" l="1"/>
  <c r="K26" i="179" s="1"/>
  <c r="J25" i="179"/>
  <c r="J26" i="179" s="1"/>
  <c r="I25" i="179"/>
  <c r="I26" i="179" s="1"/>
  <c r="H25" i="179"/>
  <c r="H26" i="179" s="1"/>
  <c r="G25" i="179"/>
  <c r="G26" i="179" s="1"/>
  <c r="E25" i="179"/>
  <c r="E26" i="179" s="1"/>
  <c r="K20" i="179"/>
  <c r="J20" i="179"/>
  <c r="I20" i="179"/>
  <c r="H20" i="179"/>
  <c r="G20" i="179"/>
  <c r="E20" i="179"/>
  <c r="E11" i="108"/>
  <c r="F20" i="179" l="1"/>
  <c r="C107" i="5" l="1"/>
  <c r="C79" i="4"/>
  <c r="C4" i="3"/>
  <c r="C6" i="3"/>
  <c r="C32" i="3"/>
  <c r="C9" i="3"/>
  <c r="C39" i="3"/>
  <c r="G38" i="3" l="1"/>
  <c r="G79" i="4"/>
  <c r="E323" i="29"/>
  <c r="D275" i="29"/>
  <c r="D266" i="29"/>
  <c r="D264" i="29"/>
  <c r="D259" i="29"/>
  <c r="D247" i="29"/>
  <c r="D241" i="29"/>
  <c r="D240" i="29"/>
  <c r="D227" i="29"/>
  <c r="D224" i="29"/>
  <c r="D218" i="29"/>
  <c r="D217" i="29"/>
  <c r="D215" i="29"/>
  <c r="L17" i="179" l="1"/>
  <c r="P24" i="183"/>
  <c r="F25" i="179" l="1"/>
  <c r="F26" i="179"/>
  <c r="K19" i="183" l="1"/>
  <c r="K26" i="183" s="1"/>
  <c r="J19" i="183" l="1"/>
  <c r="J26" i="183" s="1"/>
  <c r="I19" i="183"/>
  <c r="I26" i="183" s="1"/>
  <c r="D45" i="174" s="1"/>
  <c r="H19" i="183"/>
  <c r="H26" i="183" s="1"/>
  <c r="G19" i="183"/>
  <c r="G26" i="183" s="1"/>
  <c r="F19" i="183"/>
  <c r="F26" i="183" s="1"/>
  <c r="D35" i="171" s="1"/>
  <c r="E19" i="183"/>
  <c r="E26" i="183" s="1"/>
  <c r="L26" i="183" l="1"/>
  <c r="L23" i="183"/>
  <c r="L19" i="183"/>
  <c r="L18" i="183"/>
  <c r="L17" i="183"/>
  <c r="L16" i="183"/>
  <c r="L15" i="183"/>
  <c r="L14" i="183"/>
  <c r="L13"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4" i="179"/>
  <c r="L23" i="179"/>
  <c r="L20" i="179"/>
  <c r="L19" i="179"/>
  <c r="L18"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6"/>
  <c r="B1" i="185"/>
  <c r="B1" i="184"/>
  <c r="B2" i="186"/>
  <c r="B2" i="184"/>
  <c r="B2"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7" i="108"/>
  <c r="E27" i="108"/>
  <c r="F27" i="108"/>
  <c r="G27" i="108"/>
  <c r="F28" i="108"/>
  <c r="F31" i="108"/>
  <c r="F36" i="108"/>
  <c r="G28" i="108"/>
  <c r="G29"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L5" i="11"/>
  <c r="B2056" i="106" s="1"/>
  <c r="D2056" i="106" s="1"/>
  <c r="B5752" i="106"/>
  <c r="D5752" i="106" s="1"/>
  <c r="J352" i="29" l="1"/>
  <c r="J367" i="29" s="1"/>
  <c r="B7245" i="106" s="1"/>
  <c r="D7245" i="106" s="1"/>
  <c r="D6103" i="106"/>
  <c r="L13" i="11"/>
  <c r="B2060" i="106" s="1"/>
  <c r="D2060" i="106" s="1"/>
  <c r="E29" i="108"/>
  <c r="F19" i="7"/>
  <c r="B1807" i="106" s="1"/>
  <c r="D1807" i="106" s="1"/>
  <c r="D68" i="36"/>
  <c r="D69" i="36"/>
  <c r="K184" i="29"/>
  <c r="F13" i="4" s="1"/>
  <c r="B2596" i="106" s="1"/>
  <c r="D2596" i="106" s="1"/>
  <c r="G26" i="108"/>
  <c r="E26" i="108"/>
  <c r="C129" i="29"/>
  <c r="C151" i="29" s="1"/>
  <c r="B1226" i="106" s="1"/>
  <c r="D1226" i="106" s="1"/>
  <c r="B1274" i="106"/>
  <c r="D1274" i="106" s="1"/>
  <c r="G15" i="145"/>
  <c r="E38" i="108"/>
  <c r="G30" i="108"/>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1328" i="106"/>
  <c r="D1328" i="106" s="1"/>
  <c r="K365" i="29"/>
  <c r="K16" i="4" s="1"/>
  <c r="L16" i="11"/>
  <c r="B2061" i="106" s="1"/>
  <c r="D2061" i="106" s="1"/>
  <c r="B5527" i="106"/>
  <c r="D5527" i="106" s="1"/>
  <c r="D44" i="36"/>
  <c r="K342" i="29"/>
  <c r="F13" i="34" s="1"/>
  <c r="B1225" i="106"/>
  <c r="D1225" i="106" s="1"/>
  <c r="L114" i="29"/>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<sst xmlns="http://schemas.openxmlformats.org/spreadsheetml/2006/main" count="5413" uniqueCount="2208">
  <si>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</si>
  <si>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</si>
  <si>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</si>
  <si>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</si>
  <si>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</si>
  <si>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</si>
  <si>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</si>
  <si>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</si>
  <si>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</si>
  <si>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</si>
  <si>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</si>
  <si>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</si>
  <si>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</si>
  <si>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</si>
  <si>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</si>
  <si>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</si>
  <si>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</si>
  <si>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</si>
  <si>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</si>
  <si>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</si>
  <si>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</si>
  <si>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</si>
  <si>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</si>
  <si>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</si>
  <si>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</si>
  <si>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</si>
  <si>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</si>
  <si>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</si>
  <si>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</si>
  <si>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</si>
  <si>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</si>
  <si>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</si>
  <si>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</si>
  <si>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</si>
  <si>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</si>
  <si>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</si>
  <si>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</si>
  <si>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</si>
  <si>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</si>
  <si>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</si>
  <si>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</si>
  <si>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</si>
  <si>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</si>
  <si>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</si>
  <si>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</si>
  <si>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</si>
  <si>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</si>
  <si>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</si>
  <si>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</si>
  <si>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</si>
  <si>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</si>
  <si>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</si>
  <si>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</si>
  <si>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</si>
  <si>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</si>
  <si>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</si>
  <si>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</si>
  <si>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</si>
  <si>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</si>
  <si>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</si>
  <si>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</si>
  <si>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</si>
  <si>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</si>
  <si>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</si>
  <si>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</si>
  <si>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</si>
  <si>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</si>
  <si>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</si>
  <si>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</si>
  <si>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</si>
  <si>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</si>
  <si>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</si>
  <si>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</si>
  <si>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</si>
  <si>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</si>
  <si>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</si>
  <si>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</si>
  <si>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</si>
  <si>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</si>
  <si>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</si>
  <si>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</si>
  <si>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</si>
  <si>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</si>
  <si>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</si>
  <si>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</si>
  <si>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</si>
  <si>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</si>
  <si>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</si>
  <si>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</si>
  <si>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</si>
  <si>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</si>
  <si>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</si>
  <si>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</si>
  <si>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</si>
  <si>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</si>
  <si>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</si>
  <si>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</si>
  <si>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</si>
  <si>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</si>
  <si>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</si>
  <si>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</si>
  <si>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</si>
  <si>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</si>
  <si>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</si>
  <si>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</si>
  <si>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</si>
  <si>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</si>
  <si>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</si>
  <si>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</si>
  <si>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</si>
  <si>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</si>
  <si>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</si>
  <si>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</si>
  <si>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</si>
  <si>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</si>
  <si>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</si>
  <si>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</si>
  <si>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</si>
  <si>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</si>
  <si>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</si>
  <si>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</si>
  <si>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</si>
  <si>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</si>
  <si>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</si>
  <si>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</si>
  <si>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</si>
  <si>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</si>
  <si>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</si>
  <si>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</si>
  <si>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</si>
  <si>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</si>
  <si>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</si>
  <si>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</si>
  <si>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</si>
  <si>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</si>
  <si>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</si>
  <si>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</si>
  <si>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</si>
  <si>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</si>
  <si>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</si>
  <si>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</si>
  <si>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</si>
  <si>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</si>
  <si>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</si>
  <si>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</si>
  <si>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</si>
  <si>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</si>
  <si>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</si>
  <si>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</si>
  <si>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</si>
  <si>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</si>
  <si>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</si>
  <si>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</si>
  <si>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</si>
  <si>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</si>
  <si>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</si>
  <si>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</si>
  <si>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</si>
  <si>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</si>
  <si>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</si>
  <si>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</si>
  <si>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</si>
  <si>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</si>
  <si>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</si>
  <si>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</si>
  <si>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</si>
  <si>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</si>
  <si>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</si>
  <si>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</si>
  <si>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</si>
  <si>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</si>
  <si>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</si>
  <si>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</si>
  <si>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</si>
  <si>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</si>
  <si>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</si>
  <si>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</si>
  <si>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</si>
  <si>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</si>
  <si>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</si>
  <si>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</si>
  <si>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</si>
  <si>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</si>
  <si>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</si>
  <si>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</si>
  <si>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</si>
  <si>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</si>
  <si>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</si>
  <si>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</si>
  <si>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</si>
  <si>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</si>
  <si>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</si>
  <si>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</si>
  <si>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</si>
  <si>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</si>
  <si>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</si>
  <si>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</si>
  <si>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</si>
  <si>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</si>
  <si>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</si>
  <si>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</si>
  <si>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</si>
  <si>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</si>
  <si>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</si>
  <si>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</si>
  <si>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</si>
  <si>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</si>
  <si>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</si>
  <si>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</si>
  <si>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</si>
  <si>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</si>
  <si>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</si>
  <si>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</si>
  <si>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</si>
  <si>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</si>
  <si>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</si>
  <si>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</si>
  <si>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</si>
  <si>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</si>
  <si>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</si>
  <si>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</si>
  <si>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</si>
  <si>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</si>
  <si>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</si>
  <si>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</si>
  <si>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</si>
  <si>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</si>
  <si>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</si>
  <si>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</si>
  <si>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</si>
  <si>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</si>
  <si>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</si>
  <si>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</si>
  <si>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</si>
  <si>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</si>
  <si>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</si>
  <si>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</si>
  <si>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</si>
  <si>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</si>
  <si>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</si>
  <si>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</si>
  <si>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</si>
  <si>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</si>
  <si>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</si>
  <si>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</si>
  <si>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</si>
  <si>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</si>
  <si>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</si>
  <si>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</si>
  <si>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</si>
  <si>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</si>
  <si>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</si>
  <si>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</si>
  <si>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</si>
  <si>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</si>
  <si>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</si>
  <si>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</si>
  <si>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</si>
  <si>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</si>
  <si>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</si>
  <si>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</si>
  <si>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</si>
  <si>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</si>
  <si>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</si>
  <si>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</si>
  <si>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</si>
  <si>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</si>
  <si>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</si>
  <si>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</si>
  <si>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</si>
  <si>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</si>
  <si>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</si>
  <si>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</si>
  <si>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</si>
  <si>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</si>
  <si>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</si>
  <si>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</si>
  <si>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</si>
  <si>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</si>
  <si>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</si>
  <si>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</si>
  <si>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</si>
  <si>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</si>
  <si>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</si>
  <si>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</si>
  <si>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</si>
  <si>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</si>
  <si>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</si>
  <si>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</si>
  <si>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</si>
  <si>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</si>
  <si>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</si>
  <si>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</si>
  <si>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</si>
  <si>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</si>
  <si>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</si>
  <si>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</si>
  <si>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</si>
  <si>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</si>
  <si>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</si>
  <si>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</si>
  <si>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</si>
  <si>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</si>
  <si>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</si>
  <si>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</si>
  <si>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</si>
  <si>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</si>
  <si>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</si>
  <si>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</si>
  <si>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</si>
  <si>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</si>
  <si>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</si>
  <si>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</si>
  <si>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</si>
  <si>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</si>
  <si>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</si>
  <si>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</si>
  <si>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</si>
  <si>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</si>
  <si>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</si>
  <si>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</si>
  <si>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</si>
  <si>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</si>
  <si>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</si>
  <si>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</si>
  <si>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</si>
  <si>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</si>
  <si>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</si>
  <si>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</si>
  <si>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</si>
  <si>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</si>
  <si>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</si>
  <si>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</si>
  <si>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</si>
  <si>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</si>
  <si>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</si>
  <si>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</si>
  <si>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</si>
  <si>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</si>
  <si>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</si>
  <si>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</si>
  <si>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</si>
  <si>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</si>
  <si>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</si>
  <si>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</si>
  <si>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</si>
  <si>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</si>
  <si>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</si>
  <si>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</si>
  <si>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</si>
  <si>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</si>
  <si>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</si>
  <si>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</si>
  <si>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</si>
  <si>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</si>
  <si>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</si>
  <si>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</si>
  <si>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</si>
  <si>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</si>
  <si>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</si>
  <si>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</si>
  <si>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</si>
  <si>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</si>
  <si>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</si>
  <si>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</si>
  <si>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</si>
  <si>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</si>
  <si>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</si>
  <si>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</si>
  <si>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</si>
  <si>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</si>
  <si>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</si>
  <si>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</si>
  <si>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</si>
  <si>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</si>
  <si>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</si>
  <si>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</si>
  <si>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</si>
  <si>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</si>
  <si>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</si>
  <si>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</si>
  <si>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</si>
  <si>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</si>
  <si>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</si>
  <si>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</si>
  <si>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</si>
  <si>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</si>
  <si>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</si>
  <si>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</si>
  <si>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</si>
  <si>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</si>
  <si>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</si>
  <si>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</si>
  <si>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</si>
  <si>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</si>
  <si>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</si>
  <si>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</si>
  <si>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</si>
  <si>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</si>
  <si>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</si>
  <si>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</si>
  <si>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</si>
  <si>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</si>
  <si>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</si>
  <si>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</si>
  <si>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</si>
  <si>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</si>
  <si>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</si>
  <si>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</si>
  <si>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</si>
  <si>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</si>
  <si>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</si>
  <si>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</si>
  <si>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</si>
  <si>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</si>
  <si>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</si>
  <si>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</si>
  <si>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</si>
  <si>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</si>
  <si>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</si>
  <si>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</si>
  <si>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</si>
  <si>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</si>
  <si>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</si>
  <si>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</si>
  <si>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</si>
  <si>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</si>
  <si>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</si>
  <si>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</si>
  <si>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</si>
  <si>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</si>
  <si>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</si>
  <si>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</si>
  <si>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</si>
  <si>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</si>
  <si>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</si>
  <si>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</si>
  <si>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</si>
  <si>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</si>
  <si>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</si>
  <si>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</si>
  <si>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</si>
  <si>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</si>
  <si>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</si>
  <si>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</si>
  <si>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</si>
  <si>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</si>
  <si>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</si>
  <si>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</si>
  <si>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</si>
  <si>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</si>
  <si>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</si>
  <si>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</si>
  <si>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</si>
  <si>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</si>
  <si>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</si>
  <si>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</si>
  <si>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</si>
  <si>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</si>
  <si>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</si>
  <si>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</si>
  <si>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</si>
  <si>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</si>
  <si>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</si>
  <si>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</si>
  <si>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</si>
  <si>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</si>
  <si>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</si>
  <si>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</si>
  <si>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</si>
  <si>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</si>
  <si>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</si>
  <si>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</si>
  <si>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</si>
  <si>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</si>
  <si>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</si>
  <si>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</si>
  <si>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</si>
  <si>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</si>
  <si>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</si>
  <si>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</si>
  <si>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</si>
  <si>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</si>
  <si>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</si>
  <si>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</si>
  <si>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</si>
  <si>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</si>
  <si>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</si>
  <si>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</si>
  <si>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</si>
  <si>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</si>
  <si>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</si>
  <si>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</si>
  <si>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</si>
  <si>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</si>
  <si>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</si>
  <si>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</si>
  <si>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</si>
  <si>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</si>
  <si>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</si>
  <si>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</si>
  <si>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</si>
  <si>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</si>
  <si>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</si>
  <si>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</si>
  <si>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</si>
  <si>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</si>
  <si>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</si>
  <si>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</si>
  <si>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</si>
  <si>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</si>
  <si>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</si>
  <si>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</si>
  <si>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</si>
  <si>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</si>
  <si>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</si>
  <si>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</si>
  <si>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</si>
  <si>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</si>
  <si>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</si>
  <si>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</si>
  <si>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</si>
  <si>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</si>
  <si>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</si>
  <si>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</si>
  <si>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</si>
  <si>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</si>
  <si>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</si>
  <si>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</si>
  <si>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</si>
  <si>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</si>
  <si>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</si>
  <si>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</si>
  <si>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</si>
  <si>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</si>
  <si>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</si>
  <si>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</si>
  <si>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</si>
  <si>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</si>
  <si>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</si>
  <si>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</si>
  <si>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</si>
  <si>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</si>
  <si>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</si>
  <si>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</si>
  <si>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</si>
  <si>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</si>
  <si>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</si>
  <si>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</si>
  <si>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</si>
  <si>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</si>
  <si>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</si>
  <si>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</si>
  <si>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</si>
  <si>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</si>
  <si>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</si>
  <si>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</si>
  <si>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</si>
  <si>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</si>
  <si>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</si>
  <si>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</si>
  <si>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</si>
  <si>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</si>
  <si>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</si>
  <si>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</si>
  <si>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</si>
  <si>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</si>
  <si>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</si>
  <si>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</si>
  <si>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</si>
  <si>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</si>
  <si>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</si>
  <si>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</si>
  <si>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</si>
  <si>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</si>
  <si>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</si>
  <si>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</si>
  <si>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</si>
  <si>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</si>
  <si>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</si>
  <si>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</si>
  <si>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</si>
  <si>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</si>
  <si>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</si>
  <si>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</si>
  <si>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</si>
  <si>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</si>
  <si>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</si>
  <si>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</si>
  <si>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</si>
  <si>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</si>
  <si>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</si>
  <si>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</si>
  <si>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</si>
  <si>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</si>
  <si>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</si>
  <si>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</si>
  <si>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</si>
  <si>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</si>
  <si>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</si>
  <si>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</si>
  <si>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</si>
  <si>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</si>
  <si>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</si>
  <si>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</si>
  <si>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</si>
  <si>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</si>
  <si>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</si>
  <si>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</si>
  <si>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</si>
  <si>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</si>
  <si>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</si>
  <si>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</si>
  <si>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</si>
  <si>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</si>
  <si>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</si>
  <si>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</si>
  <si>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</si>
  <si>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</si>
  <si>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</si>
  <si>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</si>
  <si>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</si>
  <si>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</si>
  <si>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</si>
  <si>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</si>
  <si>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</si>
  <si>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</si>
  <si>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</si>
  <si>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</si>
  <si>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</si>
  <si>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</si>
  <si>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</si>
  <si>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</si>
  <si>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</si>
  <si>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</si>
  <si>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</si>
  <si>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</si>
  <si>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</si>
  <si>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</si>
  <si>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</si>
  <si>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</si>
  <si>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</si>
  <si>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</si>
  <si>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</si>
  <si>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</si>
  <si>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</si>
  <si>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</si>
  <si>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</si>
  <si>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</si>
  <si>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</si>
  <si>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</si>
  <si>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</si>
  <si>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</si>
  <si>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</si>
  <si>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</si>
  <si>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</si>
  <si>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</si>
  <si>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</si>
  <si>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</si>
  <si>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</si>
  <si>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</si>
  <si>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</si>
  <si>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</si>
  <si>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</si>
  <si>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</si>
  <si>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</si>
  <si>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</si>
  <si>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</si>
  <si>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</si>
  <si>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</si>
  <si>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</si>
  <si>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</si>
  <si>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</si>
  <si>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</si>
  <si>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</si>
  <si>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</si>
  <si>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</si>
  <si>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</si>
  <si>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</si>
  <si>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</si>
  <si>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</si>
  <si>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</si>
  <si>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</si>
  <si>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</si>
  <si>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</si>
  <si>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</si>
  <si>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</si>
  <si>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</si>
  <si>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</si>
  <si>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</si>
  <si>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</si>
  <si>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</si>
  <si>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</si>
  <si>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</si>
  <si>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</si>
  <si>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</si>
  <si>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</si>
  <si>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</si>
  <si>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</si>
  <si>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</si>
  <si>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</si>
  <si>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</si>
  <si>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</si>
  <si>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</si>
  <si>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</si>
  <si>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</si>
  <si>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</si>
  <si>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</si>
  <si>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</si>
  <si>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</si>
  <si>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</si>
  <si>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</si>
  <si>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</si>
  <si>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</si>
  <si>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</si>
  <si>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</si>
  <si>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</si>
  <si>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</si>
  <si>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</si>
  <si>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</si>
  <si>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</si>
  <si>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</si>
  <si>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</si>
  <si>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</si>
  <si>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</si>
  <si>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</si>
  <si>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</si>
  <si>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</si>
  <si>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</si>
  <si>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</si>
  <si>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</si>
  <si>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</si>
  <si>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</si>
  <si>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</si>
  <si>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</si>
  <si>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</si>
  <si>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</si>
  <si>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</si>
  <si>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</si>
  <si>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</si>
  <si>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</si>
  <si>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</si>
  <si>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</si>
  <si>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</si>
  <si>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</si>
  <si>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</si>
  <si>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</si>
  <si>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</si>
  <si>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</si>
  <si>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</si>
  <si>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</si>
  <si>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</si>
  <si>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</si>
  <si>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</si>
  <si>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</si>
  <si>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</si>
  <si>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</si>
  <si>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</si>
  <si>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</si>
  <si>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</si>
  <si>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</si>
  <si>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</si>
  <si>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</si>
  <si>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</si>
  <si>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</si>
  <si>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</si>
  <si>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</si>
  <si>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</si>
  <si>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</si>
  <si>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</si>
  <si>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</si>
  <si>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</si>
  <si>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</si>
  <si>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</si>
  <si>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</si>
  <si>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</si>
  <si>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</si>
  <si>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</si>
  <si>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</si>
  <si>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</si>
  <si>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</si>
  <si>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</si>
  <si>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</si>
  <si>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</si>
  <si>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</si>
  <si>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</si>
  <si>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</si>
  <si>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</si>
  <si>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</si>
  <si>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</si>
  <si>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</si>
  <si>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</si>
  <si>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</si>
  <si>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</si>
  <si>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</si>
  <si>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</si>
  <si>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</si>
  <si>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</si>
  <si>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</si>
  <si>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</si>
  <si>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</si>
  <si>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</si>
  <si>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</si>
  <si>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</si>
  <si>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</si>
  <si>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</si>
  <si>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</si>
  <si>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</si>
  <si>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</si>
  <si>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</si>
  <si>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</si>
  <si>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</si>
  <si>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</si>
  <si>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</si>
  <si>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</si>
  <si>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</si>
  <si>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</si>
  <si>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</si>
  <si>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</si>
  <si>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</si>
  <si>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</si>
  <si>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</si>
  <si>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</si>
  <si>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</si>
  <si>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</si>
  <si>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</si>
  <si>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</si>
  <si>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</si>
  <si>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</si>
  <si>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</si>
  <si>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</si>
  <si>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</si>
  <si>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</si>
  <si>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</si>
  <si>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</si>
  <si>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</si>
  <si>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</si>
  <si>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</si>
  <si>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</si>
  <si>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</si>
  <si>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</si>
  <si>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</si>
  <si>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</si>
  <si>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</si>
  <si>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</si>
  <si>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</si>
  <si>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</si>
  <si>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</si>
  <si>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</si>
  <si>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</si>
  <si>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</si>
  <si>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</si>
  <si>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</si>
  <si>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</si>
  <si>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</si>
  <si>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</si>
  <si>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</si>
  <si>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</si>
  <si>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</si>
  <si>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</si>
  <si>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</si>
  <si>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</si>
  <si>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</si>
  <si>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</si>
  <si>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</si>
  <si>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</si>
  <si>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</si>
  <si>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</si>
  <si>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</si>
  <si>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</si>
  <si>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</si>
  <si>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</si>
  <si>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</si>
  <si>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</si>
  <si>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</si>
  <si>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</si>
  <si>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</si>
  <si>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</si>
  <si>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</si>
  <si>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</si>
  <si>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</si>
  <si>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</si>
  <si>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</si>
  <si>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</si>
  <si>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</si>
  <si>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</si>
  <si>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</si>
  <si>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</si>
  <si>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</si>
  <si>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</si>
  <si>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</si>
  <si>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</si>
  <si>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</si>
  <si>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</si>
  <si>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</si>
  <si>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</si>
  <si>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</si>
  <si>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</si>
  <si>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</si>
  <si>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</si>
  <si>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</si>
  <si>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</si>
  <si>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</si>
  <si>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</si>
  <si>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</si>
  <si>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</si>
  <si>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</si>
  <si>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</si>
  <si>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</si>
  <si>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</si>
  <si>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</si>
  <si>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</si>
  <si>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</si>
  <si>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</si>
  <si>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</si>
  <si>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</si>
  <si>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</si>
  <si>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</si>
  <si>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</si>
  <si>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</si>
  <si>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</si>
  <si>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</si>
  <si>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</si>
  <si>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</si>
  <si>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</si>
  <si>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</si>
  <si>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</si>
  <si>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</si>
  <si>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</si>
  <si>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</si>
  <si>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</si>
  <si>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</si>
  <si>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</si>
  <si>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</si>
  <si>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</si>
  <si>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</si>
  <si>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</si>
  <si>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</si>
  <si>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</si>
  <si>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</si>
  <si>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</si>
  <si>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</si>
  <si>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</si>
  <si>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</si>
  <si>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</si>
  <si>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</si>
  <si>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</si>
  <si>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</si>
  <si>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</si>
  <si>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</si>
  <si>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</si>
  <si>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</si>
  <si>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</si>
  <si>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</si>
  <si>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</si>
  <si>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</si>
  <si>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</si>
  <si>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</si>
  <si>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</si>
  <si>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</si>
  <si>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</si>
  <si>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</si>
  <si>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</si>
  <si>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</si>
  <si>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</si>
  <si>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</si>
  <si>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</si>
  <si>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</si>
  <si>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</si>
  <si>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</si>
  <si>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</si>
  <si>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</si>
  <si>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</si>
  <si>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</si>
  <si>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</si>
  <si>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</si>
  <si>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</si>
  <si>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</si>
  <si>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</si>
  <si>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</si>
  <si>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</si>
  <si>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</si>
  <si>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</si>
  <si>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</si>
  <si>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</si>
  <si>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</si>
  <si>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</si>
  <si>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</si>
  <si>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</si>
  <si>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</si>
  <si>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</si>
  <si>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</si>
  <si>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</si>
  <si>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</si>
  <si>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</si>
  <si>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</si>
  <si>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</si>
  <si>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</si>
  <si>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</si>
  <si>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</si>
  <si>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</si>
  <si>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</si>
  <si>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</si>
  <si>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</si>
  <si>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</si>
  <si>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</si>
  <si>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</si>
  <si>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</si>
  <si>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</si>
  <si>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</si>
  <si>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</si>
  <si>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</si>
  <si>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</si>
  <si>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</si>
  <si>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</si>
  <si>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</si>
  <si>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</si>
  <si>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</si>
  <si>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</si>
  <si>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</si>
  <si>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</si>
  <si>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</si>
  <si>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</si>
  <si>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</si>
  <si>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</si>
  <si>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</si>
  <si>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</si>
  <si>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</si>
  <si>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</si>
  <si>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</si>
  <si>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</si>
  <si>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</si>
  <si>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</si>
  <si>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</si>
  <si>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</si>
  <si>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</si>
  <si>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</si>
  <si>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</si>
  <si>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</si>
  <si>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</si>
  <si>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</si>
  <si>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</si>
  <si>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</si>
  <si>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</si>
  <si>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</si>
  <si>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</si>
  <si>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</si>
  <si>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</si>
  <si>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</si>
  <si>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</si>
  <si>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</si>
  <si>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</si>
  <si>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</si>
  <si>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</si>
  <si>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</si>
  <si>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</si>
  <si>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</si>
  <si>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</si>
  <si>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</si>
  <si>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</si>
  <si>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</si>
  <si>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</si>
  <si>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</si>
  <si>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</si>
  <si>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</si>
  <si>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</si>
  <si>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</si>
  <si>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</si>
  <si>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</si>
  <si>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</si>
  <si>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</si>
  <si>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</si>
  <si>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</si>
  <si>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</si>
  <si>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</si>
  <si>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</si>
  <si>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</si>
  <si>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</si>
  <si>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</si>
  <si>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</si>
  <si>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</si>
  <si>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</si>
  <si>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</si>
  <si>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</si>
  <si>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</si>
  <si>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</si>
  <si>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</si>
  <si>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</si>
  <si>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</si>
  <si>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</si>
  <si>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</si>
  <si>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</si>
  <si>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</si>
  <si>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</si>
  <si>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</si>
  <si>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</si>
  <si>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</si>
  <si>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</si>
  <si>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</si>
  <si>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</si>
  <si>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</si>
  <si>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</si>
  <si>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</si>
  <si>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</si>
  <si>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</si>
  <si>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</si>
  <si>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</si>
  <si>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</si>
  <si>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</si>
  <si>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</si>
  <si>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</si>
  <si>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</si>
  <si>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</si>
  <si>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</si>
  <si>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</si>
  <si>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</si>
  <si>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</si>
  <si>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</si>
  <si>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</si>
  <si>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</si>
  <si>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</si>
  <si>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</si>
  <si>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</si>
  <si>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</si>
  <si>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</si>
  <si>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</si>
  <si>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</si>
  <si>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</si>
  <si>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</si>
  <si>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</si>
  <si>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</si>
  <si>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</si>
  <si>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</si>
  <si>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</si>
  <si>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</si>
  <si>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</si>
  <si>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</si>
  <si>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</si>
  <si>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</si>
  <si>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</si>
  <si>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</si>
  <si>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</si>
  <si>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</si>
  <si>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</si>
  <si>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</si>
  <si>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</si>
  <si>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</si>
  <si>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</si>
  <si>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</si>
  <si>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</si>
  <si>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</si>
  <si>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</si>
  <si>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</si>
  <si>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</si>
  <si>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</si>
  <si>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</si>
  <si>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</si>
  <si>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</si>
  <si>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</si>
  <si>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</si>
  <si>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</si>
  <si>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</si>
  <si>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</si>
  <si>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</si>
  <si>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</si>
  <si>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</si>
  <si>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</si>
  <si>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</si>
  <si>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</si>
  <si>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</si>
  <si>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</si>
  <si>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</si>
  <si>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</si>
  <si>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</si>
  <si>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</si>
  <si>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</si>
  <si>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</si>
  <si>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</si>
  <si>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</si>
  <si>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</si>
  <si>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</si>
  <si>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</si>
  <si>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</si>
  <si>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</si>
  <si>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</si>
  <si>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</si>
  <si>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</si>
  <si>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</si>
  <si>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</si>
  <si>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</si>
  <si>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</si>
  <si>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</si>
  <si>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</si>
  <si>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</si>
  <si>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</si>
  <si>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</si>
  <si>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</si>
  <si>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</si>
  <si>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</si>
  <si>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</si>
  <si>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</si>
  <si>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</si>
  <si>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</si>
  <si>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</si>
  <si>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</si>
  <si>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</si>
  <si>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</si>
  <si>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</si>
  <si>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</si>
  <si>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</si>
  <si>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</si>
  <si>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</si>
  <si>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</si>
  <si>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</si>
  <si>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</si>
  <si>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</si>
  <si>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</si>
  <si>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</si>
  <si>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</si>
  <si>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</si>
  <si>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</si>
  <si>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</si>
  <si>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</si>
  <si>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</si>
  <si>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</si>
  <si>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</si>
  <si>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</si>
  <si>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</si>
  <si>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</si>
  <si>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</si>
  <si>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</si>
  <si>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</si>
  <si>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</si>
  <si>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</si>
  <si>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</si>
  <si>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</si>
  <si>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</si>
  <si>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</si>
  <si>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</si>
  <si>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</si>
  <si>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</si>
  <si>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</si>
  <si>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</si>
  <si>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</si>
  <si>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</si>
  <si>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</si>
  <si>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</si>
  <si>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</si>
  <si>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</si>
  <si>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</si>
  <si>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</si>
  <si>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</si>
  <si>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</si>
  <si>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</si>
  <si>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</si>
  <si>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</si>
  <si>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</si>
  <si>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</si>
  <si>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</si>
  <si>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</si>
  <si>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</si>
  <si>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</si>
  <si>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</si>
  <si>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</si>
  <si>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</si>
  <si>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</si>
  <si>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</si>
  <si>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</si>
  <si>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</si>
  <si>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</si>
  <si>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</si>
  <si>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</si>
  <si>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</si>
  <si>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</si>
  <si>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</si>
  <si>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</si>
  <si>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</si>
  <si>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</si>
  <si>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</si>
  <si>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</si>
  <si>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</si>
  <si>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</si>
  <si>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</si>
  <si>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</si>
  <si>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</si>
  <si>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</si>
  <si>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</si>
  <si>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</si>
  <si>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</si>
  <si>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</si>
  <si>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</si>
  <si>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</si>
  <si>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</si>
  <si>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</si>
  <si>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</si>
  <si>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</si>
  <si>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</si>
  <si>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</si>
  <si>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</si>
  <si>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</si>
  <si>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</si>
  <si>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</si>
  <si>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</si>
  <si>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</si>
  <si>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</si>
  <si>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</si>
  <si>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</si>
  <si>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</si>
  <si>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</si>
  <si>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</si>
  <si>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</si>
  <si>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</si>
  <si>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</si>
  <si>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</si>
  <si>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</si>
  <si>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</si>
  <si>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</si>
  <si>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</si>
  <si>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</si>
  <si>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</si>
  <si>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</si>
  <si>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</si>
  <si>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</si>
  <si>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</si>
  <si>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</si>
  <si>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</si>
  <si>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</si>
  <si>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</si>
  <si>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</si>
  <si>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</si>
  <si>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</si>
  <si>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</si>
  <si>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</si>
  <si>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</si>
  <si>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</si>
  <si>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</si>
  <si>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</si>
  <si>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</si>
  <si>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</si>
  <si>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</si>
  <si>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</si>
  <si>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</si>
  <si>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</si>
  <si>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</si>
  <si>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</si>
  <si>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</si>
  <si>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</si>
  <si>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</si>
  <si>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</si>
  <si>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</si>
  <si>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</si>
  <si>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</si>
  <si>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</si>
  <si>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</si>
  <si>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</si>
  <si>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</si>
  <si>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</si>
  <si>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</si>
  <si>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</si>
  <si>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</si>
  <si>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</si>
  <si>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</si>
  <si>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</si>
  <si>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</si>
  <si>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</si>
  <si>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</si>
  <si>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</si>
  <si>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</si>
  <si>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</si>
  <si>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</si>
  <si>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</si>
  <si>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</si>
  <si>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</si>
  <si>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</si>
  <si>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</si>
  <si>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</si>
  <si>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</si>
  <si>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</si>
  <si>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</si>
  <si>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</si>
  <si>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</si>
  <si>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</si>
  <si>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</si>
  <si>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</si>
  <si>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</si>
  <si>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</si>
  <si>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</si>
  <si>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</si>
  <si>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</si>
  <si>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</si>
  <si>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</si>
  <si>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</si>
  <si>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</si>
  <si>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</si>
  <si>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</si>
  <si>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</si>
  <si>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</si>
  <si>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</si>
  <si>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</si>
  <si>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</si>
  <si>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</si>
  <si>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</si>
  <si>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</si>
  <si>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</si>
  <si>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</si>
  <si>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</si>
  <si>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</si>
  <si>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</si>
  <si>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</si>
  <si>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</si>
  <si>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</si>
  <si>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</si>
  <si>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</si>
  <si>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</si>
  <si>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</si>
  <si>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</si>
  <si>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</si>
  <si>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</si>
  <si>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</si>
  <si>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</si>
  <si>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</si>
  <si>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</si>
  <si>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</si>
  <si>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</si>
  <si>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</si>
  <si>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</si>
  <si>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</si>
  <si>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</si>
  <si>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</si>
  <si>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</si>
  <si>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</si>
  <si>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</si>
  <si>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</si>
  <si>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</si>
  <si>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</si>
  <si>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</si>
  <si>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</si>
  <si>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</si>
  <si>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</si>
  <si>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</si>
  <si>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</si>
  <si>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</si>
  <si>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</si>
  <si>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</si>
  <si>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</si>
  <si>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</si>
  <si>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</si>
  <si>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</si>
  <si>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</si>
  <si>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</si>
  <si>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</si>
  <si>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</si>
  <si>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</si>
  <si>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</si>
  <si>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</si>
  <si>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</si>
  <si>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</si>
  <si>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</si>
  <si>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</si>
  <si>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</si>
  <si>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</si>
  <si>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</si>
  <si>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</si>
  <si>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</si>
  <si>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</si>
  <si>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</si>
  <si>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</si>
  <si>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</si>
  <si>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</si>
  <si>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</si>
  <si>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</si>
  <si>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</si>
  <si>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</si>
  <si>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</si>
  <si>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</si>
  <si>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</si>
  <si>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</si>
  <si>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</si>
  <si>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</si>
  <si>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</si>
  <si>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</si>
  <si>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</si>
  <si>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</si>
  <si>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</si>
  <si>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</si>
  <si>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</si>
  <si>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</si>
  <si>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</si>
  <si>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</si>
  <si>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</si>
  <si>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</si>
  <si>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</si>
  <si>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</si>
  <si>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</si>
  <si>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</si>
  <si>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</si>
  <si>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</si>
  <si>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</si>
  <si>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</si>
  <si>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</si>
  <si>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</si>
  <si>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</si>
  <si>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</si>
  <si>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</si>
  <si>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</si>
  <si>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</si>
  <si>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</si>
  <si>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</si>
  <si>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</si>
  <si>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</si>
  <si>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</si>
  <si>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</si>
  <si>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</si>
  <si>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</si>
  <si>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</si>
  <si>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</si>
  <si>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</si>
  <si>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</si>
  <si>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</si>
  <si>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</si>
  <si>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</si>
  <si>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</si>
  <si>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</si>
  <si>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</si>
  <si>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</si>
  <si>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</si>
  <si>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</si>
  <si>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</si>
  <si>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</si>
  <si>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</si>
  <si>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</si>
  <si>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</si>
  <si>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</si>
  <si>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</si>
  <si>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</si>
  <si>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</si>
  <si>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</si>
  <si>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</si>
  <si>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</si>
  <si>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</si>
  <si>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</si>
  <si>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</si>
  <si>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</si>
  <si>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</si>
  <si>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</si>
  <si>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</si>
  <si>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</si>
  <si>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</si>
  <si>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</si>
  <si>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</si>
  <si>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</si>
  <si>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</si>
  <si>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</si>
  <si>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</si>
  <si>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</si>
  <si>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</si>
  <si>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</si>
  <si>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</si>
  <si>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</si>
  <si>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</si>
  <si>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</si>
  <si>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</si>
  <si>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</si>
  <si>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</si>
  <si>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</si>
  <si>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</si>
  <si>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</si>
  <si>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</si>
  <si>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</si>
  <si>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</si>
  <si>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</si>
  <si>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</si>
  <si>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</si>
  <si>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</si>
  <si>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</si>
  <si>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</si>
  <si>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</si>
  <si>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</si>
  <si>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</si>
  <si>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</si>
  <si>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</si>
  <si>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</si>
  <si>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</si>
  <si>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</si>
  <si>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</si>
  <si>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</si>
  <si>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</si>
  <si>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</si>
  <si>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</si>
  <si>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</si>
  <si>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</si>
  <si>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</si>
  <si>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</si>
  <si>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</si>
  <si>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</si>
  <si>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</si>
  <si>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</si>
  <si>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</si>
  <si>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</si>
  <si>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</si>
  <si>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</si>
  <si>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</si>
  <si>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</si>
  <si>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</si>
  <si>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</si>
  <si>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</si>
  <si>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</si>
  <si>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</si>
  <si>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</si>
  <si>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</si>
  <si>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</si>
  <si>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</si>
  <si>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</si>
  <si>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</si>
  <si>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</si>
  <si>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</si>
  <si>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</si>
  <si>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</si>
  <si>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</si>
  <si>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</si>
  <si>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</si>
  <si>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</si>
  <si>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</si>
  <si>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</si>
  <si>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</si>
  <si>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</si>
  <si>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</si>
  <si>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</si>
  <si>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</si>
  <si>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</si>
  <si>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</si>
  <si>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</si>
  <si>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</si>
  <si>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</si>
  <si>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</si>
  <si>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</si>
  <si>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</si>
  <si>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</si>
  <si>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</si>
  <si>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</si>
  <si>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</si>
  <si>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</si>
  <si>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</si>
  <si>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</si>
  <si>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</si>
  <si>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</si>
  <si>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</si>
  <si>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</si>
  <si>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</si>
  <si>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</si>
  <si>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</si>
  <si>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</si>
  <si>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</si>
  <si>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</si>
  <si>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</si>
  <si>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</si>
  <si>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</si>
  <si>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</si>
  <si>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</si>
  <si>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</si>
  <si>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</si>
  <si>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</si>
  <si>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</si>
  <si>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</si>
  <si>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</si>
  <si>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</si>
  <si>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</si>
  <si>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</si>
  <si>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</si>
  <si>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</si>
  <si>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</si>
  <si>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</si>
  <si>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</si>
  <si>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</si>
  <si>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</si>
  <si>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</si>
  <si>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</si>
  <si>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</si>
  <si>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</si>
  <si>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</si>
  <si>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</si>
  <si>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</si>
  <si>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</si>
  <si>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</si>
  <si>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</si>
  <si>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</si>
  <si>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</si>
  <si>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</si>
  <si>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</si>
  <si>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</si>
  <si>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</si>
  <si>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</si>
  <si>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</si>
  <si>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</si>
  <si>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</si>
  <si>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</si>
  <si>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</si>
  <si>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</si>
  <si>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</si>
  <si>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</si>
  <si>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</si>
  <si>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</si>
  <si>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</si>
  <si>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</si>
  <si>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</si>
  <si>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</si>
  <si>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</si>
  <si>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</si>
  <si>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</si>
  <si>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</si>
  <si>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</si>
  <si>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</si>
  <si>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</si>
  <si>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</si>
  <si>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</si>
  <si>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</si>
  <si>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</si>
  <si>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</si>
  <si>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</si>
  <si>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</si>
  <si>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</si>
  <si>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</si>
  <si>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</si>
  <si>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</si>
  <si>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</si>
  <si>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</si>
  <si>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</si>
  <si>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</si>
  <si>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</si>
  <si>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</si>
  <si>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</si>
  <si>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</si>
  <si>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</si>
  <si>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</si>
  <si>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</si>
  <si>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</si>
  <si>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</si>
  <si>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</si>
  <si>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</si>
  <si>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</si>
  <si>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</si>
  <si>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</si>
  <si>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</si>
  <si>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</si>
  <si>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</si>
  <si>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</si>
  <si>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</si>
  <si>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</si>
  <si>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</si>
  <si>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</si>
  <si>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</si>
  <si>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</si>
  <si>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</si>
  <si>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</si>
  <si>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</si>
  <si>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</si>
  <si>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</si>
  <si>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</si>
  <si>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</si>
  <si>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</si>
  <si>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</si>
  <si>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</si>
  <si>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</si>
  <si>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</si>
  <si>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</si>
  <si>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</si>
  <si>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</si>
  <si>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</si>
  <si>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</si>
  <si>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</si>
  <si>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</si>
  <si>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</si>
  <si>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</si>
  <si>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</si>
  <si>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</si>
  <si>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</si>
  <si>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</si>
  <si>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</si>
  <si>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</si>
  <si>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</si>
  <si>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</si>
  <si>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</si>
  <si>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</si>
  <si>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</si>
  <si>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</si>
  <si>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</si>
  <si>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</si>
  <si>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</si>
  <si>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</si>
  <si>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</si>
  <si>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</si>
  <si>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</si>
  <si>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</si>
  <si>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</si>
  <si>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</si>
  <si>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</si>
  <si>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</si>
  <si>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</si>
  <si>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</si>
  <si>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</si>
  <si>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</si>
  <si>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</si>
  <si>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</si>
  <si>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</si>
  <si>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</si>
  <si>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</si>
  <si>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</si>
  <si>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</si>
  <si>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</si>
  <si>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</si>
  <si>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</si>
  <si>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</si>
  <si>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</si>
  <si>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</si>
  <si>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</si>
  <si>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</si>
  <si>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</si>
  <si>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</si>
  <si>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</si>
  <si>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</si>
  <si>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</si>
  <si>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</si>
  <si>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</si>
  <si>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</si>
  <si>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</si>
  <si>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</si>
  <si>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</si>
  <si>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</si>
  <si>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</si>
  <si>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</si>
  <si>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</si>
  <si>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</si>
  <si>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</si>
  <si>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</si>
  <si>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</si>
  <si>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</si>
  <si>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</si>
  <si>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</si>
  <si>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</si>
  <si>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</si>
  <si>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</si>
  <si>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</si>
  <si>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</si>
  <si>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</si>
  <si>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</si>
  <si>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</si>
  <si>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</si>
  <si>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</si>
  <si>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</si>
  <si>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</si>
  <si>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</si>
  <si>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</si>
  <si>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</si>
  <si>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</si>
  <si>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</si>
  <si>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</si>
  <si>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</si>
  <si>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</si>
  <si>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</si>
  <si>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</si>
  <si>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</si>
  <si>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</si>
  <si>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</si>
  <si>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</si>
  <si>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</si>
  <si>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</si>
  <si>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</si>
  <si>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</si>
  <si>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</si>
  <si>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</si>
  <si>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</si>
  <si>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</si>
  <si>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</si>
  <si>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</si>
  <si>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</si>
  <si>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</si>
  <si>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</si>
  <si>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</si>
  <si>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</si>
  <si>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</si>
  <si>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</si>
  <si>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</si>
  <si>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</si>
  <si>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</si>
  <si>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</si>
  <si>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</si>
  <si>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</si>
  <si>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</si>
  <si>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</si>
  <si>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</si>
  <si>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</si>
  <si>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</si>
  <si>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</si>
  <si>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</si>
  <si>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</si>
  <si>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</si>
  <si>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</si>
  <si>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</si>
  <si>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</si>
  <si>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</si>
  <si>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</si>
  <si>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</si>
  <si>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</si>
  <si>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</si>
  <si>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</si>
  <si>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</si>
  <si>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</si>
  <si>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</si>
  <si>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</si>
  <si>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</si>
  <si>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</si>
  <si>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</si>
  <si>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</si>
  <si>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</si>
  <si>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</si>
  <si>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</si>
  <si>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</si>
  <si>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</si>
  <si>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</si>
  <si>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</si>
  <si>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</si>
  <si>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</si>
  <si>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</si>
  <si>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</si>
  <si>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</si>
  <si>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</si>
  <si>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</si>
  <si>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</si>
  <si>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</si>
  <si>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</si>
  <si>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</si>
  <si>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</si>
  <si>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</si>
  <si>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</si>
  <si>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</si>
  <si>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</si>
  <si>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</si>
  <si>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</si>
  <si>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</si>
  <si>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</si>
  <si>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</si>
  <si>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</si>
  <si>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</si>
  <si>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</si>
  <si>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</si>
  <si>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</si>
  <si>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</si>
  <si>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</si>
  <si>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</si>
  <si>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</si>
  <si>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</si>
  <si>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</si>
  <si>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</si>
  <si>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</si>
  <si>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</si>
  <si>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</si>
  <si>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</si>
  <si>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</si>
  <si>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</si>
  <si>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</si>
  <si>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</si>
  <si>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</si>
  <si>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</si>
  <si>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</si>
  <si>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</si>
  <si>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</si>
  <si>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</si>
  <si>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</si>
  <si>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</si>
  <si>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</si>
  <si>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</si>
  <si>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</si>
  <si>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</si>
  <si>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</si>
  <si>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</si>
  <si>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</si>
  <si>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</si>
  <si>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</si>
  <si>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</si>
  <si>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</si>
  <si>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</si>
  <si>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</si>
  <si>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</si>
  <si>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</si>
  <si>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</si>
  <si>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</si>
  <si>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</si>
  <si>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</si>
  <si>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</si>
  <si>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</si>
  <si>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</si>
  <si>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</si>
  <si>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</si>
  <si>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</si>
  <si>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</si>
  <si>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</si>
  <si>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</si>
  <si>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</si>
  <si>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</si>
  <si>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</si>
  <si>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</si>
  <si>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</si>
  <si>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</si>
  <si>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</si>
  <si>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</si>
  <si>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</si>
  <si>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</si>
  <si>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</si>
  <si>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</si>
  <si>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</si>
  <si>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</si>
  <si>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</si>
  <si>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</si>
  <si>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</si>
  <si>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</si>
  <si>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</si>
  <si>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</si>
  <si>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</si>
  <si>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</si>
  <si>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</si>
  <si>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</si>
  <si>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</si>
  <si>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</si>
  <si>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</si>
  <si>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</si>
  <si>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</si>
  <si>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</si>
  <si>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</si>
  <si>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</si>
  <si>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</si>
  <si>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</si>
  <si>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</si>
  <si>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</si>
  <si>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</si>
  <si>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</si>
  <si>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</si>
  <si>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</si>
  <si>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</si>
  <si>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</si>
  <si>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</si>
  <si>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</si>
  <si>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</si>
  <si>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</si>
  <si>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</si>
  <si>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</si>
  <si>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</si>
  <si>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</si>
  <si>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</si>
  <si>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</si>
  <si>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</si>
  <si>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</si>
  <si>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</si>
  <si>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</si>
  <si>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</si>
  <si>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</si>
  <si>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</si>
  <si>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</si>
  <si>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</si>
  <si>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</si>
  <si>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</si>
  <si>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</si>
  <si>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</si>
  <si>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Education Benefit Cooperative</t>
  </si>
  <si>
    <t>Orland School District 135</t>
  </si>
  <si>
    <t>Illinois School Insurance Cooperative</t>
  </si>
  <si>
    <t>Southwest Cooperative</t>
  </si>
  <si>
    <t>South Suburban School Purchasing Cooperative</t>
  </si>
  <si>
    <t>X</t>
  </si>
  <si>
    <t>SELF - School Employees Loss Fund</t>
  </si>
  <si>
    <t>U.S. Department of Agriculture:</t>
  </si>
  <si>
    <t>18-4210</t>
  </si>
  <si>
    <t>19-4210</t>
  </si>
  <si>
    <t>18-4220</t>
  </si>
  <si>
    <t>19-4220</t>
  </si>
  <si>
    <t xml:space="preserve">                          Total U.S. Department of Agriculture</t>
  </si>
  <si>
    <t>U.S. Department of Health and Human Services:</t>
  </si>
  <si>
    <t xml:space="preserve">     Medicaid Administrative Outreach</t>
  </si>
  <si>
    <t>N/A</t>
  </si>
  <si>
    <t>U.S. Department of Education</t>
  </si>
  <si>
    <t xml:space="preserve">   Passed througth Illinois State Board of Education</t>
  </si>
  <si>
    <t xml:space="preserve">     Title I - Low Income </t>
  </si>
  <si>
    <t xml:space="preserve">     Title I - School Improvement &amp; Accountability</t>
  </si>
  <si>
    <t xml:space="preserve">     Title III - Immigrant Education</t>
  </si>
  <si>
    <t xml:space="preserve">     Title IVA - Student Support &amp; Acad Enrich</t>
  </si>
  <si>
    <t xml:space="preserve">          Total Illinois State Board of Education</t>
  </si>
  <si>
    <t xml:space="preserve">         Total SWCASE</t>
  </si>
  <si>
    <t xml:space="preserve">                            Total U.S. Department of Education</t>
  </si>
  <si>
    <t>19-4300</t>
  </si>
  <si>
    <t>19-4932</t>
  </si>
  <si>
    <t>19-4905</t>
  </si>
  <si>
    <t>19-4909</t>
  </si>
  <si>
    <t>19-4400</t>
  </si>
  <si>
    <t>19-4620</t>
  </si>
  <si>
    <t>19-4600</t>
  </si>
  <si>
    <t>19-4331</t>
  </si>
  <si>
    <t>18-4909</t>
  </si>
  <si>
    <t>COOK</t>
  </si>
  <si>
    <t>6611 W. 171ST STREET</t>
  </si>
  <si>
    <t>TINLEY PARK</t>
  </si>
  <si>
    <t>JCHARLESTON@DISTRICT146.ORG</t>
  </si>
  <si>
    <t>DR. JEFF STAWICK</t>
  </si>
  <si>
    <t>JSTAWICK2@DISTRICT146.ORG</t>
  </si>
  <si>
    <t>708-614-4500</t>
  </si>
  <si>
    <t>708-614-8892</t>
  </si>
  <si>
    <t>Mueller &amp; Co., LLP</t>
  </si>
  <si>
    <t xml:space="preserve">ED MCCORMICK </t>
  </si>
  <si>
    <t>14300 RAVINIA AVE.</t>
  </si>
  <si>
    <t>ORLAND PARK</t>
  </si>
  <si>
    <t>IL</t>
  </si>
  <si>
    <t>708-349-6999</t>
  </si>
  <si>
    <t>708-349-6639</t>
  </si>
  <si>
    <t>066-003328</t>
  </si>
  <si>
    <t>Ed McCormick &lt;emccormick@muellercpa.com&gt;</t>
  </si>
  <si>
    <t>Mueller &amp; Co. LLP</t>
  </si>
  <si>
    <t>GO Bonds</t>
  </si>
  <si>
    <t>1,4</t>
  </si>
  <si>
    <t>Passed Thru Southwest Cook County Co-Op Assoc. of Special Education (SWCASE)</t>
  </si>
  <si>
    <t xml:space="preserve">  Passed through Illinois Board of Education:</t>
  </si>
  <si>
    <t xml:space="preserve">    National School Lunch Program</t>
  </si>
  <si>
    <t xml:space="preserve">    School Breakfast Program</t>
  </si>
  <si>
    <t xml:space="preserve">    Commodities (non cash)</t>
  </si>
  <si>
    <t xml:space="preserve">    DoD Fruits &amp; Vegetables - Commodities  (non cash)</t>
  </si>
  <si>
    <t xml:space="preserve">  Passed through Illinois Department of Healhcare and Family Services</t>
  </si>
  <si>
    <t>TOTAL FEDERAL AWARDS</t>
  </si>
  <si>
    <r>
      <t xml:space="preserve">The accompanying Schedule of Expenditures of Federal Awards includes the federal grant activity of </t>
    </r>
    <r>
      <rPr>
        <b/>
        <sz val="9"/>
        <rFont val="Calibri"/>
        <family val="2"/>
        <scheme val="minor"/>
      </rPr>
      <t>Community Consolidated School District 146</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</si>
  <si>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</si>
  <si>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UNMODIFIED</t>
  </si>
  <si>
    <r>
      <t xml:space="preserve">The following amounts were expended in the form of non-cash assistance by </t>
    </r>
    <r>
      <rPr>
        <b/>
        <sz val="9"/>
        <rFont val="Calibri"/>
        <family val="2"/>
        <scheme val="minor"/>
      </rPr>
      <t>Community Consolidated School District 146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</si>
  <si>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Special Education Cluster:</t>
  </si>
  <si>
    <t xml:space="preserve">     IDEA Flow Through</t>
  </si>
  <si>
    <t xml:space="preserve">     PreSchool Flow Through</t>
  </si>
  <si>
    <t xml:space="preserve">     IDEA Flow Through (M)</t>
  </si>
  <si>
    <t xml:space="preserve">     Pre-School Flow Through (M)</t>
  </si>
  <si>
    <t xml:space="preserve">     Title II - Teacher Quality (M)</t>
  </si>
  <si>
    <t xml:space="preserve">     Title III - Language</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</si>
  <si>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</si>
  <si>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</si>
  <si>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</si>
  <si>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prepared in accordance with GASB Statement No. 34.</t>
  </si>
  <si>
    <t>Closing procedures do not include the preparation of government-wide financial statements in accordance with GASB Statement No. 34.</t>
  </si>
  <si>
    <t>Management's closing procedures should include the preparation of government-wide financial statements in accordance with GASB Statement No. 34.</t>
  </si>
  <si>
    <t>Management disagrees with the recommendation.</t>
  </si>
  <si>
    <t>The District maintains its accounting records on the cash basis during the year.</t>
  </si>
  <si>
    <t>The District's accounting records are kept on the cash basis during the year and converted to the modified accrual basis at year end with audit adjustments.</t>
  </si>
  <si>
    <t>The District does not adjust receivable and payable balances during the year.</t>
  </si>
  <si>
    <t>Users of interim financial statements are not viewing accurate modified accrual basis information.</t>
  </si>
  <si>
    <t>Month end closing procedures do not include steps to adjust the receivable and payable balances.</t>
  </si>
  <si>
    <t>Management should implement procedures to adjust receivable and payable balances on a monthly basis.</t>
  </si>
  <si>
    <t>All Federal Programs</t>
  </si>
  <si>
    <t>Management does not prepare government-wide financial statements in accordance with GASB Statement No. 34. See financial statement finding #2019-001.</t>
  </si>
  <si>
    <t>The District maintains its accounting records on the cash basis during the year.  See financial statement finding #2019-002.</t>
  </si>
  <si>
    <t>The data collection form for the audit year end June 30, 2017 was not submitted to the Federal Audit Clearinghouse (FAC) on a timely basis.</t>
  </si>
  <si>
    <t>The data collection form for the audit year June 30, 2017 was submitted 23 days late.</t>
  </si>
  <si>
    <t>The compliance requirement for reporting was not met.</t>
  </si>
  <si>
    <t>Management agrees with the recommendation.</t>
  </si>
  <si>
    <t>2018-001</t>
  </si>
  <si>
    <t>Repeated as 2019-001</t>
  </si>
  <si>
    <t>2018-002</t>
  </si>
  <si>
    <t>Repeated as 2019-002</t>
  </si>
  <si>
    <t>2018-003</t>
  </si>
  <si>
    <t>Repeated as 2019-003</t>
  </si>
  <si>
    <t>2018-004</t>
  </si>
  <si>
    <t>Repeated as 2019-004</t>
  </si>
  <si>
    <t>n/a</t>
  </si>
  <si>
    <t>Transportation - Pupil Transportation - Pupil Trans.</t>
  </si>
  <si>
    <t>AMERICAN SCHOOL BUS</t>
  </si>
  <si>
    <t>ED - Special Services - Professional Services</t>
  </si>
  <si>
    <t>ATC HEALTHCARE SERVICES</t>
  </si>
  <si>
    <t>OM-OM-Communication</t>
  </si>
  <si>
    <t>CALL ONE</t>
  </si>
  <si>
    <t>ED - BOE - Professional Services</t>
  </si>
  <si>
    <t>ECRA GROUP</t>
  </si>
  <si>
    <t>ED - Staff Services - Professional Services</t>
  </si>
  <si>
    <t>HORTON GROUP</t>
  </si>
  <si>
    <t>OM - Security Services - Equip Repair</t>
  </si>
  <si>
    <t>JOHNSON CONTROLS SECURITY</t>
  </si>
  <si>
    <t>ED - Elementary - Supplies</t>
  </si>
  <si>
    <t>MARTIN WHALEN</t>
  </si>
  <si>
    <t>ED - BOE - Audit &amp; Financials Services</t>
  </si>
  <si>
    <t>MUELLER &amp; CO., LLP</t>
  </si>
  <si>
    <t>ED - Elementary - Equipment Repair</t>
  </si>
  <si>
    <t>NEXT DAY PLUS</t>
  </si>
  <si>
    <t>ED - Food Services - Supplies</t>
  </si>
  <si>
    <t>ORLAND SCHOOL DISTRICT 135</t>
  </si>
  <si>
    <t>PETERS &amp; ASSOCIATES</t>
  </si>
  <si>
    <t>OM - OM - Equipment Repair</t>
  </si>
  <si>
    <t>PRECISION CONTROL SYSTEMS</t>
  </si>
  <si>
    <t>SUNRISE SOUTHWEST</t>
  </si>
  <si>
    <t>#20 - See findings 2019-001 through 2019-004</t>
  </si>
  <si>
    <t>Per 2 CFR Part 200, Subpart F (2 CFR Section 200.512): (a) General. (1) The audit must be completed and the data collection form and reporting package described must be submitted within the earlier of 30 calendar days after receipt of the auditor's report, or nine months after the end of the audit period.</t>
  </si>
  <si>
    <t>40-2550-300</t>
  </si>
  <si>
    <t>20-2540-300</t>
  </si>
  <si>
    <t>10-2100-300</t>
  </si>
  <si>
    <t>10-2300-300</t>
  </si>
  <si>
    <t>10-2640-300</t>
  </si>
  <si>
    <t>10-1000-400</t>
  </si>
  <si>
    <t>10-1000-300</t>
  </si>
  <si>
    <t>10-2560-400</t>
  </si>
  <si>
    <t>20-2900-300</t>
  </si>
  <si>
    <t>#20 - See findings 2019-001 through 2019-005</t>
  </si>
  <si>
    <t>Education Fund Acc#1999 - $86,607  Surplus sales proceeds / other income</t>
  </si>
  <si>
    <t>O&amp;M Fund Acc#1999 - $1,455 Other income</t>
  </si>
  <si>
    <t>Education Fund Acc#3299 - $1,683 Library Grant</t>
  </si>
  <si>
    <t>Education Fund Acc#2900 - $298 Other support services</t>
  </si>
  <si>
    <t>Page 24 Long term debt differences - Defeased debt</t>
  </si>
  <si>
    <t>We recommend the data collection form be submitted within the earlier of 30 calendar days after receipt of the auditor's report, or nine months after the end of the audit period.</t>
  </si>
  <si>
    <t>Due to an oversight on missing the deadline, the data collection form was not timely submitted.</t>
  </si>
  <si>
    <t>CCSD 146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</si>
</sst>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7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vertical="center" wrapText="1"/>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applyAlignment="1" applyProtection="1">
      <alignment textRotation="180" wrapText="1"/>
    </xf>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73">
    <cellStyle name="Comma" xfId="1" builtinId="3"/>
    <cellStyle name="Comma 2" xfId="67" xr:uid="{00000000-0005-0000-0000-000001000000}"/>
    <cellStyle name="Hyperlink" xfId="2" builtinId="8"/>
    <cellStyle name="Hyperlink 2" xfId="15" xr:uid="{00000000-0005-0000-0000-000003000000}"/>
    <cellStyle name="Normal" xfId="0" builtinId="0"/>
    <cellStyle name="Normal 10" xfId="30" xr:uid="{00000000-0005-0000-0000-000005000000}"/>
    <cellStyle name="Normal 11" xfId="31" xr:uid="{00000000-0005-0000-0000-000006000000}"/>
    <cellStyle name="Normal 12" xfId="32" xr:uid="{00000000-0005-0000-0000-000007000000}"/>
    <cellStyle name="Normal 2" xfId="3" xr:uid="{00000000-0005-0000-0000-000008000000}"/>
    <cellStyle name="Normal 3" xfId="4" xr:uid="{00000000-0005-0000-0000-000009000000}"/>
    <cellStyle name="Normal 3 10" xfId="24" xr:uid="{00000000-0005-0000-0000-00000A000000}"/>
    <cellStyle name="Normal 3 11" xfId="19" xr:uid="{00000000-0005-0000-0000-00000B000000}"/>
    <cellStyle name="Normal 3 2" xfId="14" xr:uid="{00000000-0005-0000-0000-00000C000000}"/>
    <cellStyle name="Normal 3 2 2" xfId="18" xr:uid="{00000000-0005-0000-0000-00000D000000}"/>
    <cellStyle name="Normal 3 2 2 2" xfId="34" xr:uid="{00000000-0005-0000-0000-00000E000000}"/>
    <cellStyle name="Normal 3 2 2 3" xfId="23" xr:uid="{00000000-0005-0000-0000-00000F000000}"/>
    <cellStyle name="Normal 3 2 3" xfId="28" xr:uid="{00000000-0005-0000-0000-000010000000}"/>
    <cellStyle name="Normal 3 2 3 2" xfId="56" xr:uid="{00000000-0005-0000-0000-000011000000}"/>
    <cellStyle name="Normal 3 2 4" xfId="45" xr:uid="{00000000-0005-0000-0000-000012000000}"/>
    <cellStyle name="Normal 3 2 4 2" xfId="59" xr:uid="{00000000-0005-0000-0000-000013000000}"/>
    <cellStyle name="Normal 3 2 5" xfId="54" xr:uid="{00000000-0005-0000-0000-000014000000}"/>
    <cellStyle name="Normal 3 2 6" xfId="25" xr:uid="{00000000-0005-0000-0000-000015000000}"/>
    <cellStyle name="Normal 3 2 7" xfId="20" xr:uid="{00000000-0005-0000-0000-000016000000}"/>
    <cellStyle name="Normal 3 3" xfId="33" xr:uid="{00000000-0005-0000-0000-000017000000}"/>
    <cellStyle name="Normal 3 3 2" xfId="42" xr:uid="{00000000-0005-0000-0000-000018000000}"/>
    <cellStyle name="Normal 3 3 2 2" xfId="50" xr:uid="{00000000-0005-0000-0000-000019000000}"/>
    <cellStyle name="Normal 3 3 2 2 2" xfId="71" xr:uid="{00000000-0005-0000-0000-00001A000000}"/>
    <cellStyle name="Normal 3 3 2 3" xfId="64" xr:uid="{00000000-0005-0000-0000-00001B000000}"/>
    <cellStyle name="Normal 3 3 3" xfId="47" xr:uid="{00000000-0005-0000-0000-00001C000000}"/>
    <cellStyle name="Normal 3 3 3 2" xfId="60" xr:uid="{00000000-0005-0000-0000-00001D000000}"/>
    <cellStyle name="Normal 3 3 4" xfId="58" xr:uid="{00000000-0005-0000-0000-00001E000000}"/>
    <cellStyle name="Normal 3 4" xfId="40" xr:uid="{00000000-0005-0000-0000-00001F000000}"/>
    <cellStyle name="Normal 3 4 2" xfId="43" xr:uid="{00000000-0005-0000-0000-000020000000}"/>
    <cellStyle name="Normal 3 4 2 2" xfId="51" xr:uid="{00000000-0005-0000-0000-000021000000}"/>
    <cellStyle name="Normal 3 4 2 2 2" xfId="72" xr:uid="{00000000-0005-0000-0000-000022000000}"/>
    <cellStyle name="Normal 3 4 2 3" xfId="65" xr:uid="{00000000-0005-0000-0000-000023000000}"/>
    <cellStyle name="Normal 3 4 3" xfId="48" xr:uid="{00000000-0005-0000-0000-000024000000}"/>
    <cellStyle name="Normal 3 4 3 2" xfId="69" xr:uid="{00000000-0005-0000-0000-000025000000}"/>
    <cellStyle name="Normal 3 4 4" xfId="62" xr:uid="{00000000-0005-0000-0000-000026000000}"/>
    <cellStyle name="Normal 3 5" xfId="29" xr:uid="{00000000-0005-0000-0000-000027000000}"/>
    <cellStyle name="Normal 3 5 2" xfId="46" xr:uid="{00000000-0005-0000-0000-000028000000}"/>
    <cellStyle name="Normal 3 5 2 2" xfId="61" xr:uid="{00000000-0005-0000-0000-000029000000}"/>
    <cellStyle name="Normal 3 5 3" xfId="55" xr:uid="{00000000-0005-0000-0000-00002A000000}"/>
    <cellStyle name="Normal 3 6" xfId="41" xr:uid="{00000000-0005-0000-0000-00002B000000}"/>
    <cellStyle name="Normal 3 6 2" xfId="49" xr:uid="{00000000-0005-0000-0000-00002C000000}"/>
    <cellStyle name="Normal 3 6 2 2" xfId="70" xr:uid="{00000000-0005-0000-0000-00002D000000}"/>
    <cellStyle name="Normal 3 6 3" xfId="63" xr:uid="{00000000-0005-0000-0000-00002E000000}"/>
    <cellStyle name="Normal 3 7" xfId="27" xr:uid="{00000000-0005-0000-0000-00002F000000}"/>
    <cellStyle name="Normal 3 7 2" xfId="57" xr:uid="{00000000-0005-0000-0000-000030000000}"/>
    <cellStyle name="Normal 3 8" xfId="44" xr:uid="{00000000-0005-0000-0000-000031000000}"/>
    <cellStyle name="Normal 3 8 2" xfId="68" xr:uid="{00000000-0005-0000-0000-000032000000}"/>
    <cellStyle name="Normal 3 9" xfId="52" xr:uid="{00000000-0005-0000-0000-000033000000}"/>
    <cellStyle name="Normal 4" xfId="16" xr:uid="{00000000-0005-0000-0000-000034000000}"/>
    <cellStyle name="Normal 4 2" xfId="35" xr:uid="{00000000-0005-0000-0000-000035000000}"/>
    <cellStyle name="Normal 4 3" xfId="53" xr:uid="{00000000-0005-0000-0000-000036000000}"/>
    <cellStyle name="Normal 4 4" xfId="26" xr:uid="{00000000-0005-0000-0000-000037000000}"/>
    <cellStyle name="Normal 4 5" xfId="21" xr:uid="{00000000-0005-0000-0000-000038000000}"/>
    <cellStyle name="Normal 5" xfId="17" xr:uid="{00000000-0005-0000-0000-000039000000}"/>
    <cellStyle name="Normal 5 2" xfId="36" xr:uid="{00000000-0005-0000-0000-00003A000000}"/>
    <cellStyle name="Normal 5 3" xfId="22" xr:uid="{00000000-0005-0000-0000-00003B000000}"/>
    <cellStyle name="Normal 6" xfId="37" xr:uid="{00000000-0005-0000-0000-00003C000000}"/>
    <cellStyle name="Normal 7" xfId="38" xr:uid="{00000000-0005-0000-0000-00003D000000}"/>
    <cellStyle name="Normal 8" xfId="66" xr:uid="{00000000-0005-0000-0000-00003E000000}"/>
    <cellStyle name="Normal 9" xfId="39" xr:uid="{00000000-0005-0000-0000-00003F000000}"/>
    <cellStyle name="Normal_AFRPG3" xfId="5" xr:uid="{00000000-0005-0000-0000-000040000000}"/>
    <cellStyle name="Normal_AFRPG41" xfId="6" xr:uid="{00000000-0005-0000-0000-000041000000}"/>
    <cellStyle name="Normal_AFRPG47" xfId="7" xr:uid="{00000000-0005-0000-0000-000042000000}"/>
    <cellStyle name="Normal_AFRPG56" xfId="8" xr:uid="{00000000-0005-0000-0000-000043000000}"/>
    <cellStyle name="Normal_AFRPG59" xfId="9" xr:uid="{00000000-0005-0000-0000-000044000000}"/>
    <cellStyle name="Normal_AFRPG63" xfId="10" xr:uid="{00000000-0005-0000-0000-000045000000}"/>
    <cellStyle name="Normal_AFRPG64" xfId="11" xr:uid="{00000000-0005-0000-0000-000046000000}"/>
    <cellStyle name="Normal_COVER" xfId="12" xr:uid="{00000000-0005-0000-0000-000047000000}"/>
    <cellStyle name="Normal_THRESHOLD CALCULATOR v3" xfId="13" xr:uid="{00000000-0005-0000-0000-00004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4</xdr:row>
          <xdr:rowOff>19050</xdr:rowOff>
        </xdr:from>
        <xdr:to>
          <xdr:col>1</xdr:col>
          <xdr:colOff>1028700</xdr:colOff>
          <xdr:row>8</xdr:row>
          <xdr:rowOff>57150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7"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6" t="s">
        <v>405</v>
      </c>
      <c r="J1" s="1997"/>
      <c r="K1" s="1997"/>
      <c r="L1" s="1997"/>
      <c r="M1" s="1997"/>
      <c r="N1" s="1997"/>
      <c r="O1" s="1997"/>
      <c r="P1" s="1997"/>
      <c r="Q1" s="1997"/>
      <c r="R1" s="1997"/>
      <c r="S1" s="1997"/>
    </row>
    <row r="2" spans="1:28" ht="12" customHeight="1" x14ac:dyDescent="0.2">
      <c r="A2" s="47" t="s">
        <v>1990</v>
      </c>
      <c r="D2" s="48"/>
      <c r="I2" s="1998" t="s">
        <v>979</v>
      </c>
      <c r="J2" s="1997"/>
      <c r="K2" s="1997"/>
      <c r="L2" s="1997"/>
      <c r="M2" s="1997"/>
      <c r="N2" s="1997"/>
      <c r="O2" s="1997"/>
      <c r="P2" s="1997"/>
      <c r="Q2" s="1997"/>
      <c r="R2" s="1997"/>
      <c r="S2" s="1997"/>
    </row>
    <row r="3" spans="1:28" ht="12" customHeight="1" x14ac:dyDescent="0.2">
      <c r="A3" s="155" t="s">
        <v>1942</v>
      </c>
      <c r="B3" s="156"/>
      <c r="C3" s="156"/>
      <c r="D3" s="157"/>
      <c r="I3" s="1998" t="s">
        <v>52</v>
      </c>
      <c r="J3" s="1997"/>
      <c r="K3" s="1997"/>
      <c r="L3" s="1997"/>
      <c r="M3" s="1997"/>
      <c r="N3" s="1997"/>
      <c r="O3" s="1997"/>
      <c r="P3" s="1997"/>
      <c r="Q3" s="1997"/>
      <c r="R3" s="1997"/>
      <c r="S3" s="1997"/>
    </row>
    <row r="4" spans="1:28" ht="12" customHeight="1" x14ac:dyDescent="0.2">
      <c r="A4" s="37"/>
      <c r="I4" s="1998" t="s">
        <v>524</v>
      </c>
      <c r="J4" s="1997"/>
      <c r="K4" s="1997"/>
      <c r="L4" s="1997"/>
      <c r="M4" s="1997"/>
      <c r="N4" s="1997"/>
      <c r="O4" s="1997"/>
      <c r="P4" s="1997"/>
      <c r="Q4" s="1997"/>
      <c r="R4" s="1997"/>
      <c r="S4" s="1997"/>
    </row>
    <row r="5" spans="1:28" ht="14.1" customHeight="1" x14ac:dyDescent="0.2">
      <c r="B5" s="104" t="s">
        <v>2067</v>
      </c>
      <c r="C5" s="26" t="s">
        <v>910</v>
      </c>
      <c r="D5" s="84"/>
      <c r="E5" s="84"/>
      <c r="H5" s="38"/>
      <c r="I5" s="2006" t="s">
        <v>680</v>
      </c>
      <c r="J5" s="2005"/>
      <c r="K5" s="2005"/>
      <c r="L5" s="2005"/>
      <c r="M5" s="2005"/>
      <c r="N5" s="2005"/>
      <c r="O5" s="2005"/>
      <c r="P5" s="2005"/>
      <c r="Q5" s="2005"/>
      <c r="R5" s="2005"/>
      <c r="S5" s="2005"/>
    </row>
    <row r="6" spans="1:28" ht="14.1" customHeight="1" x14ac:dyDescent="0.2">
      <c r="B6" s="104"/>
      <c r="C6" s="26" t="s">
        <v>911</v>
      </c>
      <c r="D6" s="84"/>
      <c r="E6" s="84"/>
      <c r="I6" s="2004" t="s">
        <v>883</v>
      </c>
      <c r="J6" s="2005"/>
      <c r="K6" s="2005"/>
      <c r="L6" s="2005"/>
      <c r="M6" s="2005"/>
      <c r="N6" s="2005"/>
      <c r="O6" s="2005"/>
      <c r="P6" s="2005"/>
      <c r="Q6" s="2005"/>
      <c r="R6" s="2005"/>
      <c r="S6" s="2005"/>
    </row>
    <row r="7" spans="1:28" ht="12.2" customHeight="1" x14ac:dyDescent="0.2">
      <c r="I7" s="1999">
        <v>43646</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674</v>
      </c>
      <c r="J9" s="2002"/>
      <c r="K9" s="2002"/>
      <c r="L9" s="2002"/>
      <c r="M9" s="2002"/>
      <c r="N9" s="2002"/>
      <c r="O9" s="2002"/>
      <c r="P9" s="2002"/>
      <c r="Q9" s="2002"/>
      <c r="R9" s="2002"/>
      <c r="S9" s="2003"/>
      <c r="T9" s="2017" t="s">
        <v>533</v>
      </c>
      <c r="U9" s="2018"/>
      <c r="V9" s="2018"/>
      <c r="W9" s="2018"/>
      <c r="X9" s="2018"/>
      <c r="Y9" s="2018"/>
      <c r="Z9" s="2018"/>
      <c r="AA9" s="2019"/>
    </row>
    <row r="10" spans="1:28" ht="13.5" customHeight="1" x14ac:dyDescent="0.2">
      <c r="A10" s="2024" t="s">
        <v>675</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955</v>
      </c>
      <c r="B11" s="2028"/>
      <c r="C11" s="2028"/>
      <c r="D11" s="2028"/>
      <c r="E11" s="2028"/>
      <c r="F11" s="2028"/>
      <c r="G11" s="2028"/>
      <c r="H11" s="2029"/>
      <c r="I11" s="27"/>
      <c r="J11" s="74"/>
      <c r="K11" s="27"/>
      <c r="O11" s="148"/>
      <c r="P11" s="100" t="s">
        <v>201</v>
      </c>
      <c r="Q11" s="30"/>
      <c r="R11" s="28"/>
      <c r="S11" s="27"/>
      <c r="T11" s="2021"/>
      <c r="U11" s="2022"/>
      <c r="V11" s="2022"/>
      <c r="W11" s="2022"/>
      <c r="X11" s="2022"/>
      <c r="Y11" s="2022"/>
      <c r="Z11" s="2022"/>
      <c r="AA11" s="2023"/>
    </row>
    <row r="12" spans="1:28" ht="13.5" customHeight="1" x14ac:dyDescent="0.2">
      <c r="A12" s="85" t="s">
        <v>925</v>
      </c>
      <c r="B12" s="76"/>
      <c r="C12" s="76"/>
      <c r="D12" s="76"/>
      <c r="E12" s="76"/>
      <c r="F12" s="76"/>
      <c r="G12" s="76"/>
      <c r="H12" s="53"/>
      <c r="I12" s="29"/>
      <c r="J12" s="30"/>
      <c r="K12" s="28"/>
      <c r="O12" s="149" t="s">
        <v>2067</v>
      </c>
      <c r="P12" s="100" t="s">
        <v>202</v>
      </c>
      <c r="Q12" s="74"/>
      <c r="R12" s="30"/>
      <c r="S12" s="30"/>
      <c r="T12" s="85" t="s">
        <v>265</v>
      </c>
      <c r="U12" s="51"/>
      <c r="V12" s="51"/>
      <c r="W12" s="51"/>
      <c r="X12" s="51"/>
      <c r="Y12" s="45"/>
      <c r="Z12" s="45"/>
      <c r="AA12" s="46"/>
    </row>
    <row r="13" spans="1:28" ht="13.5" customHeight="1" x14ac:dyDescent="0.2">
      <c r="A13" s="2031">
        <v>7016146004</v>
      </c>
      <c r="B13" s="2032"/>
      <c r="C13" s="2032"/>
      <c r="D13" s="2032"/>
      <c r="E13" s="2032"/>
      <c r="F13" s="2032"/>
      <c r="G13" s="2032"/>
      <c r="H13" s="2033"/>
      <c r="I13" s="31"/>
      <c r="J13" s="30"/>
      <c r="K13" s="28"/>
      <c r="L13" s="30"/>
      <c r="M13" s="30"/>
      <c r="N13" s="30"/>
      <c r="O13" s="30"/>
      <c r="P13" s="30"/>
      <c r="Q13" s="30"/>
      <c r="R13" s="30"/>
      <c r="S13" s="30"/>
      <c r="T13" s="2036" t="s">
        <v>2104</v>
      </c>
      <c r="U13" s="2037"/>
      <c r="V13" s="2037"/>
      <c r="W13" s="2037"/>
      <c r="X13" s="2037"/>
      <c r="Y13" s="2038"/>
      <c r="Z13" s="2038"/>
      <c r="AA13" s="203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0" t="s">
        <v>2096</v>
      </c>
      <c r="B15" s="2034"/>
      <c r="C15" s="2034"/>
      <c r="D15" s="2034"/>
      <c r="E15" s="2034"/>
      <c r="F15" s="2034"/>
      <c r="G15" s="2034"/>
      <c r="H15" s="2035"/>
      <c r="T15" s="2040" t="s">
        <v>2105</v>
      </c>
      <c r="U15" s="1984"/>
      <c r="V15" s="1984"/>
      <c r="W15" s="1984"/>
      <c r="X15" s="1984"/>
      <c r="Y15" s="2041"/>
      <c r="Z15" s="2041"/>
      <c r="AA15" s="204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0" t="s">
        <v>2207</v>
      </c>
      <c r="B17" s="1991"/>
      <c r="C17" s="1991"/>
      <c r="D17" s="1991"/>
      <c r="E17" s="1991"/>
      <c r="F17" s="1991"/>
      <c r="G17" s="1991"/>
      <c r="H17" s="2016"/>
      <c r="T17" s="2047" t="s">
        <v>2106</v>
      </c>
      <c r="U17" s="2048"/>
      <c r="V17" s="2048"/>
      <c r="W17" s="2048"/>
      <c r="X17" s="2048"/>
      <c r="Y17" s="2048"/>
      <c r="Z17" s="2048"/>
      <c r="AA17" s="2049"/>
    </row>
    <row r="18" spans="1:27" ht="13.5" customHeight="1" x14ac:dyDescent="0.2">
      <c r="A18" s="85" t="s">
        <v>530</v>
      </c>
      <c r="B18" s="76"/>
      <c r="C18" s="72"/>
      <c r="D18" s="76"/>
      <c r="E18" s="76"/>
      <c r="F18" s="76"/>
      <c r="G18" s="76"/>
      <c r="H18" s="56"/>
      <c r="I18" s="2015" t="s">
        <v>676</v>
      </c>
      <c r="J18" s="1966"/>
      <c r="K18" s="1966"/>
      <c r="L18" s="1966"/>
      <c r="M18" s="1966"/>
      <c r="N18" s="1966"/>
      <c r="O18" s="1966"/>
      <c r="P18" s="1966"/>
      <c r="Q18" s="1966"/>
      <c r="R18" s="1966"/>
      <c r="S18" s="1967"/>
      <c r="T18" s="85" t="s">
        <v>711</v>
      </c>
      <c r="U18" s="51"/>
      <c r="V18" s="72"/>
      <c r="W18" s="50"/>
      <c r="X18" s="85" t="s">
        <v>266</v>
      </c>
      <c r="Y18" s="81"/>
      <c r="Z18" s="159" t="s">
        <v>677</v>
      </c>
      <c r="AA18" s="46"/>
    </row>
    <row r="19" spans="1:27" ht="13.5" customHeight="1" x14ac:dyDescent="0.2">
      <c r="A19" s="2030" t="s">
        <v>2097</v>
      </c>
      <c r="B19" s="1976"/>
      <c r="C19" s="1976"/>
      <c r="D19" s="1976"/>
      <c r="E19" s="1976"/>
      <c r="F19" s="1976"/>
      <c r="G19" s="1976"/>
      <c r="H19" s="1956"/>
      <c r="I19" s="30"/>
      <c r="J19" s="99"/>
      <c r="K19" s="40"/>
      <c r="L19" s="38"/>
      <c r="M19" s="112" t="s">
        <v>315</v>
      </c>
      <c r="P19" s="27"/>
      <c r="Q19" s="27"/>
      <c r="R19" s="27"/>
      <c r="S19" s="31"/>
      <c r="T19" s="2030" t="s">
        <v>2107</v>
      </c>
      <c r="U19" s="1955"/>
      <c r="V19" s="1955"/>
      <c r="W19" s="1956"/>
      <c r="X19" s="2045" t="s">
        <v>2108</v>
      </c>
      <c r="Y19" s="2046"/>
      <c r="Z19" s="2043">
        <v>60462</v>
      </c>
      <c r="AA19" s="204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4" t="s">
        <v>2098</v>
      </c>
      <c r="B21" s="1955"/>
      <c r="C21" s="1955"/>
      <c r="D21" s="1955"/>
      <c r="E21" s="1955"/>
      <c r="F21" s="1955"/>
      <c r="G21" s="1955"/>
      <c r="H21" s="1956"/>
      <c r="I21" s="2010" t="s">
        <v>678</v>
      </c>
      <c r="J21" s="2005"/>
      <c r="K21" s="2005"/>
      <c r="L21" s="2005"/>
      <c r="M21" s="2005"/>
      <c r="N21" s="2005"/>
      <c r="O21" s="2005"/>
      <c r="P21" s="2005"/>
      <c r="Q21" s="2005"/>
      <c r="R21" s="2005"/>
      <c r="S21" s="2011"/>
      <c r="T21" s="2054" t="s">
        <v>2109</v>
      </c>
      <c r="U21" s="2055"/>
      <c r="V21" s="2055"/>
      <c r="W21" s="2055"/>
      <c r="X21" s="2060" t="s">
        <v>2110</v>
      </c>
      <c r="Y21" s="2061"/>
      <c r="Z21" s="2061"/>
      <c r="AA21" s="2062"/>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7" t="s">
        <v>2099</v>
      </c>
      <c r="B23" s="2008"/>
      <c r="C23" s="2008"/>
      <c r="D23" s="2008"/>
      <c r="E23" s="2008"/>
      <c r="F23" s="2008"/>
      <c r="G23" s="2008"/>
      <c r="H23" s="2009"/>
      <c r="T23" s="1990" t="s">
        <v>2111</v>
      </c>
      <c r="U23" s="2053"/>
      <c r="V23" s="2053"/>
      <c r="W23" s="2053"/>
      <c r="X23" s="2057">
        <v>44530</v>
      </c>
      <c r="Y23" s="2058"/>
      <c r="Z23" s="2058"/>
      <c r="AA23" s="2059"/>
    </row>
    <row r="24" spans="1:27" ht="14.1" customHeight="1" x14ac:dyDescent="0.2">
      <c r="A24" s="88" t="s">
        <v>677</v>
      </c>
      <c r="B24" s="49"/>
      <c r="C24" s="49"/>
      <c r="D24" s="49"/>
      <c r="E24" s="49"/>
      <c r="F24" s="49"/>
      <c r="G24" s="49"/>
      <c r="H24" s="61"/>
      <c r="J24" s="1977">
        <f>IF(B5="x",IF(AUDITCHECK!D29="AFR form Incomplete.","",IF(AUDITCHECK!D29="Deficit reduction plan is required.","School District must complete a deficit reduction plan in the 2019-2020 Budget",)),"")</f>
        <v>0</v>
      </c>
      <c r="K24" s="1977"/>
      <c r="L24" s="1977"/>
      <c r="M24" s="1977"/>
      <c r="N24" s="1977"/>
      <c r="O24" s="1977"/>
      <c r="P24" s="1977"/>
      <c r="Q24" s="1977"/>
      <c r="R24" s="1977"/>
      <c r="S24" s="1978"/>
      <c r="T24" s="105" t="s">
        <v>531</v>
      </c>
      <c r="U24" s="106"/>
      <c r="V24" s="106"/>
      <c r="W24" s="106"/>
      <c r="X24" s="107"/>
      <c r="Y24" s="107"/>
      <c r="Z24" s="107"/>
      <c r="AA24" s="108"/>
    </row>
    <row r="25" spans="1:27" ht="14.1" customHeight="1" x14ac:dyDescent="0.2">
      <c r="A25" s="1954">
        <v>60477</v>
      </c>
      <c r="B25" s="1955"/>
      <c r="C25" s="1955"/>
      <c r="D25" s="1955"/>
      <c r="E25" s="1955"/>
      <c r="F25" s="1955"/>
      <c r="G25" s="1955"/>
      <c r="H25" s="1956"/>
      <c r="I25" s="113"/>
      <c r="J25" s="1979"/>
      <c r="K25" s="1979"/>
      <c r="L25" s="1979"/>
      <c r="M25" s="1979"/>
      <c r="N25" s="1979"/>
      <c r="O25" s="1979"/>
      <c r="P25" s="1979"/>
      <c r="Q25" s="1979"/>
      <c r="R25" s="1979"/>
      <c r="S25" s="1980"/>
      <c r="T25" s="2050" t="s">
        <v>2112</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5" t="s">
        <v>1511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2067</v>
      </c>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0" t="s">
        <v>2100</v>
      </c>
      <c r="B38" s="1991"/>
      <c r="C38" s="1991"/>
      <c r="D38" s="1991"/>
      <c r="E38" s="1991"/>
      <c r="F38" s="1955"/>
      <c r="G38" s="1955"/>
      <c r="H38" s="1956"/>
      <c r="I38" s="1983"/>
      <c r="J38" s="1984"/>
      <c r="K38" s="1984"/>
      <c r="L38" s="1984"/>
      <c r="M38" s="1984"/>
      <c r="N38" s="1984"/>
      <c r="O38" s="1984"/>
      <c r="P38" s="1985"/>
      <c r="Q38" s="1985"/>
      <c r="R38" s="1985"/>
      <c r="S38" s="1986"/>
      <c r="T38" s="2040"/>
      <c r="U38" s="1984"/>
      <c r="V38" s="1984"/>
      <c r="W38" s="1984"/>
      <c r="X38" s="1985"/>
      <c r="Y38" s="1985"/>
      <c r="Z38" s="1985"/>
      <c r="AA38" s="1986"/>
    </row>
    <row r="39" spans="1:27" ht="12" customHeight="1" x14ac:dyDescent="0.2">
      <c r="A39" s="1960" t="s">
        <v>531</v>
      </c>
      <c r="B39" s="1961"/>
      <c r="C39" s="72"/>
      <c r="D39" s="69"/>
      <c r="E39" s="69"/>
      <c r="F39" s="79"/>
      <c r="G39" s="69"/>
      <c r="H39" s="56"/>
      <c r="I39" s="1960" t="s">
        <v>531</v>
      </c>
      <c r="J39" s="1961"/>
      <c r="K39" s="1961"/>
      <c r="L39" s="1961"/>
      <c r="M39" s="1961"/>
      <c r="N39" s="67"/>
      <c r="O39" s="72"/>
      <c r="P39" s="72"/>
      <c r="Q39" s="78"/>
      <c r="R39" s="72"/>
      <c r="S39" s="56"/>
      <c r="T39" s="72" t="s">
        <v>531</v>
      </c>
      <c r="U39" s="51"/>
      <c r="V39" s="72"/>
      <c r="W39" s="50"/>
      <c r="X39" s="78"/>
      <c r="Y39" s="45"/>
      <c r="Z39" s="45"/>
      <c r="AA39" s="46"/>
    </row>
    <row r="40" spans="1:27" ht="13.5" customHeight="1" x14ac:dyDescent="0.2">
      <c r="A40" s="1968" t="s">
        <v>2101</v>
      </c>
      <c r="B40" s="1969"/>
      <c r="C40" s="1970"/>
      <c r="D40" s="1970"/>
      <c r="E40" s="1970"/>
      <c r="F40" s="1971"/>
      <c r="G40" s="1971"/>
      <c r="H40" s="1972"/>
      <c r="I40" s="1993"/>
      <c r="J40" s="1994"/>
      <c r="K40" s="1994"/>
      <c r="L40" s="1994"/>
      <c r="M40" s="1994"/>
      <c r="N40" s="1994"/>
      <c r="O40" s="1994"/>
      <c r="P40" s="1994"/>
      <c r="Q40" s="1994"/>
      <c r="R40" s="1994"/>
      <c r="S40" s="1995"/>
      <c r="T40" s="1993"/>
      <c r="U40" s="2056"/>
      <c r="V40" s="1994"/>
      <c r="W40" s="1994"/>
      <c r="X40" s="1994"/>
      <c r="Y40" s="1994"/>
      <c r="Z40" s="1994"/>
      <c r="AA40" s="199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2" t="s">
        <v>2102</v>
      </c>
      <c r="B42" s="1974"/>
      <c r="C42" s="1975"/>
      <c r="D42" s="1973" t="s">
        <v>2103</v>
      </c>
      <c r="E42" s="1974"/>
      <c r="F42" s="1974"/>
      <c r="G42" s="1974"/>
      <c r="H42" s="1975"/>
      <c r="I42" s="1957"/>
      <c r="J42" s="1958"/>
      <c r="K42" s="1958"/>
      <c r="L42" s="1958"/>
      <c r="M42" s="1958"/>
      <c r="N42" s="1958"/>
      <c r="O42" s="1959"/>
      <c r="P42" s="1992"/>
      <c r="Q42" s="1958"/>
      <c r="R42" s="1958"/>
      <c r="S42" s="1959"/>
      <c r="T42" s="1957"/>
      <c r="U42" s="1958"/>
      <c r="V42" s="1958"/>
      <c r="W42" s="1959"/>
      <c r="X42" s="1992"/>
      <c r="Y42" s="1958"/>
      <c r="Z42" s="1958"/>
      <c r="AA42" s="195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6" t="s">
        <v>1799</v>
      </c>
      <c r="B2" s="1528" t="s">
        <v>1948</v>
      </c>
      <c r="C2" s="714" t="s">
        <v>1949</v>
      </c>
      <c r="D2" s="714" t="s">
        <v>1950</v>
      </c>
      <c r="E2" s="714" t="s">
        <v>1951</v>
      </c>
      <c r="F2" s="714" t="s">
        <v>1952</v>
      </c>
    </row>
    <row r="3" spans="1:6" ht="12" customHeight="1" x14ac:dyDescent="0.2">
      <c r="A3" s="2197"/>
      <c r="B3" s="1525"/>
      <c r="C3" s="1526"/>
      <c r="D3" s="1527" t="s">
        <v>256</v>
      </c>
      <c r="E3" s="1526"/>
      <c r="F3" s="1527" t="s">
        <v>257</v>
      </c>
    </row>
    <row r="4" spans="1:6" ht="13.7" customHeight="1" x14ac:dyDescent="0.2">
      <c r="A4" s="715" t="s">
        <v>1155</v>
      </c>
      <c r="B4" s="1749">
        <f>'Revenues 9-14'!C5</f>
        <v>24978414</v>
      </c>
      <c r="C4" s="1524">
        <v>13486353</v>
      </c>
      <c r="D4" s="1752">
        <f>B4-C4</f>
        <v>11492061</v>
      </c>
      <c r="E4" s="1524">
        <v>26851313</v>
      </c>
      <c r="F4" s="1752">
        <f>E4-C4</f>
        <v>13364960</v>
      </c>
    </row>
    <row r="5" spans="1:6" ht="13.7" customHeight="1" x14ac:dyDescent="0.2">
      <c r="A5" s="715" t="s">
        <v>870</v>
      </c>
      <c r="B5" s="1750">
        <f>'Revenues 9-14'!D5</f>
        <v>3070134</v>
      </c>
      <c r="C5" s="585">
        <v>1656886</v>
      </c>
      <c r="D5" s="1753">
        <f t="shared" ref="D5:D18" si="0">B5-C5</f>
        <v>1413248</v>
      </c>
      <c r="E5" s="585">
        <v>3223900</v>
      </c>
      <c r="F5" s="1753">
        <f>E5-C5</f>
        <v>1567014</v>
      </c>
    </row>
    <row r="6" spans="1:6" ht="13.7" customHeight="1" x14ac:dyDescent="0.2">
      <c r="A6" s="715" t="s">
        <v>411</v>
      </c>
      <c r="B6" s="1750">
        <f>'Revenues 9-14'!E5</f>
        <v>2522180</v>
      </c>
      <c r="C6" s="585">
        <v>1617383</v>
      </c>
      <c r="D6" s="1753">
        <f t="shared" si="0"/>
        <v>904797</v>
      </c>
      <c r="E6" s="585">
        <f>2124397+1024741</f>
        <v>3149138</v>
      </c>
      <c r="F6" s="1753">
        <f t="shared" ref="F6:F18" si="1">E6-C6</f>
        <v>1531755</v>
      </c>
    </row>
    <row r="7" spans="1:6" ht="13.7" customHeight="1" x14ac:dyDescent="0.2">
      <c r="A7" s="715" t="s">
        <v>155</v>
      </c>
      <c r="B7" s="1750">
        <f>'Revenues 9-14'!F5</f>
        <v>1690662</v>
      </c>
      <c r="C7" s="585">
        <v>962715</v>
      </c>
      <c r="D7" s="1753">
        <f t="shared" si="0"/>
        <v>727947</v>
      </c>
      <c r="E7" s="585">
        <v>1874600</v>
      </c>
      <c r="F7" s="1753">
        <f t="shared" si="1"/>
        <v>911885</v>
      </c>
    </row>
    <row r="8" spans="1:6" ht="13.7" customHeight="1" x14ac:dyDescent="0.2">
      <c r="A8" s="715" t="s">
        <v>1179</v>
      </c>
      <c r="B8" s="1750">
        <f>'Revenues 9-14'!G5</f>
        <v>473308</v>
      </c>
      <c r="C8" s="585">
        <v>222179</v>
      </c>
      <c r="D8" s="1753">
        <f t="shared" si="0"/>
        <v>251129</v>
      </c>
      <c r="E8" s="585">
        <v>432600</v>
      </c>
      <c r="F8" s="1753">
        <f t="shared" si="1"/>
        <v>210421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279330</v>
      </c>
      <c r="C10" s="585">
        <v>150778</v>
      </c>
      <c r="D10" s="1753">
        <f t="shared" si="0"/>
        <v>128552</v>
      </c>
      <c r="E10" s="585">
        <v>293550</v>
      </c>
      <c r="F10" s="1753">
        <f t="shared" si="1"/>
        <v>142772</v>
      </c>
    </row>
    <row r="11" spans="1:6" x14ac:dyDescent="0.2">
      <c r="A11" s="715" t="s">
        <v>409</v>
      </c>
      <c r="B11" s="1750">
        <f>'Revenues 9-14'!J5</f>
        <v>249202</v>
      </c>
      <c r="C11" s="585">
        <v>108493</v>
      </c>
      <c r="D11" s="1753">
        <f t="shared" si="0"/>
        <v>140709</v>
      </c>
      <c r="E11" s="585">
        <v>211150</v>
      </c>
      <c r="F11" s="1753">
        <f t="shared" si="1"/>
        <v>102657</v>
      </c>
    </row>
    <row r="12" spans="1:6" ht="13.7" customHeight="1" x14ac:dyDescent="0.2">
      <c r="A12" s="715" t="s">
        <v>157</v>
      </c>
      <c r="B12" s="1750">
        <f>'Revenues 9-14'!K5</f>
        <v>4904</v>
      </c>
      <c r="C12" s="585">
        <v>2596</v>
      </c>
      <c r="D12" s="1753">
        <f t="shared" si="0"/>
        <v>2308</v>
      </c>
      <c r="E12" s="585">
        <v>5150</v>
      </c>
      <c r="F12" s="1753">
        <f t="shared" si="1"/>
        <v>2554</v>
      </c>
    </row>
    <row r="13" spans="1:6" ht="13.7" customHeight="1" x14ac:dyDescent="0.2">
      <c r="A13" s="715" t="s">
        <v>936</v>
      </c>
      <c r="B13" s="1750">
        <f>SUM('Revenues 9-14'!C6:D6)</f>
        <v>4904</v>
      </c>
      <c r="C13" s="585">
        <v>2383</v>
      </c>
      <c r="D13" s="1753">
        <f t="shared" si="0"/>
        <v>2521</v>
      </c>
      <c r="E13" s="585">
        <v>5150</v>
      </c>
      <c r="F13" s="1753">
        <f t="shared" si="1"/>
        <v>2767</v>
      </c>
    </row>
    <row r="14" spans="1:6" ht="13.7" customHeight="1" x14ac:dyDescent="0.2">
      <c r="A14" s="715" t="s">
        <v>410</v>
      </c>
      <c r="B14" s="1750">
        <f>SUM('Revenues 9-14'!C7:D7,'Revenues 9-14'!F7:H7)</f>
        <v>4790</v>
      </c>
      <c r="C14" s="585">
        <v>2596</v>
      </c>
      <c r="D14" s="1753">
        <f t="shared" si="0"/>
        <v>2194</v>
      </c>
      <c r="E14" s="585">
        <v>5150</v>
      </c>
      <c r="F14" s="1753">
        <f t="shared" si="1"/>
        <v>2554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605611</v>
      </c>
      <c r="C16" s="585">
        <v>335636</v>
      </c>
      <c r="D16" s="1753">
        <f t="shared" si="0"/>
        <v>269975</v>
      </c>
      <c r="E16" s="585">
        <v>654050</v>
      </c>
      <c r="F16" s="1753">
        <f t="shared" si="1"/>
        <v>318414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33883439</v>
      </c>
      <c r="C19" s="1751">
        <f>SUM(C4:C18)</f>
        <v>18547998</v>
      </c>
      <c r="D19" s="1751">
        <f>SUM(D4:D18)</f>
        <v>15335441</v>
      </c>
      <c r="E19" s="1751">
        <f>SUM(E4:E18)</f>
        <v>36705751</v>
      </c>
      <c r="F19" s="1751">
        <f>SUM(F4:F18)</f>
        <v>18157753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G32" sqref="G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629</v>
      </c>
      <c r="B1" s="2216"/>
      <c r="C1" s="721"/>
    </row>
    <row r="2" spans="1:7" ht="33.75" x14ac:dyDescent="0.2">
      <c r="A2" s="2223" t="s">
        <v>1799</v>
      </c>
      <c r="B2" s="2224"/>
      <c r="C2" s="1884" t="s">
        <v>1953</v>
      </c>
      <c r="D2" s="723" t="s">
        <v>1954</v>
      </c>
      <c r="E2" s="723" t="s">
        <v>1955</v>
      </c>
      <c r="F2" s="1884" t="s">
        <v>1956</v>
      </c>
    </row>
    <row r="3" spans="1:7" ht="15.75" customHeight="1" x14ac:dyDescent="0.2">
      <c r="A3" s="2225" t="s">
        <v>1114</v>
      </c>
      <c r="B3" s="2226"/>
      <c r="C3" s="2219"/>
      <c r="D3" s="2220"/>
      <c r="E3" s="2220"/>
      <c r="F3" s="2221"/>
    </row>
    <row r="4" spans="1:7" ht="12.75" customHeight="1" thickBot="1" x14ac:dyDescent="0.25">
      <c r="A4" s="2213" t="s">
        <v>630</v>
      </c>
      <c r="B4" s="2214"/>
      <c r="C4" s="581"/>
      <c r="D4" s="581"/>
      <c r="E4" s="581"/>
      <c r="F4" s="1755">
        <f>SUM(C4+D4)-E4</f>
        <v>0</v>
      </c>
    </row>
    <row r="5" spans="1:7" ht="15.75" customHeight="1" thickTop="1" x14ac:dyDescent="0.2">
      <c r="A5" s="2217" t="s">
        <v>1110</v>
      </c>
      <c r="B5" s="2212"/>
      <c r="C5" s="2206"/>
      <c r="D5" s="2207"/>
      <c r="E5" s="2207"/>
      <c r="F5" s="220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9" t="s">
        <v>631</v>
      </c>
      <c r="B15" s="2210"/>
      <c r="C15" s="1755">
        <f>SUM(C6:C14)</f>
        <v>0</v>
      </c>
      <c r="D15" s="1755">
        <f>SUM(D6:D14)</f>
        <v>0</v>
      </c>
      <c r="E15" s="1755">
        <f>SUM(E6:E14)</f>
        <v>0</v>
      </c>
      <c r="F15" s="1755">
        <f>SUM(F6:F14)</f>
        <v>0</v>
      </c>
      <c r="G15" s="552"/>
    </row>
    <row r="16" spans="1:7" s="202" customFormat="1" ht="15.75" customHeight="1" thickTop="1" x14ac:dyDescent="0.2">
      <c r="A16" s="2222" t="s">
        <v>1111</v>
      </c>
      <c r="B16" s="2212"/>
      <c r="C16" s="2206"/>
      <c r="D16" s="2207"/>
      <c r="E16" s="2207"/>
      <c r="F16" s="2208"/>
    </row>
    <row r="17" spans="1:11" ht="12.75" customHeight="1" thickBot="1" x14ac:dyDescent="0.25">
      <c r="A17" s="2204" t="s">
        <v>64</v>
      </c>
      <c r="B17" s="2205"/>
      <c r="C17" s="726"/>
      <c r="D17" s="585"/>
      <c r="E17" s="726"/>
      <c r="F17" s="1755">
        <f>SUM(C17+D17)-E17</f>
        <v>0</v>
      </c>
    </row>
    <row r="18" spans="1:11" ht="12.75" customHeight="1" thickTop="1" thickBot="1" x14ac:dyDescent="0.25">
      <c r="A18" s="2204" t="s">
        <v>6</v>
      </c>
      <c r="B18" s="2205"/>
      <c r="C18" s="726"/>
      <c r="D18" s="585"/>
      <c r="E18" s="726"/>
      <c r="F18" s="1755">
        <f>SUM(C18+D18)-E18</f>
        <v>0</v>
      </c>
    </row>
    <row r="19" spans="1:11" ht="12.75" customHeight="1" thickTop="1" thickBot="1" x14ac:dyDescent="0.25">
      <c r="A19" s="2204" t="s">
        <v>388</v>
      </c>
      <c r="B19" s="2205"/>
      <c r="C19" s="726"/>
      <c r="D19" s="585"/>
      <c r="E19" s="726"/>
      <c r="F19" s="1755">
        <f>SUM(C19+D19)-E19</f>
        <v>0</v>
      </c>
    </row>
    <row r="20" spans="1:11" ht="12.75" customHeight="1" thickTop="1" thickBot="1" x14ac:dyDescent="0.25">
      <c r="A20" s="2204" t="s">
        <v>448</v>
      </c>
      <c r="B20" s="2205"/>
      <c r="C20" s="726"/>
      <c r="D20" s="585"/>
      <c r="E20" s="726"/>
      <c r="F20" s="1755">
        <f>SUM(C20+D20)-E20</f>
        <v>0</v>
      </c>
    </row>
    <row r="21" spans="1:11" ht="14.25" thickTop="1" thickBot="1" x14ac:dyDescent="0.25">
      <c r="A21" s="2209" t="s">
        <v>632</v>
      </c>
      <c r="B21" s="2210"/>
      <c r="C21" s="1755">
        <f>SUM(C17:C20)</f>
        <v>0</v>
      </c>
      <c r="D21" s="1755">
        <f>SUM(D17:D20)</f>
        <v>0</v>
      </c>
      <c r="E21" s="1755">
        <f>SUM(E17:E20)</f>
        <v>0</v>
      </c>
      <c r="F21" s="1755">
        <f>SUM(F17:F20)</f>
        <v>0</v>
      </c>
      <c r="G21" s="552"/>
    </row>
    <row r="22" spans="1:11" ht="15.75" customHeight="1" thickTop="1" x14ac:dyDescent="0.2">
      <c r="A22" s="2211" t="s">
        <v>1112</v>
      </c>
      <c r="B22" s="2212"/>
      <c r="C22" s="2206"/>
      <c r="D22" s="2207"/>
      <c r="E22" s="2207"/>
      <c r="F22" s="2208"/>
    </row>
    <row r="23" spans="1:11" ht="13.5" thickBot="1" x14ac:dyDescent="0.25">
      <c r="A23" s="2213" t="s">
        <v>633</v>
      </c>
      <c r="B23" s="2214"/>
      <c r="C23" s="581"/>
      <c r="D23" s="581"/>
      <c r="E23" s="581"/>
      <c r="F23" s="1755">
        <f>SUM(C23+D23)-E23</f>
        <v>0</v>
      </c>
      <c r="G23" s="552"/>
    </row>
    <row r="24" spans="1:11" ht="15.75" customHeight="1" thickTop="1" x14ac:dyDescent="0.2">
      <c r="A24" s="2211" t="s">
        <v>1113</v>
      </c>
      <c r="B24" s="2212"/>
      <c r="C24" s="2206"/>
      <c r="D24" s="2207"/>
      <c r="E24" s="2207"/>
      <c r="F24" s="2208"/>
    </row>
    <row r="25" spans="1:11" ht="13.5" thickBot="1" x14ac:dyDescent="0.25">
      <c r="A25" s="2213" t="s">
        <v>634</v>
      </c>
      <c r="B25" s="2214"/>
      <c r="C25" s="581"/>
      <c r="D25" s="581"/>
      <c r="E25" s="581"/>
      <c r="F25" s="1755">
        <f>SUM(C25+D25)-E25</f>
        <v>0</v>
      </c>
      <c r="G25" s="552"/>
    </row>
    <row r="26" spans="1:11" ht="15.75" customHeight="1" thickTop="1" x14ac:dyDescent="0.2">
      <c r="A26" s="2217" t="s">
        <v>657</v>
      </c>
      <c r="B26" s="2212"/>
      <c r="C26" s="727"/>
      <c r="D26" s="727"/>
      <c r="E26" s="727"/>
      <c r="F26" s="728"/>
    </row>
    <row r="27" spans="1:11" ht="13.5" thickBot="1" x14ac:dyDescent="0.25">
      <c r="A27" s="2209" t="s">
        <v>1070</v>
      </c>
      <c r="B27" s="2210"/>
      <c r="C27" s="585"/>
      <c r="D27" s="585"/>
      <c r="E27" s="585"/>
      <c r="F27" s="1755">
        <f>SUM(C27+D27)-E27</f>
        <v>0</v>
      </c>
      <c r="G27" s="552"/>
    </row>
    <row r="28" spans="1:11" ht="7.5" customHeight="1" thickTop="1" x14ac:dyDescent="0.2">
      <c r="A28" s="593"/>
    </row>
    <row r="29" spans="1:11" ht="23.25" customHeight="1" x14ac:dyDescent="0.2">
      <c r="A29" s="2215" t="s">
        <v>582</v>
      </c>
      <c r="B29" s="2216"/>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2114</v>
      </c>
      <c r="B31" s="1941">
        <v>43312</v>
      </c>
      <c r="C31" s="1942">
        <v>21110000</v>
      </c>
      <c r="D31" s="1944">
        <v>6</v>
      </c>
      <c r="E31" s="734"/>
      <c r="F31" s="734">
        <v>14000000</v>
      </c>
      <c r="G31" s="734">
        <v>7110000</v>
      </c>
      <c r="H31" s="734">
        <v>1325000</v>
      </c>
      <c r="I31" s="1756">
        <f>((E31+F31)-H31)+G31</f>
        <v>19785000</v>
      </c>
      <c r="J31" s="734">
        <v>19785000</v>
      </c>
      <c r="K31" s="736"/>
    </row>
    <row r="32" spans="1:11" ht="12" customHeight="1" x14ac:dyDescent="0.2">
      <c r="A32" s="732" t="s">
        <v>2114</v>
      </c>
      <c r="B32" s="1941">
        <v>38018</v>
      </c>
      <c r="C32" s="1942">
        <v>6650000</v>
      </c>
      <c r="D32" s="1944" t="s">
        <v>2115</v>
      </c>
      <c r="E32" s="734">
        <v>5630000</v>
      </c>
      <c r="F32" s="734"/>
      <c r="G32" s="734"/>
      <c r="H32" s="734">
        <v>1450000</v>
      </c>
      <c r="I32" s="1756">
        <f>((E32+F32)-H32)+G32</f>
        <v>4180000</v>
      </c>
      <c r="J32" s="734">
        <v>3006555</v>
      </c>
      <c r="K32" s="736"/>
    </row>
    <row r="33" spans="1:11" ht="12" customHeight="1" x14ac:dyDescent="0.2">
      <c r="A33" s="732" t="s">
        <v>2114</v>
      </c>
      <c r="B33" s="1941">
        <v>38456</v>
      </c>
      <c r="C33" s="1942">
        <v>3975000</v>
      </c>
      <c r="D33" s="1944">
        <v>3</v>
      </c>
      <c r="E33" s="734">
        <v>1000000</v>
      </c>
      <c r="F33" s="734"/>
      <c r="G33" s="734"/>
      <c r="H33" s="734">
        <v>345000</v>
      </c>
      <c r="I33" s="1756">
        <f t="shared" ref="I33:I48" si="1">((E33+F33)-H33)+G33</f>
        <v>655000</v>
      </c>
      <c r="J33" s="734">
        <v>0</v>
      </c>
      <c r="K33" s="736"/>
    </row>
    <row r="34" spans="1:11" ht="12" customHeight="1" x14ac:dyDescent="0.2">
      <c r="A34" s="732" t="s">
        <v>2114</v>
      </c>
      <c r="B34" s="1941">
        <v>39601</v>
      </c>
      <c r="C34" s="1942">
        <v>14395000</v>
      </c>
      <c r="D34" s="1944">
        <v>6</v>
      </c>
      <c r="E34" s="734">
        <v>7730000</v>
      </c>
      <c r="F34" s="734"/>
      <c r="G34" s="734">
        <v>-7730000</v>
      </c>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46130000</v>
      </c>
      <c r="D49" s="745"/>
      <c r="E49" s="1756">
        <f t="shared" ref="E49:J49" si="2">SUM(E31:E48)</f>
        <v>14360000</v>
      </c>
      <c r="F49" s="1756">
        <f t="shared" si="2"/>
        <v>14000000</v>
      </c>
      <c r="G49" s="1756">
        <f t="shared" si="2"/>
        <v>-620000</v>
      </c>
      <c r="H49" s="1756">
        <f t="shared" si="2"/>
        <v>3120000</v>
      </c>
      <c r="I49" s="1756">
        <f t="shared" si="2"/>
        <v>24620000</v>
      </c>
      <c r="J49" s="1756">
        <f t="shared" si="2"/>
        <v>22791555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8" t="s">
        <v>584</v>
      </c>
      <c r="C52" s="2199"/>
      <c r="D52" s="2199"/>
      <c r="E52" s="749" t="s">
        <v>845</v>
      </c>
      <c r="F52" s="2200"/>
      <c r="G52" s="2201"/>
      <c r="H52" s="736"/>
      <c r="I52" s="736"/>
      <c r="J52" s="746"/>
    </row>
    <row r="53" spans="1:11" ht="11.25" customHeight="1" x14ac:dyDescent="0.2">
      <c r="A53" s="750" t="s">
        <v>913</v>
      </c>
      <c r="B53" s="751" t="s">
        <v>951</v>
      </c>
      <c r="C53" s="746"/>
      <c r="D53" s="737"/>
      <c r="E53" s="749" t="s">
        <v>497</v>
      </c>
      <c r="F53" s="2202"/>
      <c r="G53" s="2203"/>
      <c r="H53" s="736"/>
      <c r="I53" s="736"/>
      <c r="J53" s="746"/>
    </row>
    <row r="54" spans="1:11" ht="11.25" customHeight="1" x14ac:dyDescent="0.2">
      <c r="A54" s="752" t="s">
        <v>914</v>
      </c>
      <c r="B54" s="747" t="s">
        <v>952</v>
      </c>
      <c r="C54" s="746"/>
      <c r="D54" s="737"/>
      <c r="E54" s="749" t="s">
        <v>498</v>
      </c>
      <c r="F54" s="2202"/>
      <c r="G54" s="220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856</v>
      </c>
      <c r="B1" s="2228"/>
      <c r="C1" s="2228"/>
      <c r="D1" s="2228"/>
      <c r="E1" s="2228"/>
      <c r="F1" s="2228"/>
      <c r="G1" s="2229"/>
      <c r="H1" s="1530"/>
      <c r="I1" s="760"/>
      <c r="J1" s="433"/>
    </row>
    <row r="2" spans="1:11" ht="26.25" x14ac:dyDescent="0.2">
      <c r="A2" s="2246" t="s">
        <v>1677</v>
      </c>
      <c r="B2" s="2247"/>
      <c r="C2" s="2247"/>
      <c r="D2" s="2247"/>
      <c r="E2" s="2248"/>
      <c r="F2" s="761" t="s">
        <v>904</v>
      </c>
      <c r="G2" s="762" t="s">
        <v>1674</v>
      </c>
      <c r="H2" s="762" t="s">
        <v>410</v>
      </c>
      <c r="I2" s="762" t="s">
        <v>1158</v>
      </c>
      <c r="J2" s="762" t="s">
        <v>1809</v>
      </c>
      <c r="K2" s="762" t="s">
        <v>138</v>
      </c>
    </row>
    <row r="3" spans="1:11" x14ac:dyDescent="0.2">
      <c r="A3" s="2249" t="s">
        <v>1961</v>
      </c>
      <c r="B3" s="2250"/>
      <c r="C3" s="2250"/>
      <c r="D3" s="2250"/>
      <c r="E3" s="2251"/>
      <c r="F3" s="763"/>
      <c r="G3" s="764"/>
      <c r="H3" s="764"/>
      <c r="I3" s="764"/>
      <c r="J3" s="765"/>
      <c r="K3" s="765"/>
    </row>
    <row r="4" spans="1:11" x14ac:dyDescent="0.2">
      <c r="A4" s="2252" t="s">
        <v>369</v>
      </c>
      <c r="B4" s="2253"/>
      <c r="C4" s="2253"/>
      <c r="D4" s="2253"/>
      <c r="E4" s="2199"/>
      <c r="F4" s="766"/>
      <c r="G4" s="767"/>
      <c r="H4" s="768"/>
      <c r="I4" s="767"/>
      <c r="J4" s="769"/>
      <c r="K4" s="769"/>
    </row>
    <row r="5" spans="1:11" x14ac:dyDescent="0.2">
      <c r="A5" s="2230" t="s">
        <v>1069</v>
      </c>
      <c r="B5" s="2231"/>
      <c r="C5" s="2231"/>
      <c r="D5" s="2231"/>
      <c r="E5" s="2232"/>
      <c r="F5" s="770" t="s">
        <v>848</v>
      </c>
      <c r="G5" s="771"/>
      <c r="H5" s="764">
        <v>4790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0" t="s">
        <v>1810</v>
      </c>
      <c r="B10" s="2231"/>
      <c r="C10" s="2231"/>
      <c r="D10" s="2231"/>
      <c r="E10" s="2233"/>
      <c r="F10" s="783" t="s">
        <v>862</v>
      </c>
      <c r="G10" s="782"/>
      <c r="H10" s="784"/>
      <c r="I10" s="764"/>
      <c r="J10" s="765"/>
      <c r="K10" s="765"/>
    </row>
    <row r="11" spans="1:11" x14ac:dyDescent="0.2">
      <c r="A11" s="2230" t="s">
        <v>160</v>
      </c>
      <c r="B11" s="2231"/>
      <c r="C11" s="2231"/>
      <c r="D11" s="2231"/>
      <c r="E11" s="2232"/>
      <c r="F11" s="770" t="s">
        <v>852</v>
      </c>
      <c r="G11" s="771"/>
      <c r="H11" s="764"/>
      <c r="I11" s="764"/>
      <c r="J11" s="765"/>
      <c r="K11" s="773"/>
    </row>
    <row r="12" spans="1:11" ht="13.5" thickBot="1" x14ac:dyDescent="0.25">
      <c r="A12" s="2257" t="s">
        <v>905</v>
      </c>
      <c r="B12" s="2258"/>
      <c r="C12" s="2258"/>
      <c r="D12" s="2258"/>
      <c r="E12" s="2259"/>
      <c r="F12" s="1757"/>
      <c r="G12" s="1758">
        <f>SUM(G5:G11)</f>
        <v>0</v>
      </c>
      <c r="H12" s="1758">
        <f>SUM(H5:H11)</f>
        <v>4790</v>
      </c>
      <c r="I12" s="1758">
        <f>SUM(I5:I11)</f>
        <v>0</v>
      </c>
      <c r="J12" s="1758">
        <f>SUM(J5:J11)</f>
        <v>0</v>
      </c>
      <c r="K12" s="1758">
        <f>SUM(K5:K11)</f>
        <v>0</v>
      </c>
    </row>
    <row r="13" spans="1:11" ht="13.5" thickTop="1" x14ac:dyDescent="0.2">
      <c r="A13" s="2254" t="s">
        <v>370</v>
      </c>
      <c r="B13" s="2255"/>
      <c r="C13" s="2255"/>
      <c r="D13" s="2255"/>
      <c r="E13" s="2256"/>
      <c r="F13" s="785"/>
      <c r="G13" s="786"/>
      <c r="H13" s="787"/>
      <c r="I13" s="788"/>
      <c r="J13" s="788"/>
      <c r="K13" s="788"/>
    </row>
    <row r="14" spans="1:11" x14ac:dyDescent="0.2">
      <c r="A14" s="2237" t="s">
        <v>456</v>
      </c>
      <c r="B14" s="2237"/>
      <c r="C14" s="2237"/>
      <c r="D14" s="2237"/>
      <c r="E14" s="2238"/>
      <c r="F14" s="789" t="s">
        <v>854</v>
      </c>
      <c r="G14" s="782"/>
      <c r="H14" s="764">
        <v>4790</v>
      </c>
      <c r="I14" s="771"/>
      <c r="J14" s="773"/>
      <c r="K14" s="765"/>
    </row>
    <row r="15" spans="1:11" x14ac:dyDescent="0.2">
      <c r="A15" s="2231" t="s">
        <v>4</v>
      </c>
      <c r="B15" s="2231"/>
      <c r="C15" s="2231"/>
      <c r="D15" s="2231"/>
      <c r="E15" s="2232"/>
      <c r="F15" s="789" t="s">
        <v>855</v>
      </c>
      <c r="G15" s="771"/>
      <c r="H15" s="764"/>
      <c r="I15" s="764"/>
      <c r="J15" s="765"/>
      <c r="K15" s="765"/>
    </row>
    <row r="16" spans="1:11" x14ac:dyDescent="0.2">
      <c r="A16" s="2231" t="s">
        <v>298</v>
      </c>
      <c r="B16" s="2231"/>
      <c r="C16" s="2231"/>
      <c r="D16" s="2231"/>
      <c r="E16" s="2232"/>
      <c r="F16" s="789" t="s">
        <v>923</v>
      </c>
      <c r="G16" s="772"/>
      <c r="H16" s="767"/>
      <c r="I16" s="767"/>
      <c r="J16" s="769"/>
      <c r="K16" s="769"/>
    </row>
    <row r="17" spans="1:11" x14ac:dyDescent="0.2">
      <c r="A17" s="2262" t="s">
        <v>935</v>
      </c>
      <c r="B17" s="2262"/>
      <c r="C17" s="2262"/>
      <c r="D17" s="2262"/>
      <c r="E17" s="2263"/>
      <c r="F17" s="790"/>
      <c r="G17" s="791"/>
      <c r="H17" s="792"/>
      <c r="I17" s="792"/>
      <c r="J17" s="793"/>
      <c r="K17" s="794"/>
    </row>
    <row r="18" spans="1:11" x14ac:dyDescent="0.2">
      <c r="A18" s="2241" t="s">
        <v>368</v>
      </c>
      <c r="B18" s="2242"/>
      <c r="C18" s="2242"/>
      <c r="D18" s="2242"/>
      <c r="E18" s="2243"/>
      <c r="F18" s="789" t="s">
        <v>932</v>
      </c>
      <c r="G18" s="782"/>
      <c r="H18" s="782"/>
      <c r="I18" s="782"/>
      <c r="J18" s="765"/>
      <c r="K18" s="795"/>
    </row>
    <row r="19" spans="1:11" ht="21.75" customHeight="1" x14ac:dyDescent="0.2">
      <c r="A19" s="2239" t="s">
        <v>1806</v>
      </c>
      <c r="B19" s="2239"/>
      <c r="C19" s="2239"/>
      <c r="D19" s="2239"/>
      <c r="E19" s="2240"/>
      <c r="F19" s="789" t="s">
        <v>933</v>
      </c>
      <c r="G19" s="782"/>
      <c r="H19" s="782"/>
      <c r="I19" s="782"/>
      <c r="J19" s="765"/>
      <c r="K19" s="795"/>
    </row>
    <row r="20" spans="1:11" x14ac:dyDescent="0.2">
      <c r="A20" s="2241" t="s">
        <v>1811</v>
      </c>
      <c r="B20" s="2242"/>
      <c r="C20" s="2242"/>
      <c r="D20" s="2242"/>
      <c r="E20" s="2243"/>
      <c r="F20" s="789" t="s">
        <v>934</v>
      </c>
      <c r="G20" s="782"/>
      <c r="H20" s="782"/>
      <c r="I20" s="782"/>
      <c r="J20" s="765"/>
      <c r="K20" s="795"/>
    </row>
    <row r="21" spans="1:11" ht="13.5" thickBot="1" x14ac:dyDescent="0.25">
      <c r="A21" s="2260" t="s">
        <v>638</v>
      </c>
      <c r="B21" s="2260"/>
      <c r="C21" s="2260"/>
      <c r="D21" s="2260"/>
      <c r="E21" s="2260"/>
      <c r="F21" s="1759"/>
      <c r="G21" s="792"/>
      <c r="H21" s="796"/>
      <c r="I21" s="796"/>
      <c r="J21" s="1760">
        <f>SUM(J18:J20)</f>
        <v>0</v>
      </c>
      <c r="K21" s="793"/>
    </row>
    <row r="22" spans="1:11" ht="13.5" thickTop="1" x14ac:dyDescent="0.2">
      <c r="A22" s="2231" t="s">
        <v>1812</v>
      </c>
      <c r="B22" s="2231"/>
      <c r="C22" s="2231"/>
      <c r="D22" s="2231"/>
      <c r="E22" s="2232"/>
      <c r="F22" s="789" t="s">
        <v>862</v>
      </c>
      <c r="G22" s="782"/>
      <c r="H22" s="764"/>
      <c r="I22" s="764"/>
      <c r="J22" s="797"/>
      <c r="K22" s="765"/>
    </row>
    <row r="23" spans="1:11" ht="13.5" thickBot="1" x14ac:dyDescent="0.25">
      <c r="A23" s="2261" t="s">
        <v>906</v>
      </c>
      <c r="B23" s="2260"/>
      <c r="C23" s="2260"/>
      <c r="D23" s="2260"/>
      <c r="E23" s="2260"/>
      <c r="F23" s="1761"/>
      <c r="G23" s="1758">
        <f>SUM(G14:G16,G21,G22)</f>
        <v>0</v>
      </c>
      <c r="H23" s="1758">
        <f>SUM(H14:H16,H21,H22)</f>
        <v>4790</v>
      </c>
      <c r="I23" s="1758">
        <f>SUM(I14:I16,I21,I22)</f>
        <v>0</v>
      </c>
      <c r="J23" s="1758">
        <f>SUM(J14:J16,J21,J22)</f>
        <v>0</v>
      </c>
      <c r="K23" s="1758">
        <f>SUM(K14:K16,K21,K22)</f>
        <v>0</v>
      </c>
    </row>
    <row r="24" spans="1:11" ht="14.25" thickTop="1" thickBot="1" x14ac:dyDescent="0.25">
      <c r="A24" s="2261" t="s">
        <v>1962</v>
      </c>
      <c r="B24" s="2260"/>
      <c r="C24" s="2260"/>
      <c r="D24" s="2260"/>
      <c r="E24" s="226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4"/>
      <c r="I31" s="2235"/>
      <c r="J31" s="2235"/>
      <c r="K31" s="2235"/>
    </row>
    <row r="32" spans="1:11" x14ac:dyDescent="0.2">
      <c r="A32" s="809"/>
      <c r="B32" s="237"/>
      <c r="C32" s="237"/>
      <c r="D32" s="237"/>
      <c r="E32" s="805"/>
      <c r="F32" s="811" t="s">
        <v>540</v>
      </c>
      <c r="G32" s="764"/>
      <c r="H32" s="2236"/>
      <c r="I32" s="2235"/>
      <c r="J32" s="2235"/>
      <c r="K32" s="2235"/>
    </row>
    <row r="33" spans="1:11" ht="1.5" customHeight="1" x14ac:dyDescent="0.2">
      <c r="A33" s="812" t="s">
        <v>1169</v>
      </c>
      <c r="B33" s="364"/>
      <c r="C33" s="364"/>
      <c r="D33" s="364"/>
      <c r="E33" s="364"/>
      <c r="F33" s="364"/>
      <c r="G33" s="813"/>
      <c r="H33" s="2236"/>
      <c r="I33" s="2235"/>
      <c r="J33" s="2235"/>
      <c r="K33" s="223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44"/>
      <c r="C41" s="2244"/>
      <c r="D41" s="2244"/>
      <c r="E41" s="2244"/>
      <c r="F41" s="224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1906</v>
      </c>
      <c r="B1" s="2267"/>
      <c r="C1" s="2268"/>
      <c r="D1" s="826"/>
      <c r="E1" s="827"/>
      <c r="F1" s="827"/>
      <c r="G1" s="828"/>
      <c r="H1" s="829"/>
      <c r="I1" s="830"/>
      <c r="J1" s="2264"/>
      <c r="K1" s="2265"/>
      <c r="L1" s="2265"/>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5311469</v>
      </c>
      <c r="D5" s="841"/>
      <c r="E5" s="841"/>
      <c r="F5" s="1760">
        <f>(C5+D5)-E5</f>
        <v>5311469</v>
      </c>
      <c r="G5" s="837"/>
      <c r="H5" s="842"/>
      <c r="I5" s="842"/>
      <c r="J5" s="842"/>
      <c r="K5" s="793"/>
      <c r="L5" s="1769">
        <f>F5-K5</f>
        <v>5311469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45754550</v>
      </c>
      <c r="D8" s="844"/>
      <c r="E8" s="844"/>
      <c r="F8" s="1760">
        <f>(C8+D8)-E8</f>
        <v>45754550</v>
      </c>
      <c r="G8" s="843">
        <v>50</v>
      </c>
      <c r="H8" s="765">
        <v>15200804</v>
      </c>
      <c r="I8" s="765">
        <v>941737</v>
      </c>
      <c r="J8" s="765"/>
      <c r="K8" s="1769">
        <f>(H8+I8)-J8</f>
        <v>16142541</v>
      </c>
      <c r="L8" s="1769">
        <f>F8-K8</f>
        <v>29612009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8251004</v>
      </c>
      <c r="D10" s="846"/>
      <c r="E10" s="846"/>
      <c r="F10" s="1764">
        <f>(C10+D10)-E10</f>
        <v>8251004</v>
      </c>
      <c r="G10" s="843">
        <v>20</v>
      </c>
      <c r="H10" s="847">
        <v>3047843</v>
      </c>
      <c r="I10" s="847">
        <v>412550</v>
      </c>
      <c r="J10" s="847"/>
      <c r="K10" s="1769">
        <f>(H10+I10)-J10</f>
        <v>3460393</v>
      </c>
      <c r="L10" s="1769">
        <f>F10-K10</f>
        <v>4790611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14215728</v>
      </c>
      <c r="D12" s="844">
        <v>265804</v>
      </c>
      <c r="E12" s="844"/>
      <c r="F12" s="1760">
        <f>(C12+D12)-E12</f>
        <v>14481532</v>
      </c>
      <c r="G12" s="843">
        <v>10</v>
      </c>
      <c r="H12" s="765">
        <v>13269239</v>
      </c>
      <c r="I12" s="765">
        <v>203618</v>
      </c>
      <c r="J12" s="765"/>
      <c r="K12" s="1769">
        <f>(H12+I12)-J12</f>
        <v>13472857</v>
      </c>
      <c r="L12" s="1769">
        <f>F12-K12</f>
        <v>1008675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1421147</v>
      </c>
      <c r="D15" s="844">
        <v>15569840</v>
      </c>
      <c r="E15" s="844"/>
      <c r="F15" s="1760">
        <f>(C15+D15)-E15</f>
        <v>16990987</v>
      </c>
      <c r="G15" s="849" t="s">
        <v>862</v>
      </c>
      <c r="H15" s="781"/>
      <c r="I15" s="781"/>
      <c r="J15" s="781"/>
      <c r="K15" s="781"/>
      <c r="L15" s="1769">
        <f>F15-K15</f>
        <v>16990987</v>
      </c>
    </row>
    <row r="16" spans="1:14" ht="15" customHeight="1" thickTop="1" thickBot="1" x14ac:dyDescent="0.25">
      <c r="A16" s="1765" t="s">
        <v>643</v>
      </c>
      <c r="B16" s="1766">
        <v>200</v>
      </c>
      <c r="C16" s="1760">
        <f>SUM(C3,C5:C6,C8:C10,C12:C15)</f>
        <v>74953898</v>
      </c>
      <c r="D16" s="1760">
        <f>SUM(D3,D5:D6,D8:D10,D12:D15)</f>
        <v>15835644</v>
      </c>
      <c r="E16" s="1760">
        <f>SUM(E3,E5:E6,E8:E10,E12:E15)</f>
        <v>0</v>
      </c>
      <c r="F16" s="1760">
        <f>SUM(F3,F5:F6,F8:F10,F12:F15)</f>
        <v>90789542</v>
      </c>
      <c r="G16" s="843"/>
      <c r="H16" s="1760">
        <f>SUM(H3,H6,H8:H10,H12:H14,)</f>
        <v>31517886</v>
      </c>
      <c r="I16" s="1760">
        <f>SUM(I3,I6,I8:I10,I12:I14,)</f>
        <v>1557905</v>
      </c>
      <c r="J16" s="1760">
        <f>SUM(J3,J6,J8:J10,J12:J14,)</f>
        <v>0</v>
      </c>
      <c r="K16" s="1760">
        <f>(H16+I16)-J16</f>
        <v>33075791</v>
      </c>
      <c r="L16" s="1760">
        <f>F16-K16</f>
        <v>57713751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822284</v>
      </c>
      <c r="G17" s="837">
        <v>10</v>
      </c>
      <c r="H17" s="769"/>
      <c r="I17" s="1769">
        <f>F17/G17</f>
        <v>82228.399999999994</v>
      </c>
      <c r="J17" s="769"/>
      <c r="K17" s="795"/>
      <c r="L17" s="795"/>
    </row>
    <row r="18" spans="1:12" ht="14.25" thickTop="1" thickBot="1" x14ac:dyDescent="0.25">
      <c r="A18" s="1767" t="s">
        <v>685</v>
      </c>
      <c r="B18" s="1768"/>
      <c r="C18" s="771"/>
      <c r="D18" s="771"/>
      <c r="E18" s="771"/>
      <c r="F18" s="850"/>
      <c r="G18" s="851"/>
      <c r="H18" s="773"/>
      <c r="I18" s="1760">
        <f>SUM(I16,I17)</f>
        <v>1640133.4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1972</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31452381</v>
      </c>
      <c r="G8" s="865"/>
    </row>
    <row r="9" spans="1:7" x14ac:dyDescent="0.2">
      <c r="A9" s="869" t="s">
        <v>460</v>
      </c>
      <c r="B9" s="870" t="s">
        <v>1874</v>
      </c>
      <c r="C9" s="871"/>
      <c r="D9" s="869" t="s">
        <v>501</v>
      </c>
      <c r="E9" s="868"/>
      <c r="F9" s="1909">
        <f>'Expenditures 15-22'!K151</f>
        <v>3331364</v>
      </c>
      <c r="G9" s="872"/>
    </row>
    <row r="10" spans="1:7" x14ac:dyDescent="0.2">
      <c r="A10" s="869" t="s">
        <v>499</v>
      </c>
      <c r="B10" s="870" t="s">
        <v>1875</v>
      </c>
      <c r="C10" s="871"/>
      <c r="D10" s="869" t="s">
        <v>501</v>
      </c>
      <c r="E10" s="868"/>
      <c r="F10" s="1909">
        <f>'Expenditures 15-22'!K174</f>
        <v>3984235</v>
      </c>
      <c r="G10" s="872"/>
    </row>
    <row r="11" spans="1:7" x14ac:dyDescent="0.2">
      <c r="A11" s="869" t="s">
        <v>461</v>
      </c>
      <c r="B11" s="870" t="s">
        <v>1876</v>
      </c>
      <c r="C11" s="871"/>
      <c r="D11" s="869" t="s">
        <v>501</v>
      </c>
      <c r="E11" s="868"/>
      <c r="F11" s="1909">
        <f>'Expenditures 15-22'!K210</f>
        <v>1556616</v>
      </c>
      <c r="G11" s="872"/>
    </row>
    <row r="12" spans="1:7" x14ac:dyDescent="0.2">
      <c r="A12" s="869" t="s">
        <v>462</v>
      </c>
      <c r="B12" s="870" t="s">
        <v>1877</v>
      </c>
      <c r="C12" s="871"/>
      <c r="D12" s="869" t="s">
        <v>501</v>
      </c>
      <c r="E12" s="868"/>
      <c r="F12" s="1909">
        <f>'Expenditures 15-22'!K295</f>
        <v>1101687</v>
      </c>
      <c r="G12" s="872"/>
    </row>
    <row r="13" spans="1:7" x14ac:dyDescent="0.2">
      <c r="A13" s="869" t="s">
        <v>106</v>
      </c>
      <c r="B13" s="870" t="s">
        <v>1878</v>
      </c>
      <c r="C13" s="871"/>
      <c r="D13" s="869" t="s">
        <v>501</v>
      </c>
      <c r="E13" s="868"/>
      <c r="F13" s="1909">
        <f>'Expenditures 15-22'!K342</f>
        <v>199211</v>
      </c>
      <c r="G13" s="873"/>
    </row>
    <row r="14" spans="1:7" ht="12" customHeight="1" thickBot="1" x14ac:dyDescent="0.25">
      <c r="A14" s="1770"/>
      <c r="B14" s="1771"/>
      <c r="C14" s="1772"/>
      <c r="D14" s="1773" t="s">
        <v>501</v>
      </c>
      <c r="E14" s="1774" t="s">
        <v>958</v>
      </c>
      <c r="F14" s="1775">
        <f>SUM(F8:F13)</f>
        <v>41625494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262910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367880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175686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575472</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314933</v>
      </c>
      <c r="G52" s="865"/>
    </row>
    <row r="53" spans="1:7" x14ac:dyDescent="0.2">
      <c r="A53" s="869" t="s">
        <v>459</v>
      </c>
      <c r="B53" s="869" t="s">
        <v>1475</v>
      </c>
      <c r="C53" s="889">
        <f>'Expenditures 15-22'!B102</f>
        <v>4000</v>
      </c>
      <c r="D53" s="888" t="str">
        <f>'Expenditures 15-22'!A102</f>
        <v>Total Payments to Other Govt Units</v>
      </c>
      <c r="E53" s="868"/>
      <c r="F53" s="1913">
        <f>'Expenditures 15-22'!K102</f>
        <v>645361</v>
      </c>
      <c r="G53" s="865"/>
    </row>
    <row r="54" spans="1:7" x14ac:dyDescent="0.2">
      <c r="A54" s="869" t="s">
        <v>459</v>
      </c>
      <c r="B54" s="869" t="s">
        <v>1476</v>
      </c>
      <c r="C54" s="889" t="s">
        <v>982</v>
      </c>
      <c r="D54" s="885" t="s">
        <v>1095</v>
      </c>
      <c r="E54" s="868"/>
      <c r="F54" s="1913">
        <f>'Expenditures 15-22'!G114</f>
        <v>138227</v>
      </c>
      <c r="G54" s="865"/>
    </row>
    <row r="55" spans="1:7" x14ac:dyDescent="0.2">
      <c r="A55" s="869" t="s">
        <v>459</v>
      </c>
      <c r="B55" s="869" t="s">
        <v>1477</v>
      </c>
      <c r="C55" s="889" t="s">
        <v>982</v>
      </c>
      <c r="D55" s="885" t="s">
        <v>291</v>
      </c>
      <c r="E55" s="868"/>
      <c r="F55" s="1913">
        <f>'Expenditures 15-22'!I114</f>
        <v>551035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78093</v>
      </c>
      <c r="G58" s="865"/>
    </row>
    <row r="59" spans="1:7" x14ac:dyDescent="0.2">
      <c r="A59" s="893" t="s">
        <v>460</v>
      </c>
      <c r="B59" s="856" t="s">
        <v>1881</v>
      </c>
      <c r="C59" s="894" t="s">
        <v>982</v>
      </c>
      <c r="D59" s="856" t="s">
        <v>291</v>
      </c>
      <c r="F59" s="1916">
        <f>'Expenditures 15-22'!I151</f>
        <v>271249</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3120000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32893</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11275</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6545014</v>
      </c>
      <c r="G76" s="865"/>
    </row>
    <row r="77" spans="1:8" s="893" customFormat="1" ht="12" customHeight="1" thickTop="1" thickBot="1" x14ac:dyDescent="0.25">
      <c r="A77" s="1779"/>
      <c r="B77" s="1776"/>
      <c r="C77" s="1772"/>
      <c r="D77" s="1777" t="s">
        <v>1897</v>
      </c>
      <c r="E77" s="1774"/>
      <c r="F77" s="1780">
        <f>(F14-F76)</f>
        <v>35080480</v>
      </c>
      <c r="G77" s="869"/>
    </row>
    <row r="78" spans="1:8" s="893" customFormat="1" ht="12" customHeight="1" thickTop="1" x14ac:dyDescent="0.2">
      <c r="A78" s="1781"/>
      <c r="B78" s="1776"/>
      <c r="C78" s="1772"/>
      <c r="D78" s="1777" t="s">
        <v>2059</v>
      </c>
      <c r="E78" s="1774"/>
      <c r="F78" s="898">
        <v>2302.9</v>
      </c>
      <c r="G78" s="899"/>
      <c r="H78" s="869"/>
    </row>
    <row r="79" spans="1:8" s="893" customFormat="1" ht="12" customHeight="1" thickBot="1" x14ac:dyDescent="0.25">
      <c r="A79" s="1782"/>
      <c r="B79" s="1776"/>
      <c r="C79" s="1772"/>
      <c r="D79" s="1777" t="s">
        <v>1898</v>
      </c>
      <c r="E79" s="1774" t="s">
        <v>958</v>
      </c>
      <c r="F79" s="1783">
        <f>IF(F78&gt;0,F77/F78," Complete Line 78")</f>
        <v>15233.17556124886</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21070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204267</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171425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30603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63825</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1683</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5575</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742987</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415661</v>
      </c>
      <c r="G125" s="930"/>
    </row>
    <row r="126" spans="1:7" x14ac:dyDescent="0.2">
      <c r="A126" s="927" t="s">
        <v>668</v>
      </c>
      <c r="B126" s="927" t="s">
        <v>2021</v>
      </c>
      <c r="C126" s="932">
        <v>4300</v>
      </c>
      <c r="D126" s="933" t="str">
        <f>'Revenues 9-14'!A204</f>
        <v>Total Title I</v>
      </c>
      <c r="E126" s="906"/>
      <c r="F126" s="1789">
        <f>SUM('Revenues 9-14'!C204,'Revenues 9-14'!D204,'Revenues 9-14'!F204,'Revenues 9-14'!G204)</f>
        <v>402083</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23960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563104</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2347</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22878</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59474</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69217</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243390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889525</v>
      </c>
      <c r="G171" s="927"/>
    </row>
    <row r="172" spans="1:7" x14ac:dyDescent="0.2">
      <c r="A172" s="1918" t="s">
        <v>664</v>
      </c>
      <c r="B172" s="1919" t="s">
        <v>1917</v>
      </c>
      <c r="C172" s="1920">
        <v>3300</v>
      </c>
      <c r="D172" s="1921" t="s">
        <v>1920</v>
      </c>
      <c r="E172" s="906"/>
      <c r="F172" s="1906">
        <v>75260</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4008334</v>
      </c>
    </row>
    <row r="175" spans="1:7" ht="12" customHeight="1" x14ac:dyDescent="0.2">
      <c r="A175" s="1770"/>
      <c r="B175" s="1784"/>
      <c r="C175" s="1785"/>
      <c r="D175" s="1786" t="s">
        <v>2054</v>
      </c>
      <c r="E175" s="1787"/>
      <c r="F175" s="1789">
        <f>'PCTC-OEPP 27-28'!F77-F174</f>
        <v>31072146</v>
      </c>
    </row>
    <row r="176" spans="1:7" ht="12" customHeight="1" x14ac:dyDescent="0.2">
      <c r="A176" s="1770"/>
      <c r="B176" s="1784"/>
      <c r="C176" s="1785"/>
      <c r="D176" s="1786" t="s">
        <v>1814</v>
      </c>
      <c r="E176" s="1787"/>
      <c r="F176" s="1789">
        <f>'Cap Outlay Deprec 26'!I18</f>
        <v>1640133.4</v>
      </c>
    </row>
    <row r="177" spans="1:7" ht="12" customHeight="1" x14ac:dyDescent="0.2">
      <c r="A177" s="1770"/>
      <c r="B177" s="1784"/>
      <c r="C177" s="1785"/>
      <c r="D177" s="1786" t="s">
        <v>2055</v>
      </c>
      <c r="E177" s="1787"/>
      <c r="F177" s="1789">
        <f>F175+F176</f>
        <v>32712279.399999999</v>
      </c>
    </row>
    <row r="178" spans="1:7" ht="12" customHeight="1" x14ac:dyDescent="0.2">
      <c r="A178" s="1770"/>
      <c r="B178" s="1790"/>
      <c r="C178" s="1785"/>
      <c r="D178" s="1786" t="str">
        <f>D78</f>
        <v>9 Month ADA from District Average Daily Attendance/Prior General State Aid Inquiry 2018-2019</v>
      </c>
      <c r="E178" s="1787"/>
      <c r="F178" s="1791">
        <f>'PCTC-OEPP 27-28'!F78</f>
        <v>2302.9</v>
      </c>
      <c r="G178" s="930"/>
    </row>
    <row r="179" spans="1:7" ht="12" customHeight="1" thickBot="1" x14ac:dyDescent="0.25">
      <c r="A179" s="1770"/>
      <c r="B179" s="1790"/>
      <c r="C179" s="1785"/>
      <c r="D179" s="1786" t="s">
        <v>2056</v>
      </c>
      <c r="E179" s="1787" t="s">
        <v>1545</v>
      </c>
      <c r="F179" s="1792">
        <f>F177/F178</f>
        <v>14204.819749012115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C35" sqref="C3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3" t="s">
        <v>1815</v>
      </c>
      <c r="B4" s="2284"/>
      <c r="C4" s="2284"/>
      <c r="D4" s="2284"/>
      <c r="E4" s="2284"/>
      <c r="F4" s="2284"/>
      <c r="G4" s="2285"/>
    </row>
    <row r="5" spans="1:7" x14ac:dyDescent="0.25">
      <c r="A5" s="2286"/>
      <c r="B5" s="2287"/>
      <c r="C5" s="2287"/>
      <c r="D5" s="2287"/>
      <c r="E5" s="2287"/>
      <c r="F5" s="2287"/>
      <c r="G5" s="2288"/>
    </row>
    <row r="6" spans="1:7" ht="18.75" x14ac:dyDescent="0.25">
      <c r="A6" s="1534" t="s">
        <v>1816</v>
      </c>
      <c r="B6" s="1535"/>
      <c r="C6" s="1535"/>
      <c r="D6" s="1535"/>
      <c r="E6" s="1535"/>
      <c r="F6" s="1535"/>
      <c r="G6" s="1536"/>
    </row>
    <row r="7" spans="1:7" ht="30.75" customHeight="1" x14ac:dyDescent="0.25">
      <c r="A7" s="2289" t="s">
        <v>1929</v>
      </c>
      <c r="B7" s="2290"/>
      <c r="C7" s="2290"/>
      <c r="D7" s="2290"/>
      <c r="E7" s="2290"/>
      <c r="F7" s="2290"/>
      <c r="G7" s="2291"/>
    </row>
    <row r="8" spans="1:7" ht="15.75" customHeight="1" x14ac:dyDescent="0.25">
      <c r="A8" s="2292" t="s">
        <v>1904</v>
      </c>
      <c r="B8" s="2293"/>
      <c r="C8" s="2293"/>
      <c r="D8" s="2293"/>
      <c r="E8" s="2293"/>
      <c r="F8" s="2293"/>
      <c r="G8" s="2294"/>
    </row>
    <row r="9" spans="1:7" ht="35.25" customHeight="1" x14ac:dyDescent="0.25">
      <c r="A9" s="2289" t="s">
        <v>1932</v>
      </c>
      <c r="B9" s="2290"/>
      <c r="C9" s="2290"/>
      <c r="D9" s="2290"/>
      <c r="E9" s="2290"/>
      <c r="F9" s="2290"/>
      <c r="G9" s="2291"/>
    </row>
    <row r="10" spans="1:7" ht="15" customHeight="1" x14ac:dyDescent="0.25">
      <c r="A10" s="1537" t="s">
        <v>1817</v>
      </c>
      <c r="B10" s="1538"/>
      <c r="C10" s="1538"/>
      <c r="D10" s="1538"/>
      <c r="E10" s="1538"/>
      <c r="F10" s="1538"/>
      <c r="G10" s="1539"/>
    </row>
    <row r="11" spans="1:7" ht="17.25" customHeight="1" x14ac:dyDescent="0.25">
      <c r="A11" s="2289" t="s">
        <v>1931</v>
      </c>
      <c r="B11" s="2290"/>
      <c r="C11" s="2290"/>
      <c r="D11" s="2290"/>
      <c r="E11" s="2290"/>
      <c r="F11" s="2290"/>
      <c r="G11" s="2291"/>
    </row>
    <row r="12" spans="1:7" ht="15" customHeight="1" x14ac:dyDescent="0.25">
      <c r="A12" s="1537" t="s">
        <v>1822</v>
      </c>
      <c r="B12" s="1538"/>
      <c r="C12" s="1538"/>
      <c r="D12" s="1538"/>
      <c r="E12" s="1538"/>
      <c r="F12" s="1538"/>
      <c r="G12" s="1539"/>
    </row>
    <row r="13" spans="1:7" ht="32.25" customHeight="1" x14ac:dyDescent="0.25">
      <c r="A13" s="2280" t="s">
        <v>1973</v>
      </c>
      <c r="B13" s="2281"/>
      <c r="C13" s="2281"/>
      <c r="D13" s="2281"/>
      <c r="E13" s="2281"/>
      <c r="F13" s="2281"/>
      <c r="G13" s="2282"/>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0" t="s">
        <v>2164</v>
      </c>
      <c r="B17" s="1951" t="s">
        <v>2190</v>
      </c>
      <c r="C17" s="1952" t="s">
        <v>2165</v>
      </c>
      <c r="D17" s="1953">
        <v>952743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927743</v>
      </c>
      <c r="H17" s="1647"/>
    </row>
    <row r="18" spans="1:8" x14ac:dyDescent="0.25">
      <c r="A18" s="1950" t="s">
        <v>2166</v>
      </c>
      <c r="B18" s="1951" t="s">
        <v>2192</v>
      </c>
      <c r="C18" s="1952" t="s">
        <v>2167</v>
      </c>
      <c r="D18" s="1953">
        <v>45403</v>
      </c>
      <c r="E18" s="1540">
        <f t="shared" ref="E18:E140" si="2">IF(D18&lt;=25000,D18,IF(D18&gt;25000,25000,0))</f>
        <v>25000</v>
      </c>
      <c r="F18" s="1932">
        <f t="shared" si="1"/>
        <v>25000</v>
      </c>
      <c r="G18" s="1793">
        <f t="shared" ref="G18:G140" si="3">IF(F18=0,0,D18-F18)</f>
        <v>20403</v>
      </c>
    </row>
    <row r="19" spans="1:8" x14ac:dyDescent="0.25">
      <c r="A19" s="1950" t="s">
        <v>2168</v>
      </c>
      <c r="B19" s="1951" t="s">
        <v>2191</v>
      </c>
      <c r="C19" s="1952" t="s">
        <v>2169</v>
      </c>
      <c r="D19" s="1953">
        <v>42823</v>
      </c>
      <c r="E19" s="1540">
        <f t="shared" si="2"/>
        <v>25000</v>
      </c>
      <c r="F19" s="1932">
        <f t="shared" si="1"/>
        <v>25000</v>
      </c>
      <c r="G19" s="1793">
        <f t="shared" si="3"/>
        <v>17823</v>
      </c>
    </row>
    <row r="20" spans="1:8" x14ac:dyDescent="0.25">
      <c r="A20" s="1950" t="s">
        <v>2170</v>
      </c>
      <c r="B20" s="1951" t="s">
        <v>2193</v>
      </c>
      <c r="C20" s="1952" t="s">
        <v>2171</v>
      </c>
      <c r="D20" s="1953">
        <v>59202</v>
      </c>
      <c r="E20" s="1540">
        <f t="shared" si="2"/>
        <v>25000</v>
      </c>
      <c r="F20" s="1932">
        <f t="shared" si="1"/>
        <v>25000</v>
      </c>
      <c r="G20" s="1793">
        <f t="shared" si="3"/>
        <v>34202</v>
      </c>
    </row>
    <row r="21" spans="1:8" x14ac:dyDescent="0.25">
      <c r="A21" s="1950" t="s">
        <v>2172</v>
      </c>
      <c r="B21" s="1951" t="s">
        <v>2194</v>
      </c>
      <c r="C21" s="1952" t="s">
        <v>2173</v>
      </c>
      <c r="D21" s="1953">
        <v>109485</v>
      </c>
      <c r="E21" s="1540">
        <f t="shared" si="2"/>
        <v>25000</v>
      </c>
      <c r="F21" s="1932">
        <f t="shared" si="1"/>
        <v>25000</v>
      </c>
      <c r="G21" s="1793">
        <f t="shared" si="3"/>
        <v>84485</v>
      </c>
    </row>
    <row r="22" spans="1:8" x14ac:dyDescent="0.25">
      <c r="A22" s="1950" t="s">
        <v>2174</v>
      </c>
      <c r="B22" s="1951" t="s">
        <v>2191</v>
      </c>
      <c r="C22" s="1952" t="s">
        <v>2175</v>
      </c>
      <c r="D22" s="1953">
        <v>114828</v>
      </c>
      <c r="E22" s="1540">
        <f t="shared" si="2"/>
        <v>25000</v>
      </c>
      <c r="F22" s="1932">
        <f t="shared" si="1"/>
        <v>25000</v>
      </c>
      <c r="G22" s="1793">
        <f t="shared" si="3"/>
        <v>89828</v>
      </c>
    </row>
    <row r="23" spans="1:8" x14ac:dyDescent="0.25">
      <c r="A23" s="1950" t="s">
        <v>2176</v>
      </c>
      <c r="B23" s="1951" t="s">
        <v>2195</v>
      </c>
      <c r="C23" s="1952" t="s">
        <v>2177</v>
      </c>
      <c r="D23" s="1953">
        <v>50864</v>
      </c>
      <c r="E23" s="1540">
        <f t="shared" si="2"/>
        <v>25000</v>
      </c>
      <c r="F23" s="1932">
        <f t="shared" si="1"/>
        <v>25000</v>
      </c>
      <c r="G23" s="1793">
        <f t="shared" si="3"/>
        <v>25864</v>
      </c>
    </row>
    <row r="24" spans="1:8" x14ac:dyDescent="0.25">
      <c r="A24" s="1950" t="s">
        <v>2178</v>
      </c>
      <c r="B24" s="1951" t="s">
        <v>2193</v>
      </c>
      <c r="C24" s="1952" t="s">
        <v>2179</v>
      </c>
      <c r="D24" s="1953">
        <v>46250</v>
      </c>
      <c r="E24" s="1540">
        <f t="shared" si="2"/>
        <v>25000</v>
      </c>
      <c r="F24" s="1932">
        <f t="shared" si="1"/>
        <v>25000</v>
      </c>
      <c r="G24" s="1793">
        <f t="shared" si="3"/>
        <v>21250</v>
      </c>
    </row>
    <row r="25" spans="1:8" x14ac:dyDescent="0.25">
      <c r="A25" s="1950" t="s">
        <v>2180</v>
      </c>
      <c r="B25" s="1951" t="s">
        <v>2196</v>
      </c>
      <c r="C25" s="1952" t="s">
        <v>2181</v>
      </c>
      <c r="D25" s="1953">
        <v>28136</v>
      </c>
      <c r="E25" s="1540">
        <f t="shared" si="2"/>
        <v>25000</v>
      </c>
      <c r="F25" s="1932">
        <f t="shared" si="1"/>
        <v>25000</v>
      </c>
      <c r="G25" s="1793">
        <f t="shared" si="3"/>
        <v>3136</v>
      </c>
    </row>
    <row r="26" spans="1:8" x14ac:dyDescent="0.25">
      <c r="A26" s="1950" t="s">
        <v>2182</v>
      </c>
      <c r="B26" s="1951" t="s">
        <v>2197</v>
      </c>
      <c r="C26" s="1952" t="s">
        <v>2183</v>
      </c>
      <c r="D26" s="1953">
        <v>478475.2</v>
      </c>
      <c r="E26" s="1540">
        <f t="shared" si="2"/>
        <v>25000</v>
      </c>
      <c r="F26" s="1932">
        <f t="shared" si="1"/>
        <v>25000</v>
      </c>
      <c r="G26" s="1793">
        <f t="shared" si="3"/>
        <v>453475.2</v>
      </c>
    </row>
    <row r="27" spans="1:8" x14ac:dyDescent="0.25">
      <c r="A27" s="1950" t="s">
        <v>2180</v>
      </c>
      <c r="B27" s="1951" t="s">
        <v>2196</v>
      </c>
      <c r="C27" s="1952" t="s">
        <v>2184</v>
      </c>
      <c r="D27" s="1953">
        <v>182556</v>
      </c>
      <c r="E27" s="1540">
        <f t="shared" si="2"/>
        <v>25000</v>
      </c>
      <c r="F27" s="1932">
        <f t="shared" si="1"/>
        <v>25000</v>
      </c>
      <c r="G27" s="1793">
        <f t="shared" si="3"/>
        <v>157556</v>
      </c>
    </row>
    <row r="28" spans="1:8" x14ac:dyDescent="0.25">
      <c r="A28" s="1950" t="s">
        <v>2185</v>
      </c>
      <c r="B28" s="1951" t="s">
        <v>2198</v>
      </c>
      <c r="C28" s="1952" t="s">
        <v>2186</v>
      </c>
      <c r="D28" s="1953">
        <v>39800</v>
      </c>
      <c r="E28" s="1540">
        <f t="shared" si="2"/>
        <v>25000</v>
      </c>
      <c r="F28" s="1932">
        <f t="shared" si="1"/>
        <v>25000</v>
      </c>
      <c r="G28" s="1793">
        <f t="shared" si="3"/>
        <v>14800</v>
      </c>
    </row>
    <row r="29" spans="1:8" x14ac:dyDescent="0.25">
      <c r="A29" s="1950" t="s">
        <v>2164</v>
      </c>
      <c r="B29" s="1951" t="s">
        <v>2190</v>
      </c>
      <c r="C29" s="1952" t="s">
        <v>2187</v>
      </c>
      <c r="D29" s="1953">
        <v>648354</v>
      </c>
      <c r="E29" s="1540">
        <f t="shared" si="2"/>
        <v>25000</v>
      </c>
      <c r="F29" s="1932">
        <f t="shared" si="1"/>
        <v>25000</v>
      </c>
      <c r="G29" s="1793">
        <f t="shared" si="3"/>
        <v>623354</v>
      </c>
    </row>
    <row r="30" spans="1:8" x14ac:dyDescent="0.25">
      <c r="A30" s="1950"/>
      <c r="B30" s="1951"/>
      <c r="C30" s="1952"/>
      <c r="D30" s="1953"/>
      <c r="E30" s="1540">
        <f t="shared" si="2"/>
        <v>0</v>
      </c>
      <c r="F30" s="1932">
        <f t="shared" si="1"/>
        <v>0</v>
      </c>
      <c r="G30" s="1793">
        <f t="shared" si="3"/>
        <v>0</v>
      </c>
    </row>
    <row r="31" spans="1:8" x14ac:dyDescent="0.25">
      <c r="A31" s="1950"/>
      <c r="B31" s="1951"/>
      <c r="C31" s="1952"/>
      <c r="D31" s="1953"/>
      <c r="E31" s="1540">
        <f t="shared" si="2"/>
        <v>0</v>
      </c>
      <c r="F31" s="1932">
        <f t="shared" si="1"/>
        <v>0</v>
      </c>
      <c r="G31" s="1793">
        <f t="shared" si="3"/>
        <v>0</v>
      </c>
    </row>
    <row r="32" spans="1:8" x14ac:dyDescent="0.25">
      <c r="A32" s="1950"/>
      <c r="B32" s="1951"/>
      <c r="C32" s="1952"/>
      <c r="D32" s="1953"/>
      <c r="E32" s="1540">
        <f t="shared" si="2"/>
        <v>0</v>
      </c>
      <c r="F32" s="1932">
        <f t="shared" si="1"/>
        <v>0</v>
      </c>
      <c r="G32" s="1793">
        <f t="shared" si="3"/>
        <v>0</v>
      </c>
    </row>
    <row r="33" spans="1:7" x14ac:dyDescent="0.25">
      <c r="A33" s="1950"/>
      <c r="B33" s="1951"/>
      <c r="C33" s="1952"/>
      <c r="D33" s="1953"/>
      <c r="E33" s="1540">
        <f t="shared" si="2"/>
        <v>0</v>
      </c>
      <c r="F33" s="1932">
        <f t="shared" si="1"/>
        <v>0</v>
      </c>
      <c r="G33" s="1793">
        <f t="shared" si="3"/>
        <v>0</v>
      </c>
    </row>
    <row r="34" spans="1:7" x14ac:dyDescent="0.25">
      <c r="A34" s="1950"/>
      <c r="B34" s="1951"/>
      <c r="C34" s="1952"/>
      <c r="D34" s="1953"/>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2798919.2</v>
      </c>
      <c r="E141" s="1541">
        <f t="shared" si="0"/>
        <v>25000</v>
      </c>
      <c r="F141" s="1933">
        <f>SUM(F17:F140)</f>
        <v>325000</v>
      </c>
      <c r="G141" s="1795">
        <f>SUM(G17:G140)</f>
        <v>2473919.2000000002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25"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5" t="s">
        <v>1679</v>
      </c>
      <c r="B5" s="2296"/>
      <c r="C5" s="2296"/>
      <c r="D5" s="2296"/>
      <c r="E5" s="2296"/>
      <c r="F5" s="2296"/>
      <c r="G5" s="229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415661</v>
      </c>
      <c r="F10" s="974"/>
      <c r="G10" s="975"/>
      <c r="H10" s="162"/>
      <c r="I10" s="162"/>
    </row>
    <row r="11" spans="1:9" s="668" customFormat="1" ht="22.5" customHeight="1" x14ac:dyDescent="0.2">
      <c r="A11" s="2300" t="s">
        <v>1974</v>
      </c>
      <c r="B11" s="2301"/>
      <c r="C11" s="2301"/>
      <c r="D11" s="2302"/>
      <c r="E11" s="977">
        <f>6662+38487</f>
        <v>45149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22375801</v>
      </c>
      <c r="F19" s="1799"/>
      <c r="G19" s="1801">
        <f>'Expenditures 15-22'!K33-SUM('Expenditures 15-22'!G33,'Expenditures 15-22'!I33)+'Expenditures 15-22'!D229</f>
        <v>22375801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2779207</v>
      </c>
      <c r="F21" s="1802"/>
      <c r="G21" s="1805">
        <f>'Expenditures 15-22'!K42-SUM('Expenditures 15-22'!G42,'Expenditures 15-22'!I42)+'Expenditures 15-22'!K120-SUM('Expenditures 15-22'!G120,'Expenditures 15-22'!I120)+'Expenditures 15-22'!K180-SUM('Expenditures 15-22'!G180,'Expenditures 15-22'!I180)+'Expenditures 15-22'!D238</f>
        <v>2779207</v>
      </c>
      <c r="H21" s="987"/>
      <c r="I21" s="162"/>
    </row>
    <row r="22" spans="1:9" s="668" customFormat="1" ht="12" customHeight="1" x14ac:dyDescent="0.2">
      <c r="A22" s="994" t="s">
        <v>564</v>
      </c>
      <c r="B22" s="995"/>
      <c r="C22" s="993">
        <v>2200</v>
      </c>
      <c r="D22" s="1802"/>
      <c r="E22" s="1804">
        <f>'Expenditures 15-22'!K47-SUM('Expenditures 15-22'!G47,'Expenditures 15-22'!I47)+'Expenditures 15-22'!D243</f>
        <v>1251967</v>
      </c>
      <c r="F22" s="1802"/>
      <c r="G22" s="1805">
        <f>'Expenditures 15-22'!K47-SUM('Expenditures 15-22'!G47,'Expenditures 15-22'!I47)+'Expenditures 15-22'!D243</f>
        <v>1251967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1414799</v>
      </c>
      <c r="F23" s="1802"/>
      <c r="G23" s="1804">
        <f>'Expenditures 15-22'!K53-SUM('Expenditures 15-22'!G53,'Expenditures 15-22'!I53)+'Expenditures 15-22'!D257+'Expenditures 15-22'!K330-SUM('Expenditures 15-22'!G330,'Expenditures 15-22'!I330)</f>
        <v>1414799</v>
      </c>
      <c r="H23" s="987"/>
      <c r="I23" s="162"/>
    </row>
    <row r="24" spans="1:9" s="668" customFormat="1" ht="12" customHeight="1" x14ac:dyDescent="0.2">
      <c r="A24" s="994" t="s">
        <v>566</v>
      </c>
      <c r="B24" s="995"/>
      <c r="C24" s="993">
        <v>2400</v>
      </c>
      <c r="D24" s="1802"/>
      <c r="E24" s="1804">
        <f>'Expenditures 15-22'!K57-SUM('Expenditures 15-22'!G57,'Expenditures 15-22'!I57)+'Expenditures 15-22'!D261</f>
        <v>1651772</v>
      </c>
      <c r="F24" s="1802"/>
      <c r="G24" s="1805">
        <f>'Expenditures 15-22'!K57-SUM('Expenditures 15-22'!G57,'Expenditures 15-22'!I57)+'Expenditures 15-22'!D261</f>
        <v>1651772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155874</v>
      </c>
      <c r="E26" s="1804">
        <f>'Expenditures 15-22'!K122-SUM('Expenditures 15-22'!G122,'Expenditures 15-22'!I122)+E7</f>
        <v>34931</v>
      </c>
      <c r="F26" s="1804">
        <f>'Expenditures 15-22'!K59-SUM('Expenditures 15-22'!G59,'Expenditures 15-22'!I59)+'Expenditures 15-22'!D263-E7</f>
        <v>155874</v>
      </c>
      <c r="G26" s="1805">
        <f>'Expenditures 15-22'!K122-SUM('Expenditures 15-22'!G122,'Expenditures 15-22'!I122)+E7</f>
        <v>34931</v>
      </c>
      <c r="H26" s="987"/>
      <c r="I26" s="162"/>
    </row>
    <row r="27" spans="1:9" s="668" customFormat="1" ht="12" customHeight="1" x14ac:dyDescent="0.2">
      <c r="A27" s="994" t="s">
        <v>463</v>
      </c>
      <c r="B27" s="997"/>
      <c r="C27" s="993">
        <v>2520</v>
      </c>
      <c r="D27" s="1804">
        <f>'Expenditures 15-22'!K60-SUM('Expenditures 15-22'!G60,'Expenditures 15-22'!I60)+'Expenditures 15-22'!D264-E8</f>
        <v>254714</v>
      </c>
      <c r="E27" s="1804">
        <f>E8</f>
        <v>0</v>
      </c>
      <c r="F27" s="1804">
        <f>'Expenditures 15-22'!K60-SUM('Expenditures 15-22'!G60,'Expenditures 15-22'!I60)+'Expenditures 15-22'!D264-E8</f>
        <v>254714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3153321</v>
      </c>
      <c r="F28" s="1806">
        <f>'Expenditures 15-22'!K61-SUM('Expenditures 15-22'!G61,'Expenditures 15-22'!I61)+'Expenditures 15-22'!K124-SUM('Expenditures 15-22'!G124,'Expenditures 15-22'!I124)+'Expenditures 15-22'!D266-E9</f>
        <v>3153321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1605400</v>
      </c>
      <c r="F29" s="1802"/>
      <c r="G29" s="1805">
        <f>'Expenditures 15-22'!K62-SUM('Expenditures 15-22'!G62,'Expenditures 15-22'!I62)+'Expenditures 15-22'!K125-SUM('Expenditures 15-22'!G125,'Expenditures 15-22'!I125)+'Expenditures 15-22'!K182-SUM('Expenditures 15-22'!G182,'Expenditures 15-22'!I182)+'Expenditures 15-22'!D267</f>
        <v>1605400</v>
      </c>
      <c r="H29" s="985"/>
    </row>
    <row r="30" spans="1:9" ht="12" customHeight="1" x14ac:dyDescent="0.2">
      <c r="A30" s="994" t="s">
        <v>100</v>
      </c>
      <c r="B30" s="997"/>
      <c r="C30" s="993">
        <v>2560</v>
      </c>
      <c r="D30" s="1802"/>
      <c r="E30" s="1804">
        <f>'Expenditures 15-22'!K63-SUM('Expenditures 15-22'!G63,'Expenditures 15-22'!I63)+'Expenditures 15-22'!D268-E10</f>
        <v>308190</v>
      </c>
      <c r="F30" s="1802"/>
      <c r="G30" s="1804">
        <f>'Expenditures 15-22'!K63-SUM('Expenditures 15-22'!G63,'Expenditures 15-22'!I63)+'Expenditures 15-22'!D268-E10</f>
        <v>308190</v>
      </c>
    </row>
    <row r="31" spans="1:9" ht="12" customHeight="1" x14ac:dyDescent="0.2">
      <c r="A31" s="994" t="s">
        <v>101</v>
      </c>
      <c r="B31" s="997"/>
      <c r="C31" s="993">
        <v>2570</v>
      </c>
      <c r="D31" s="1804">
        <f>'Expenditures 15-22'!K64-SUM('Expenditures 15-22'!G64,'Expenditures 15-22'!I64)+'Expenditures 15-22'!D269-E12</f>
        <v>2115</v>
      </c>
      <c r="E31" s="1804">
        <f>E12</f>
        <v>0</v>
      </c>
      <c r="F31" s="1804">
        <f>'Expenditures 15-22'!K64-SUM('Expenditures 15-22'!G64,'Expenditures 15-22'!I64)+'Expenditures 15-22'!D269-E12</f>
        <v>2115</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1608</v>
      </c>
      <c r="F35" s="1802"/>
      <c r="G35" s="1804">
        <f>'Expenditures 15-22'!K69-SUM('Expenditures 15-22'!G69,'Expenditures 15-22'!I69)+'Expenditures 15-22'!D274</f>
        <v>1608</v>
      </c>
    </row>
    <row r="36" spans="1:7" ht="12" customHeight="1" x14ac:dyDescent="0.2">
      <c r="A36" s="994" t="s">
        <v>403</v>
      </c>
      <c r="B36" s="997"/>
      <c r="C36" s="993">
        <v>2640</v>
      </c>
      <c r="D36" s="1804">
        <f>'Expenditures 15-22'!K70-SUM('Expenditures 15-22'!G70,'Expenditures 15-22'!I70)+'Expenditures 15-22'!D275-E13</f>
        <v>172754</v>
      </c>
      <c r="E36" s="1804">
        <f>E13</f>
        <v>0</v>
      </c>
      <c r="F36" s="1804">
        <f>'Expenditures 15-22'!K70-SUM('Expenditures 15-22'!G70,'Expenditures 15-22'!I70)+'Expenditures 15-22'!D275-E13</f>
        <v>172754</v>
      </c>
      <c r="G36" s="1804">
        <f>E13</f>
        <v>0</v>
      </c>
    </row>
    <row r="37" spans="1:7" ht="12" customHeight="1" x14ac:dyDescent="0.2">
      <c r="A37" s="994" t="s">
        <v>404</v>
      </c>
      <c r="B37" s="997"/>
      <c r="C37" s="993">
        <v>2660</v>
      </c>
      <c r="D37" s="1804">
        <f>'Expenditures 15-22'!K71-SUM('Expenditures 15-22'!G71,'Expenditures 15-22'!I71)+'Expenditures 15-22'!D276-E14</f>
        <v>63949</v>
      </c>
      <c r="E37" s="1804">
        <f>E14</f>
        <v>0</v>
      </c>
      <c r="F37" s="1804">
        <f>'Expenditures 15-22'!K71-SUM('Expenditures 15-22'!G71,'Expenditures 15-22'!I71)+'Expenditures 15-22'!D276-E14</f>
        <v>63949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298</v>
      </c>
      <c r="F38" s="1802"/>
      <c r="G38" s="1804">
        <f>'Expenditures 15-22'!K73-SUM('Expenditures 15-22'!G73,'Expenditures 15-22'!I73)+'Expenditures 15-22'!K128-SUM('Expenditures 15-22'!G128,'Expenditures 15-22'!I128)+'Expenditures 15-22'!K183-SUM('Expenditures 15-22'!G183,'Expenditures 15-22'!I183)+'Expenditures 15-22'!D278</f>
        <v>298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314933</v>
      </c>
      <c r="F39" s="1802"/>
      <c r="G39" s="1804">
        <f>'Expenditures 15-22'!K75-SUM('Expenditures 15-22'!G75,'Expenditures 15-22'!I75)+'Expenditures 15-22'!K130-SUM('Expenditures 15-22'!G130,'Expenditures 15-22'!I130)+'Expenditures 15-22'!K185-SUM('Expenditures 15-22'!G185,'Expenditures 15-22'!I185)+'Expenditures 15-22'!D280</f>
        <v>314933</v>
      </c>
    </row>
    <row r="40" spans="1:7" ht="12" customHeight="1" x14ac:dyDescent="0.2">
      <c r="A40" s="990" t="s">
        <v>1820</v>
      </c>
      <c r="B40" s="991"/>
      <c r="C40" s="993"/>
      <c r="D40" s="1802"/>
      <c r="E40" s="1806">
        <f>-'Contracts Paid in CY 29'!G141</f>
        <v>-2473919.2000000002</v>
      </c>
      <c r="F40" s="1802"/>
      <c r="G40" s="1806">
        <f>-'Contracts Paid in CY 29'!G141</f>
        <v>-2473919.2000000002</v>
      </c>
    </row>
    <row r="41" spans="1:7" ht="12" customHeight="1" x14ac:dyDescent="0.2">
      <c r="A41" s="998" t="s">
        <v>156</v>
      </c>
      <c r="B41" s="999"/>
      <c r="C41" s="1000"/>
      <c r="D41" s="1806">
        <f>SUM(D19:D39)</f>
        <v>649406</v>
      </c>
      <c r="E41" s="1806">
        <f>SUM(E19:E40)</f>
        <v>32418307.800000001</v>
      </c>
      <c r="F41" s="1806">
        <f>SUM(F19:F39)</f>
        <v>3802727</v>
      </c>
      <c r="G41" s="1806">
        <f>SUM(G19:G40)</f>
        <v>29264986.800000001</v>
      </c>
    </row>
    <row r="42" spans="1:7" x14ac:dyDescent="0.2">
      <c r="A42" s="987"/>
      <c r="B42" s="162"/>
      <c r="C42" s="1001"/>
      <c r="D42" s="2298" t="s">
        <v>522</v>
      </c>
      <c r="E42" s="2299"/>
      <c r="F42" s="1002" t="s">
        <v>523</v>
      </c>
      <c r="G42" s="1003"/>
    </row>
    <row r="43" spans="1:7" ht="12" customHeight="1" x14ac:dyDescent="0.2">
      <c r="A43" s="987"/>
      <c r="B43" s="162"/>
      <c r="C43" s="1001"/>
      <c r="D43" s="1807" t="s">
        <v>473</v>
      </c>
      <c r="E43" s="1808">
        <f>D41</f>
        <v>649406</v>
      </c>
      <c r="F43" s="1807" t="s">
        <v>473</v>
      </c>
      <c r="G43" s="1808">
        <f>F41</f>
        <v>3802727</v>
      </c>
    </row>
    <row r="44" spans="1:7" ht="12" customHeight="1" x14ac:dyDescent="0.2">
      <c r="A44" s="987"/>
      <c r="B44" s="162"/>
      <c r="C44" s="1001"/>
      <c r="D44" s="1807" t="s">
        <v>474</v>
      </c>
      <c r="E44" s="1808">
        <f>E41</f>
        <v>32418307.800000001</v>
      </c>
      <c r="F44" s="1807" t="s">
        <v>474</v>
      </c>
      <c r="G44" s="1808">
        <f>G41</f>
        <v>29264986.800000001</v>
      </c>
    </row>
    <row r="45" spans="1:7" ht="12" customHeight="1" x14ac:dyDescent="0.2">
      <c r="A45" s="987"/>
      <c r="B45" s="162"/>
      <c r="C45" s="162"/>
      <c r="D45" s="1809" t="s">
        <v>1006</v>
      </c>
      <c r="E45" s="1810">
        <f>(E43/E44)</f>
        <v>2.0032075825993607E-2</v>
      </c>
      <c r="F45" s="1809" t="s">
        <v>1006</v>
      </c>
      <c r="G45" s="1810">
        <f>(G43/G44)</f>
        <v>0.12994118281987402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0" activePane="bottomLeft" state="frozen"/>
      <selection activeCell="A47" sqref="A47"/>
      <selection pane="bottomLeft" activeCell="F20" sqref="F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7" t="s">
        <v>1379</v>
      </c>
      <c r="B1" s="2317"/>
      <c r="C1" s="2317"/>
      <c r="D1" s="2317"/>
      <c r="E1" s="2317"/>
      <c r="F1" s="2317"/>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18" t="s">
        <v>1546</v>
      </c>
      <c r="B5" s="2319"/>
      <c r="C5" s="2320"/>
      <c r="D5" s="2320"/>
      <c r="E5" s="2320"/>
      <c r="F5" s="2320"/>
    </row>
    <row r="6" spans="1:10" ht="12" customHeight="1" x14ac:dyDescent="0.25">
      <c r="A6" s="1850"/>
      <c r="B6" s="1851"/>
      <c r="C6" s="2321" t="str">
        <f>COVER!A17</f>
        <v>CCSD 146</v>
      </c>
      <c r="D6" s="2321"/>
      <c r="E6" s="2321"/>
      <c r="F6" s="1852"/>
    </row>
    <row r="7" spans="1:10" ht="11.25" customHeight="1" thickBot="1" x14ac:dyDescent="0.3">
      <c r="A7" s="1850"/>
      <c r="B7" s="1851"/>
      <c r="C7" s="2322">
        <f>COVER!A13</f>
        <v>7016146004</v>
      </c>
      <c r="D7" s="2322"/>
      <c r="E7" s="2322"/>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t="s">
        <v>2061</v>
      </c>
      <c r="F14" s="1867" t="s">
        <v>2062</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2061</v>
      </c>
      <c r="D16" s="1865" t="s">
        <v>2061</v>
      </c>
      <c r="E16" s="1868" t="s">
        <v>2061</v>
      </c>
      <c r="F16" s="1867" t="s">
        <v>2063</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2061</v>
      </c>
      <c r="D18" s="1865" t="s">
        <v>2061</v>
      </c>
      <c r="E18" s="1868" t="s">
        <v>2061</v>
      </c>
      <c r="F18" s="1867" t="s">
        <v>2064</v>
      </c>
      <c r="H18" s="1878">
        <f t="shared" si="0"/>
        <v>5</v>
      </c>
      <c r="I18" s="1878">
        <f t="shared" si="1"/>
        <v>5</v>
      </c>
      <c r="J18" s="1878">
        <f t="shared" si="2"/>
        <v>5</v>
      </c>
    </row>
    <row r="19" spans="1:12" ht="12" customHeight="1" x14ac:dyDescent="0.2">
      <c r="A19" s="1863" t="s">
        <v>1527</v>
      </c>
      <c r="B19" s="1864"/>
      <c r="C19" s="1865" t="s">
        <v>2067</v>
      </c>
      <c r="D19" s="1865" t="s">
        <v>2067</v>
      </c>
      <c r="E19" s="1868" t="s">
        <v>2067</v>
      </c>
      <c r="F19" s="1867" t="s">
        <v>2068</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t="s">
        <v>2061</v>
      </c>
      <c r="F26" s="1867" t="s">
        <v>2065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2061</v>
      </c>
      <c r="D28" s="1865" t="s">
        <v>2061</v>
      </c>
      <c r="E28" s="1868" t="s">
        <v>2061</v>
      </c>
      <c r="F28" s="1867" t="s">
        <v>2066</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0" t="str">
        <f>COVER!A17</f>
        <v>CCSD 146</v>
      </c>
      <c r="J6" s="2331"/>
      <c r="Q6" s="1664"/>
    </row>
    <row r="7" spans="1:17" x14ac:dyDescent="0.2">
      <c r="A7" s="2332" t="s">
        <v>869</v>
      </c>
      <c r="B7" s="2333"/>
      <c r="C7" s="2333"/>
      <c r="D7" s="2333"/>
      <c r="E7" s="2334"/>
      <c r="F7" s="1017"/>
      <c r="G7" s="1009"/>
      <c r="H7" s="1016" t="s">
        <v>372</v>
      </c>
      <c r="I7" s="2335">
        <f>COVER!A13</f>
        <v>7016146004</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431246</v>
      </c>
      <c r="F12" s="1039"/>
      <c r="G12" s="1811">
        <f t="shared" ref="G12:G18" si="0">SUM(E12:F12)</f>
        <v>431246</v>
      </c>
      <c r="H12" s="1040">
        <v>442610</v>
      </c>
      <c r="I12" s="1039"/>
      <c r="J12" s="1811">
        <f t="shared" ref="J12:J18" si="1">SUM(H12:I12)</f>
        <v>442610</v>
      </c>
    </row>
    <row r="13" spans="1:17" ht="15" customHeight="1" x14ac:dyDescent="0.2">
      <c r="A13" s="1035">
        <v>2</v>
      </c>
      <c r="B13" s="1036" t="s">
        <v>42</v>
      </c>
      <c r="C13" s="1037"/>
      <c r="D13" s="1038">
        <v>2330</v>
      </c>
      <c r="E13" s="1811">
        <f>'Expenditures 15-22'!K51</f>
        <v>334250</v>
      </c>
      <c r="F13" s="1039"/>
      <c r="G13" s="1811">
        <f t="shared" si="0"/>
        <v>334250</v>
      </c>
      <c r="H13" s="1040">
        <v>343708</v>
      </c>
      <c r="I13" s="1039"/>
      <c r="J13" s="1811">
        <f t="shared" si="1"/>
        <v>343708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153866</v>
      </c>
      <c r="F15" s="1811">
        <f>'Expenditures 15-22'!K122</f>
        <v>34931</v>
      </c>
      <c r="G15" s="1811">
        <f t="shared" si="0"/>
        <v>188797</v>
      </c>
      <c r="H15" s="1040">
        <v>165994</v>
      </c>
      <c r="I15" s="1040">
        <v>32813</v>
      </c>
      <c r="J15" s="1811">
        <f t="shared" si="1"/>
        <v>198807</v>
      </c>
    </row>
    <row r="16" spans="1:17" ht="15" customHeight="1" x14ac:dyDescent="0.2">
      <c r="A16" s="1035">
        <v>5</v>
      </c>
      <c r="B16" s="1036" t="s">
        <v>101</v>
      </c>
      <c r="C16" s="1037"/>
      <c r="D16" s="1038">
        <v>2570</v>
      </c>
      <c r="E16" s="1811">
        <f>'Expenditures 15-22'!K64</f>
        <v>2115</v>
      </c>
      <c r="F16" s="1039"/>
      <c r="G16" s="1811">
        <f t="shared" si="0"/>
        <v>2115</v>
      </c>
      <c r="H16" s="1040">
        <v>3000</v>
      </c>
      <c r="I16" s="1039"/>
      <c r="J16" s="1811">
        <f t="shared" si="1"/>
        <v>3000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921477</v>
      </c>
      <c r="F19" s="1813">
        <f t="shared" si="2"/>
        <v>34931</v>
      </c>
      <c r="G19" s="1813">
        <f t="shared" si="2"/>
        <v>956408</v>
      </c>
      <c r="H19" s="1813">
        <f t="shared" si="2"/>
        <v>955312</v>
      </c>
      <c r="I19" s="1813">
        <f t="shared" si="2"/>
        <v>32813</v>
      </c>
      <c r="J19" s="1813">
        <f t="shared" si="2"/>
        <v>988125</v>
      </c>
    </row>
    <row r="20" spans="1:10" ht="13.5" thickTop="1" x14ac:dyDescent="0.2">
      <c r="A20" s="1035">
        <v>9</v>
      </c>
      <c r="B20" s="2342" t="s">
        <v>1978</v>
      </c>
      <c r="C20" s="2342"/>
      <c r="D20" s="2343"/>
      <c r="E20" s="1046"/>
      <c r="F20" s="1046"/>
      <c r="G20" s="1046"/>
      <c r="H20" s="1046"/>
      <c r="I20" s="1046"/>
      <c r="J20" s="1814">
        <f>IF(AND(G19&gt;0,J19&gt;0),(((J19-G19)/G19)),"Enter Budget Data")</f>
        <v>3.3162625155791249E-2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c r="D28" s="2346"/>
      <c r="E28" s="1054"/>
      <c r="F28" s="2346"/>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1980</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2200</v>
      </c>
    </row>
    <row r="6" spans="1:2" x14ac:dyDescent="0.2">
      <c r="A6" s="1068">
        <v>2</v>
      </c>
      <c r="B6" s="329" t="s">
        <v>2201</v>
      </c>
    </row>
    <row r="7" spans="1:2" x14ac:dyDescent="0.2">
      <c r="A7" s="1068">
        <v>3</v>
      </c>
      <c r="B7" s="329" t="s">
        <v>2202</v>
      </c>
    </row>
    <row r="8" spans="1:2" x14ac:dyDescent="0.2">
      <c r="A8" s="1068">
        <v>4</v>
      </c>
      <c r="B8" s="329" t="s">
        <v>2203</v>
      </c>
    </row>
    <row r="9" spans="1:2" x14ac:dyDescent="0.2">
      <c r="A9" s="1069">
        <v>5</v>
      </c>
      <c r="B9" s="329" t="s">
        <v>2204</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CCSD 146</v>
      </c>
    </row>
    <row r="65" spans="2:2" x14ac:dyDescent="0.2">
      <c r="B65" s="1070">
        <f>COVER!A13</f>
        <v>7016146004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6" t="s">
        <v>1065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691</v>
      </c>
      <c r="B40" s="2063"/>
      <c r="C40" s="2063"/>
      <c r="D40" s="2063"/>
      <c r="E40" s="2063"/>
    </row>
    <row r="41" spans="1:5" x14ac:dyDescent="0.2">
      <c r="A41" s="2064" t="s">
        <v>1608</v>
      </c>
      <c r="B41" s="2064"/>
      <c r="C41" s="2064"/>
      <c r="D41" s="2064"/>
      <c r="E41" s="2064"/>
    </row>
    <row r="42" spans="1:5" ht="12.75" customHeight="1" x14ac:dyDescent="0.2">
      <c r="A42" s="2065" t="s">
        <v>1022</v>
      </c>
      <c r="B42" s="2065"/>
      <c r="C42" s="2065"/>
      <c r="D42" s="2065"/>
      <c r="E42" s="206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9" t="s">
        <v>1685</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114300</xdr:colOff>
                <xdr:row>4</xdr:row>
                <xdr:rowOff>19050</xdr:rowOff>
              </from>
              <to>
                <xdr:col>1</xdr:col>
                <xdr:colOff>1028700</xdr:colOff>
                <xdr:row>8</xdr:row>
                <xdr:rowOff>57150</xdr:rowOff>
              </to>
            </anchor>
          </objectPr>
        </oleObject>
      </mc:Choice>
      <mc:Fallback>
        <oleObject progId="Acrobat Documen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14" sqref="L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1984</v>
      </c>
      <c r="B2" s="2361"/>
      <c r="C2" s="2361"/>
      <c r="D2" s="2361"/>
      <c r="E2" s="2361"/>
      <c r="F2" s="2362"/>
      <c r="G2" s="1074"/>
      <c r="H2" s="1074"/>
    </row>
    <row r="3" spans="1:8" ht="57" customHeight="1" x14ac:dyDescent="0.2">
      <c r="A3" s="2363" t="s">
        <v>1686</v>
      </c>
      <c r="B3" s="2364"/>
      <c r="C3" s="2364"/>
      <c r="D3" s="2364"/>
      <c r="E3" s="2364"/>
      <c r="F3" s="2365"/>
      <c r="G3" s="1074"/>
      <c r="H3" s="1074"/>
    </row>
    <row r="4" spans="1:8" ht="14.25" customHeight="1" x14ac:dyDescent="0.2">
      <c r="A4" s="2369" t="s">
        <v>1985</v>
      </c>
      <c r="B4" s="2370"/>
      <c r="C4" s="2370"/>
      <c r="D4" s="2370"/>
      <c r="E4" s="2370"/>
      <c r="F4" s="2371"/>
      <c r="G4" s="1074"/>
      <c r="H4" s="1074"/>
    </row>
    <row r="5" spans="1:8" ht="14.25" customHeight="1" x14ac:dyDescent="0.2">
      <c r="A5" s="2372" t="s">
        <v>1981</v>
      </c>
      <c r="B5" s="2373"/>
      <c r="C5" s="2373"/>
      <c r="D5" s="2373"/>
      <c r="E5" s="2373"/>
      <c r="F5" s="2374"/>
      <c r="G5" s="1074"/>
      <c r="H5" s="1074"/>
    </row>
    <row r="6" spans="1:8" s="1075" customFormat="1" ht="41.25" customHeight="1" x14ac:dyDescent="0.2">
      <c r="A6" s="2366" t="s">
        <v>1691</v>
      </c>
      <c r="B6" s="2367"/>
      <c r="C6" s="2367"/>
      <c r="D6" s="2367"/>
      <c r="E6" s="2367"/>
      <c r="F6" s="236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31827204</v>
      </c>
      <c r="C8" s="1815">
        <f>'Acct Summary 7-8'!D8</f>
        <v>3211842</v>
      </c>
      <c r="D8" s="1815">
        <f>'Acct Summary 7-8'!F8</f>
        <v>2510906</v>
      </c>
      <c r="E8" s="1815">
        <f>'Acct Summary 7-8'!I8</f>
        <v>291133</v>
      </c>
      <c r="F8" s="1815">
        <f>SUM(B8:E8)</f>
        <v>37841085</v>
      </c>
    </row>
    <row r="9" spans="1:8" s="1079" customFormat="1" ht="14.25" customHeight="1" thickBot="1" x14ac:dyDescent="0.25">
      <c r="A9" s="1078" t="s">
        <v>1369</v>
      </c>
      <c r="B9" s="1816">
        <f>'Acct Summary 7-8'!C17</f>
        <v>31452381</v>
      </c>
      <c r="C9" s="1816">
        <f>'Acct Summary 7-8'!D17</f>
        <v>3331364</v>
      </c>
      <c r="D9" s="1816">
        <f>'Acct Summary 7-8'!F17</f>
        <v>1556616</v>
      </c>
      <c r="E9" s="1815"/>
      <c r="F9" s="1815">
        <f>SUM(B9:E9)</f>
        <v>36340361</v>
      </c>
    </row>
    <row r="10" spans="1:8" s="1079" customFormat="1" ht="14.25" thickTop="1" thickBot="1" x14ac:dyDescent="0.25">
      <c r="A10" s="1080" t="s">
        <v>1370</v>
      </c>
      <c r="B10" s="1817">
        <f>(B8-B9)</f>
        <v>374823</v>
      </c>
      <c r="C10" s="1817">
        <f>(C8-C9)</f>
        <v>-119522</v>
      </c>
      <c r="D10" s="1817">
        <f>(D8-D9)</f>
        <v>954290</v>
      </c>
      <c r="E10" s="1816">
        <f>(E8-E9)</f>
        <v>291133</v>
      </c>
      <c r="F10" s="1818">
        <f>SUM(F8-F9)</f>
        <v>1500724</v>
      </c>
    </row>
    <row r="11" spans="1:8" s="1079" customFormat="1" ht="14.25" thickTop="1" thickBot="1" x14ac:dyDescent="0.25">
      <c r="A11" s="1081" t="s">
        <v>1982</v>
      </c>
      <c r="B11" s="1819">
        <f>'Acct Summary 7-8'!C81</f>
        <v>24759110</v>
      </c>
      <c r="C11" s="1819">
        <f>'Acct Summary 7-8'!D81</f>
        <v>2809011</v>
      </c>
      <c r="D11" s="1819">
        <f>'Acct Summary 7-8'!F81</f>
        <v>2189253</v>
      </c>
      <c r="E11" s="1819">
        <f>'Acct Summary 7-8'!I81</f>
        <v>559988</v>
      </c>
      <c r="F11" s="1820">
        <f>SUM(B11:E11)</f>
        <v>30317362</v>
      </c>
    </row>
    <row r="12" spans="1:8" ht="16.5" customHeight="1" thickTop="1" x14ac:dyDescent="0.2">
      <c r="A12" s="1082"/>
      <c r="B12" s="1083"/>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1687</v>
      </c>
      <c r="B16" s="2353"/>
      <c r="C16" s="2353"/>
      <c r="D16" s="2353"/>
      <c r="E16" s="235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Normal="10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665</v>
      </c>
      <c r="B3" s="2376"/>
      <c r="C3" s="2376"/>
      <c r="D3" s="2377"/>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6" t="s">
        <v>1504</v>
      </c>
      <c r="D7" s="2387"/>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0" t="s">
        <v>314</v>
      </c>
      <c r="D21" s="2391"/>
    </row>
    <row r="22" spans="1:10" ht="12.75" x14ac:dyDescent="0.2">
      <c r="A22" s="1139"/>
      <c r="B22" s="1140">
        <v>2</v>
      </c>
      <c r="C22" s="2388" t="s">
        <v>1524</v>
      </c>
      <c r="D22" s="2389"/>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2" t="s">
        <v>536</v>
      </c>
      <c r="D43" s="239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4" t="s">
        <v>784</v>
      </c>
      <c r="D56" s="238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4" t="s">
        <v>1696</v>
      </c>
      <c r="D70" s="238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7016146004</v>
      </c>
    </row>
    <row r="3" spans="1:2" x14ac:dyDescent="0.2">
      <c r="A3" t="s">
        <v>956</v>
      </c>
      <c r="B3" s="138" t="str">
        <f>COVER!A15</f>
        <v>COOK</v>
      </c>
    </row>
    <row r="4" spans="1:2" x14ac:dyDescent="0.2">
      <c r="A4" t="s">
        <v>1007</v>
      </c>
      <c r="B4" s="138" t="str">
        <f>COVER!A17</f>
        <v>CCSD 146</v>
      </c>
    </row>
    <row r="5" spans="1:2" x14ac:dyDescent="0.2">
      <c r="A5" t="s">
        <v>704</v>
      </c>
      <c r="B5" s="138" t="str">
        <f>COVER!A38</f>
        <v>DR. JEFF STAWICK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 xml:space="preserve">ED MCCORMICK </v>
      </c>
    </row>
    <row r="18" spans="1:2" x14ac:dyDescent="0.2">
      <c r="A18" t="s">
        <v>1150</v>
      </c>
      <c r="B18" s="138" t="str">
        <f>COVER!T17</f>
        <v>14300 RAVINIA AVE.</v>
      </c>
    </row>
    <row r="19" spans="1:2" x14ac:dyDescent="0.2">
      <c r="A19" t="s">
        <v>886</v>
      </c>
      <c r="B19" s="138" t="str">
        <f>COVER!T25</f>
        <v>Ed McCormick &lt;emccormick@muellercpa.com&gt;</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708-349-6999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12697371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38079409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13053471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13320299</v>
      </c>
      <c r="C91" s="2" t="s">
        <v>573</v>
      </c>
      <c r="D91" s="2" t="str">
        <f t="shared" si="0"/>
        <v>Error?</v>
      </c>
    </row>
    <row r="92" spans="1:4" x14ac:dyDescent="0.2">
      <c r="A92" s="5">
        <v>31</v>
      </c>
      <c r="B92" s="138">
        <f>'Assets-Liab 5-6'!C39</f>
        <v>24759110</v>
      </c>
      <c r="D92" s="2" t="str">
        <f t="shared" si="0"/>
        <v>Error?</v>
      </c>
    </row>
    <row r="93" spans="1:4" x14ac:dyDescent="0.2">
      <c r="A93" s="5">
        <v>32</v>
      </c>
      <c r="B93" s="138">
        <f>'Assets-Liab 5-6'!C41</f>
        <v>38079409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1523795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4621995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1563592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1812984</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4621995</v>
      </c>
      <c r="C124" s="2" t="s">
        <v>573</v>
      </c>
      <c r="D124" s="2" t="str">
        <f t="shared" si="0"/>
        <v>Error?</v>
      </c>
    </row>
    <row r="125" spans="1:4" x14ac:dyDescent="0.2">
      <c r="A125" s="10">
        <v>64</v>
      </c>
      <c r="D125" s="2" t="str">
        <f t="shared" si="0"/>
        <v>OK</v>
      </c>
    </row>
    <row r="126" spans="1:4" x14ac:dyDescent="0.2">
      <c r="A126" s="5">
        <v>65</v>
      </c>
      <c r="B126" s="138">
        <f>'Assets-Liab 5-6'!E6</f>
        <v>494432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2858778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1030333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1030333</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2858778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885990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3116355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909181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927102</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3116355</v>
      </c>
      <c r="C171" s="2" t="s">
        <v>573</v>
      </c>
      <c r="D171" s="2" t="str">
        <f t="shared" si="1"/>
        <v>Error?</v>
      </c>
    </row>
    <row r="172" spans="1:4" x14ac:dyDescent="0.2">
      <c r="A172" s="10">
        <v>111</v>
      </c>
      <c r="D172" s="2" t="str">
        <f t="shared" si="1"/>
        <v>OK</v>
      </c>
    </row>
    <row r="173" spans="1:4" x14ac:dyDescent="0.2">
      <c r="A173" s="5">
        <v>112</v>
      </c>
      <c r="B173" s="138">
        <f>'Assets-Liab 5-6'!G6</f>
        <v>513872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1248531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527025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527025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1248531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5379614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1972252</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5379614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5311469</v>
      </c>
      <c r="D273" s="2" t="str">
        <f t="shared" si="3"/>
        <v>Error?</v>
      </c>
    </row>
    <row r="274" spans="1:4" x14ac:dyDescent="0.2">
      <c r="A274" s="5">
        <v>213</v>
      </c>
      <c r="B274" s="138">
        <f>'Assets-Liab 5-6'!M17</f>
        <v>45754550</v>
      </c>
      <c r="D274" s="2" t="str">
        <f t="shared" si="3"/>
        <v>Error?</v>
      </c>
    </row>
    <row r="275" spans="1:4" x14ac:dyDescent="0.2">
      <c r="A275" s="5">
        <v>214</v>
      </c>
      <c r="B275" s="138">
        <f>'Assets-Liab 5-6'!M18</f>
        <v>8251004</v>
      </c>
      <c r="D275" s="2" t="str">
        <f t="shared" si="3"/>
        <v>Error?</v>
      </c>
    </row>
    <row r="276" spans="1:4" x14ac:dyDescent="0.2">
      <c r="A276" s="5">
        <v>215</v>
      </c>
      <c r="B276" s="138">
        <f>'Assets-Liab 5-6'!M19</f>
        <v>14432048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90789542</v>
      </c>
      <c r="C279" s="2" t="s">
        <v>573</v>
      </c>
      <c r="D279" s="2" t="str">
        <f t="shared" si="3"/>
        <v>Error?</v>
      </c>
    </row>
    <row r="280" spans="1:4" x14ac:dyDescent="0.2">
      <c r="A280" s="5">
        <v>219</v>
      </c>
      <c r="B280" s="138">
        <f>'Assets-Liab 5-6'!M40</f>
        <v>90789542</v>
      </c>
      <c r="D280" s="2" t="str">
        <f t="shared" si="3"/>
        <v>Error?</v>
      </c>
    </row>
    <row r="281" spans="1:4" x14ac:dyDescent="0.2">
      <c r="A281" s="5">
        <v>220</v>
      </c>
      <c r="B281" s="138">
        <f>'Assets-Liab 5-6'!M41</f>
        <v>90789542</v>
      </c>
      <c r="C281" s="2" t="s">
        <v>573</v>
      </c>
      <c r="D281" s="2" t="str">
        <f t="shared" si="3"/>
        <v>Error?</v>
      </c>
    </row>
    <row r="282" spans="1:4" x14ac:dyDescent="0.2">
      <c r="A282" s="5">
        <v>221</v>
      </c>
      <c r="B282" s="138">
        <f>'Assets-Liab 5-6'!N21</f>
        <v>1828445</v>
      </c>
      <c r="D282" s="2" t="str">
        <f t="shared" si="3"/>
        <v>Error?</v>
      </c>
    </row>
    <row r="283" spans="1:4" x14ac:dyDescent="0.2">
      <c r="A283" s="5">
        <v>222</v>
      </c>
      <c r="B283" s="138">
        <f>'Assets-Liab 5-6'!N22</f>
        <v>22791555</v>
      </c>
      <c r="D283" s="2" t="str">
        <f t="shared" si="3"/>
        <v>Error?</v>
      </c>
    </row>
    <row r="284" spans="1:4" x14ac:dyDescent="0.2">
      <c r="A284" s="5">
        <v>223</v>
      </c>
      <c r="B284" s="138">
        <f>'Assets-Liab 5-6'!N23</f>
        <v>24620000</v>
      </c>
      <c r="C284" s="2" t="s">
        <v>573</v>
      </c>
      <c r="D284" s="2" t="str">
        <f t="shared" si="3"/>
        <v>Error?</v>
      </c>
    </row>
    <row r="285" spans="1:4" x14ac:dyDescent="0.2">
      <c r="A285" s="5">
        <v>224</v>
      </c>
      <c r="B285" s="138">
        <f>'Assets-Liab 5-6'!N36</f>
        <v>24620000</v>
      </c>
      <c r="D285" s="2" t="str">
        <f t="shared" si="3"/>
        <v>Error?</v>
      </c>
    </row>
    <row r="286" spans="1:4" x14ac:dyDescent="0.2">
      <c r="A286" s="10">
        <v>225</v>
      </c>
      <c r="D286" s="2" t="str">
        <f t="shared" si="3"/>
        <v>OK</v>
      </c>
    </row>
    <row r="287" spans="1:4" x14ac:dyDescent="0.2">
      <c r="A287" s="5">
        <v>226</v>
      </c>
      <c r="B287" s="138">
        <f>'Assets-Liab 5-6'!N37</f>
        <v>24620000</v>
      </c>
      <c r="C287" s="2" t="s">
        <v>573</v>
      </c>
      <c r="D287" s="2" t="str">
        <f t="shared" si="3"/>
        <v>Error?</v>
      </c>
    </row>
    <row r="288" spans="1:4" x14ac:dyDescent="0.2">
      <c r="A288" s="5">
        <v>227</v>
      </c>
      <c r="B288" s="138">
        <f>'Assets-Liab 5-6'!N41</f>
        <v>24620000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14000000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10246564</v>
      </c>
      <c r="D705" s="2" t="str">
        <f t="shared" si="10"/>
        <v>Error?</v>
      </c>
    </row>
    <row r="706" spans="1:4" x14ac:dyDescent="0.2">
      <c r="A706" s="5">
        <v>645</v>
      </c>
      <c r="B706" s="138">
        <f>'Expenditures 15-22'!C16</f>
        <v>274877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798875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264328</v>
      </c>
      <c r="D718" s="2" t="str">
        <f t="shared" si="10"/>
        <v>Error?</v>
      </c>
    </row>
    <row r="719" spans="1:4" x14ac:dyDescent="0.2">
      <c r="A719" s="5">
        <v>658</v>
      </c>
      <c r="B719" s="138">
        <f>'Expenditures 15-22'!C15</f>
        <v>174342</v>
      </c>
      <c r="D719" s="2" t="str">
        <f t="shared" si="10"/>
        <v>Error?</v>
      </c>
    </row>
    <row r="720" spans="1:4" x14ac:dyDescent="0.2">
      <c r="A720" s="5">
        <v>659</v>
      </c>
      <c r="B720" s="138">
        <f>'Expenditures 15-22'!C33</f>
        <v>16138937</v>
      </c>
      <c r="C720" s="2" t="s">
        <v>573</v>
      </c>
      <c r="D720" s="2" t="str">
        <f t="shared" si="10"/>
        <v>Error?</v>
      </c>
    </row>
    <row r="721" spans="1:4" x14ac:dyDescent="0.2">
      <c r="A721" s="5">
        <v>660</v>
      </c>
      <c r="B721" s="138">
        <f>'Expenditures 15-22'!C36</f>
        <v>613631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486060</v>
      </c>
      <c r="D723" s="2" t="str">
        <f t="shared" si="10"/>
        <v>Error?</v>
      </c>
    </row>
    <row r="724" spans="1:4" x14ac:dyDescent="0.2">
      <c r="A724" s="5">
        <v>663</v>
      </c>
      <c r="B724" s="138">
        <f>'Expenditures 15-22'!C39</f>
        <v>200495</v>
      </c>
      <c r="D724" s="2" t="str">
        <f t="shared" si="10"/>
        <v>Error?</v>
      </c>
    </row>
    <row r="725" spans="1:4" x14ac:dyDescent="0.2">
      <c r="A725" s="5">
        <v>664</v>
      </c>
      <c r="B725" s="138">
        <f>'Expenditures 15-22'!C40</f>
        <v>796408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2096594</v>
      </c>
      <c r="C727" s="2" t="s">
        <v>573</v>
      </c>
      <c r="D727" s="2" t="str">
        <f t="shared" si="10"/>
        <v>Error?</v>
      </c>
    </row>
    <row r="728" spans="1:4" x14ac:dyDescent="0.2">
      <c r="A728" s="5">
        <v>667</v>
      </c>
      <c r="B728" s="138">
        <f>'Expenditures 15-22'!C44</f>
        <v>345267</v>
      </c>
      <c r="D728" s="2" t="str">
        <f t="shared" si="10"/>
        <v>Error?</v>
      </c>
    </row>
    <row r="729" spans="1:4" x14ac:dyDescent="0.2">
      <c r="A729" s="5">
        <v>668</v>
      </c>
      <c r="B729" s="138">
        <f>'Expenditures 15-22'!C45</f>
        <v>402475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747742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335422</v>
      </c>
      <c r="D733" s="2" t="str">
        <f t="shared" si="10"/>
        <v>Error?</v>
      </c>
    </row>
    <row r="734" spans="1:4" x14ac:dyDescent="0.2">
      <c r="A734" s="5">
        <v>673</v>
      </c>
      <c r="B734" s="138">
        <f>'Expenditures 15-22'!C53</f>
        <v>602053</v>
      </c>
      <c r="C734" s="2" t="s">
        <v>573</v>
      </c>
      <c r="D734" s="2" t="str">
        <f t="shared" si="10"/>
        <v>Error?</v>
      </c>
    </row>
    <row r="735" spans="1:4" x14ac:dyDescent="0.2">
      <c r="A735" s="5">
        <v>674</v>
      </c>
      <c r="B735" s="138">
        <f>'Expenditures 15-22'!C55</f>
        <v>1168563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1168563</v>
      </c>
      <c r="C737" s="2" t="s">
        <v>573</v>
      </c>
      <c r="D737" s="2" t="str">
        <f t="shared" si="10"/>
        <v>Error?</v>
      </c>
    </row>
    <row r="738" spans="1:4" x14ac:dyDescent="0.2">
      <c r="A738" s="5">
        <v>677</v>
      </c>
      <c r="B738" s="138">
        <f>'Expenditures 15-22'!C59</f>
        <v>112709</v>
      </c>
      <c r="D738" s="2" t="str">
        <f t="shared" si="10"/>
        <v>Error?</v>
      </c>
    </row>
    <row r="739" spans="1:4" x14ac:dyDescent="0.2">
      <c r="A739" s="5">
        <v>678</v>
      </c>
      <c r="B739" s="138">
        <f>'Expenditures 15-22'!C60</f>
        <v>182556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148258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443523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1565</v>
      </c>
      <c r="D748" s="2" t="str">
        <f t="shared" si="10"/>
        <v>Error?</v>
      </c>
    </row>
    <row r="749" spans="1:4" x14ac:dyDescent="0.2">
      <c r="A749" s="5">
        <v>688</v>
      </c>
      <c r="B749" s="138">
        <f>'Expenditures 15-22'!C70</f>
        <v>71640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73205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5131680</v>
      </c>
      <c r="C755" s="2" t="s">
        <v>573</v>
      </c>
      <c r="D755" s="2" t="str">
        <f t="shared" si="10"/>
        <v>Error?</v>
      </c>
    </row>
    <row r="756" spans="1:4" x14ac:dyDescent="0.2">
      <c r="A756" s="5">
        <v>695</v>
      </c>
      <c r="B756" s="138">
        <f>'Expenditures 15-22'!C75</f>
        <v>218063</v>
      </c>
      <c r="D756" s="2" t="str">
        <f t="shared" si="10"/>
        <v>Error?</v>
      </c>
    </row>
    <row r="757" spans="1:4" x14ac:dyDescent="0.2">
      <c r="A757" s="5">
        <v>696</v>
      </c>
      <c r="B757" s="138">
        <f>'Expenditures 15-22'!C114</f>
        <v>21488680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2454331</v>
      </c>
      <c r="D763" s="2" t="str">
        <f t="shared" si="10"/>
        <v>Error?</v>
      </c>
    </row>
    <row r="764" spans="1:4" x14ac:dyDescent="0.2">
      <c r="A764" s="5">
        <v>703</v>
      </c>
      <c r="B764" s="138">
        <f>'Expenditures 15-22'!D16</f>
        <v>36794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209463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3780</v>
      </c>
      <c r="D776" s="2" t="str">
        <f t="shared" si="11"/>
        <v>Error?</v>
      </c>
    </row>
    <row r="777" spans="1:4" x14ac:dyDescent="0.2">
      <c r="A777" s="5">
        <v>716</v>
      </c>
      <c r="B777" s="138">
        <f>'Expenditures 15-22'!D15</f>
        <v>1738</v>
      </c>
      <c r="D777" s="2" t="str">
        <f t="shared" si="11"/>
        <v>Error?</v>
      </c>
    </row>
    <row r="778" spans="1:4" x14ac:dyDescent="0.2">
      <c r="A778" s="5">
        <v>717</v>
      </c>
      <c r="B778" s="138">
        <f>'Expenditures 15-22'!D33</f>
        <v>3808045</v>
      </c>
      <c r="C778" s="2" t="s">
        <v>573</v>
      </c>
      <c r="D778" s="2" t="str">
        <f t="shared" si="11"/>
        <v>Error?</v>
      </c>
    </row>
    <row r="779" spans="1:4" x14ac:dyDescent="0.2">
      <c r="A779" s="5">
        <v>718</v>
      </c>
      <c r="B779" s="138">
        <f>'Expenditures 15-22'!D36</f>
        <v>106836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124280</v>
      </c>
      <c r="D781" s="2" t="str">
        <f t="shared" si="11"/>
        <v>Error?</v>
      </c>
    </row>
    <row r="782" spans="1:4" x14ac:dyDescent="0.2">
      <c r="A782" s="5">
        <v>721</v>
      </c>
      <c r="B782" s="138">
        <f>'Expenditures 15-22'!D39</f>
        <v>44242</v>
      </c>
      <c r="D782" s="2" t="str">
        <f t="shared" si="11"/>
        <v>Error?</v>
      </c>
    </row>
    <row r="783" spans="1:4" x14ac:dyDescent="0.2">
      <c r="A783" s="5">
        <v>722</v>
      </c>
      <c r="B783" s="138">
        <f>'Expenditures 15-22'!D40</f>
        <v>186170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461528</v>
      </c>
      <c r="C785" s="2" t="s">
        <v>573</v>
      </c>
      <c r="D785" s="2" t="str">
        <f t="shared" si="11"/>
        <v>Error?</v>
      </c>
    </row>
    <row r="786" spans="1:4" x14ac:dyDescent="0.2">
      <c r="A786" s="5">
        <v>725</v>
      </c>
      <c r="B786" s="138">
        <f>'Expenditures 15-22'!D44</f>
        <v>51078</v>
      </c>
      <c r="D786" s="2" t="str">
        <f t="shared" si="11"/>
        <v>Error?</v>
      </c>
    </row>
    <row r="787" spans="1:4" x14ac:dyDescent="0.2">
      <c r="A787" s="5">
        <v>726</v>
      </c>
      <c r="B787" s="138">
        <f>'Expenditures 15-22'!D45</f>
        <v>76878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127956</v>
      </c>
      <c r="C789" s="2" t="s">
        <v>573</v>
      </c>
      <c r="D789" s="2" t="str">
        <f t="shared" si="11"/>
        <v>Error?</v>
      </c>
    </row>
    <row r="790" spans="1:4" x14ac:dyDescent="0.2">
      <c r="A790" s="5">
        <v>729</v>
      </c>
      <c r="B790" s="138">
        <f>'Expenditures 15-22'!D49</f>
        <v>73818</v>
      </c>
      <c r="D790" s="2" t="str">
        <f t="shared" si="11"/>
        <v>Error?</v>
      </c>
    </row>
    <row r="791" spans="1:4" x14ac:dyDescent="0.2">
      <c r="A791" s="5">
        <v>730</v>
      </c>
      <c r="B791" s="138">
        <f>'Expenditures 15-22'!D50</f>
        <v>89051</v>
      </c>
      <c r="D791" s="2" t="str">
        <f t="shared" si="11"/>
        <v>Error?</v>
      </c>
    </row>
    <row r="792" spans="1:4" x14ac:dyDescent="0.2">
      <c r="A792" s="5">
        <v>731</v>
      </c>
      <c r="B792" s="138">
        <f>'Expenditures 15-22'!D53</f>
        <v>227026</v>
      </c>
      <c r="C792" s="2" t="s">
        <v>573</v>
      </c>
      <c r="D792" s="2" t="str">
        <f t="shared" si="11"/>
        <v>Error?</v>
      </c>
    </row>
    <row r="793" spans="1:4" x14ac:dyDescent="0.2">
      <c r="A793" s="5">
        <v>732</v>
      </c>
      <c r="B793" s="138">
        <f>'Expenditures 15-22'!D55</f>
        <v>406142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406142</v>
      </c>
      <c r="C795" s="2" t="s">
        <v>573</v>
      </c>
      <c r="D795" s="2" t="str">
        <f t="shared" si="11"/>
        <v>Error?</v>
      </c>
    </row>
    <row r="796" spans="1:4" x14ac:dyDescent="0.2">
      <c r="A796" s="5">
        <v>735</v>
      </c>
      <c r="B796" s="138">
        <f>'Expenditures 15-22'!D59</f>
        <v>36208</v>
      </c>
      <c r="D796" s="2" t="str">
        <f t="shared" si="11"/>
        <v>Error?</v>
      </c>
    </row>
    <row r="797" spans="1:4" x14ac:dyDescent="0.2">
      <c r="A797" s="5">
        <v>736</v>
      </c>
      <c r="B797" s="138">
        <f>'Expenditures 15-22'!D60</f>
        <v>32483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69154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21</v>
      </c>
      <c r="D806" s="2" t="str">
        <f t="shared" si="11"/>
        <v>Error?</v>
      </c>
    </row>
    <row r="807" spans="1:4" x14ac:dyDescent="0.2">
      <c r="A807" s="5">
        <v>746</v>
      </c>
      <c r="B807" s="138">
        <f>'Expenditures 15-22'!D70</f>
        <v>20576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20597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1312403</v>
      </c>
      <c r="C813" s="2" t="s">
        <v>573</v>
      </c>
      <c r="D813" s="2" t="str">
        <f t="shared" si="11"/>
        <v>Error?</v>
      </c>
    </row>
    <row r="814" spans="1:4" x14ac:dyDescent="0.2">
      <c r="A814" s="5">
        <v>753</v>
      </c>
      <c r="B814" s="138">
        <f>'Expenditures 15-22'!D75</f>
        <v>47979</v>
      </c>
      <c r="D814" s="2" t="str">
        <f t="shared" si="11"/>
        <v>Error?</v>
      </c>
    </row>
    <row r="815" spans="1:4" x14ac:dyDescent="0.2">
      <c r="A815" s="5">
        <v>754</v>
      </c>
      <c r="B815" s="138">
        <f>'Expenditures 15-22'!D114</f>
        <v>5168427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273321</v>
      </c>
      <c r="D821" s="2" t="str">
        <f t="shared" si="11"/>
        <v>Error?</v>
      </c>
    </row>
    <row r="822" spans="1:4" x14ac:dyDescent="0.2">
      <c r="A822" s="5">
        <v>761</v>
      </c>
      <c r="B822" s="138">
        <f>'Expenditures 15-22'!E16</f>
        <v>4708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2452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317279</v>
      </c>
      <c r="C836" s="2" t="s">
        <v>573</v>
      </c>
      <c r="D836" s="2" t="str">
        <f t="shared" si="12"/>
        <v>Error?</v>
      </c>
    </row>
    <row r="837" spans="1:4" x14ac:dyDescent="0.2">
      <c r="A837" s="5">
        <v>776</v>
      </c>
      <c r="B837" s="138">
        <f>'Expenditures 15-22'!E36</f>
        <v>77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56169</v>
      </c>
      <c r="D839" s="2" t="str">
        <f t="shared" si="12"/>
        <v>Error?</v>
      </c>
    </row>
    <row r="840" spans="1:4" x14ac:dyDescent="0.2">
      <c r="A840" s="5">
        <v>779</v>
      </c>
      <c r="B840" s="138">
        <f>'Expenditures 15-22'!E39</f>
        <v>30244</v>
      </c>
      <c r="D840" s="2" t="str">
        <f t="shared" si="12"/>
        <v>Error?</v>
      </c>
    </row>
    <row r="841" spans="1:4" x14ac:dyDescent="0.2">
      <c r="A841" s="5">
        <v>780</v>
      </c>
      <c r="B841" s="138">
        <f>'Expenditures 15-22'!E40</f>
        <v>26634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113124</v>
      </c>
      <c r="C843" s="2" t="s">
        <v>573</v>
      </c>
      <c r="D843" s="2" t="str">
        <f t="shared" si="12"/>
        <v>Error?</v>
      </c>
    </row>
    <row r="844" spans="1:4" x14ac:dyDescent="0.2">
      <c r="A844" s="5">
        <v>783</v>
      </c>
      <c r="B844" s="138">
        <f>'Expenditures 15-22'!E44</f>
        <v>127618</v>
      </c>
      <c r="D844" s="2" t="str">
        <f t="shared" si="12"/>
        <v>Error?</v>
      </c>
    </row>
    <row r="845" spans="1:4" x14ac:dyDescent="0.2">
      <c r="A845" s="5">
        <v>784</v>
      </c>
      <c r="B845" s="138">
        <f>'Expenditures 15-22'!E45</f>
        <v>1563</v>
      </c>
      <c r="D845" s="2" t="str">
        <f t="shared" si="12"/>
        <v>Error?</v>
      </c>
    </row>
    <row r="846" spans="1:4" x14ac:dyDescent="0.2">
      <c r="A846" s="5">
        <v>785</v>
      </c>
      <c r="B846" s="138">
        <f>'Expenditures 15-22'!E46</f>
        <v>35625</v>
      </c>
      <c r="D846" s="2" t="str">
        <f t="shared" si="12"/>
        <v>Error?</v>
      </c>
    </row>
    <row r="847" spans="1:4" x14ac:dyDescent="0.2">
      <c r="A847" s="5">
        <v>786</v>
      </c>
      <c r="B847" s="138">
        <f>'Expenditures 15-22'!E47</f>
        <v>164806</v>
      </c>
      <c r="C847" s="2" t="s">
        <v>573</v>
      </c>
      <c r="D847" s="2" t="str">
        <f t="shared" si="12"/>
        <v>Error?</v>
      </c>
    </row>
    <row r="848" spans="1:4" x14ac:dyDescent="0.2">
      <c r="A848" s="5">
        <v>787</v>
      </c>
      <c r="B848" s="138">
        <f>'Expenditures 15-22'!E49</f>
        <v>231670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233455</v>
      </c>
      <c r="C850" s="2" t="s">
        <v>573</v>
      </c>
      <c r="D850" s="2" t="str">
        <f t="shared" si="12"/>
        <v>Error?</v>
      </c>
    </row>
    <row r="851" spans="1:4" x14ac:dyDescent="0.2">
      <c r="A851" s="5">
        <v>790</v>
      </c>
      <c r="B851" s="138">
        <f>'Expenditures 15-22'!E55</f>
        <v>1246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1246</v>
      </c>
      <c r="C853" s="2" t="s">
        <v>573</v>
      </c>
      <c r="D853" s="2" t="str">
        <f t="shared" si="12"/>
        <v>Error?</v>
      </c>
    </row>
    <row r="854" spans="1:4" x14ac:dyDescent="0.2">
      <c r="A854" s="5">
        <v>793</v>
      </c>
      <c r="B854" s="138">
        <f>'Expenditures 15-22'!E59</f>
        <v>2927</v>
      </c>
      <c r="D854" s="2" t="str">
        <f t="shared" si="12"/>
        <v>Error?</v>
      </c>
    </row>
    <row r="855" spans="1:4" x14ac:dyDescent="0.2">
      <c r="A855" s="5">
        <v>794</v>
      </c>
      <c r="B855" s="138">
        <f>'Expenditures 15-22'!E60</f>
        <v>5089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48784</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56800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67966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67966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637397</v>
      </c>
      <c r="C871" s="2" t="s">
        <v>573</v>
      </c>
      <c r="D871" s="2" t="str">
        <f t="shared" si="12"/>
        <v>Error?</v>
      </c>
    </row>
    <row r="872" spans="1:4" x14ac:dyDescent="0.2">
      <c r="A872" s="5">
        <v>811</v>
      </c>
      <c r="B872" s="138">
        <f>'Expenditures 15-22'!E75</f>
        <v>14454</v>
      </c>
      <c r="D872" s="2" t="str">
        <f t="shared" si="12"/>
        <v>Error?</v>
      </c>
    </row>
    <row r="873" spans="1:4" x14ac:dyDescent="0.2">
      <c r="A873" s="5">
        <v>812</v>
      </c>
      <c r="B873" s="138">
        <f>'Expenditures 15-22'!E114</f>
        <v>969470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877522</v>
      </c>
      <c r="D879" s="2" t="str">
        <f t="shared" si="12"/>
        <v>Error?</v>
      </c>
    </row>
    <row r="880" spans="1:4" x14ac:dyDescent="0.2">
      <c r="A880" s="5">
        <v>819</v>
      </c>
      <c r="B880" s="138">
        <f>'Expenditures 15-22'!F16</f>
        <v>1349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10188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23639</v>
      </c>
      <c r="D892" s="2" t="str">
        <f t="shared" si="12"/>
        <v>Error?</v>
      </c>
    </row>
    <row r="893" spans="1:4" x14ac:dyDescent="0.2">
      <c r="A893" s="5">
        <v>832</v>
      </c>
      <c r="B893" s="138">
        <f>'Expenditures 15-22'!F15</f>
        <v>-394</v>
      </c>
      <c r="D893" s="2" t="str">
        <f t="shared" si="12"/>
        <v>Error?</v>
      </c>
    </row>
    <row r="894" spans="1:4" x14ac:dyDescent="0.2">
      <c r="A894" s="5">
        <v>833</v>
      </c>
      <c r="B894" s="138">
        <f>'Expenditures 15-22'!F33</f>
        <v>950142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6861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7122</v>
      </c>
      <c r="C901" s="2" t="s">
        <v>573</v>
      </c>
      <c r="D901" s="2" t="str">
        <f t="shared" si="13"/>
        <v>Error?</v>
      </c>
    </row>
    <row r="902" spans="1:4" x14ac:dyDescent="0.2">
      <c r="A902" s="5">
        <v>841</v>
      </c>
      <c r="B902" s="138">
        <f>'Expenditures 15-22'!F44</f>
        <v>14601</v>
      </c>
      <c r="D902" s="2" t="str">
        <f t="shared" si="13"/>
        <v>Error?</v>
      </c>
    </row>
    <row r="903" spans="1:4" x14ac:dyDescent="0.2">
      <c r="A903" s="5">
        <v>842</v>
      </c>
      <c r="B903" s="138">
        <f>'Expenditures 15-22'!F45</f>
        <v>137651</v>
      </c>
      <c r="D903" s="2" t="str">
        <f t="shared" si="13"/>
        <v>Error?</v>
      </c>
    </row>
    <row r="904" spans="1:4" x14ac:dyDescent="0.2">
      <c r="A904" s="5">
        <v>843</v>
      </c>
      <c r="B904" s="138">
        <f>'Expenditures 15-22'!F46</f>
        <v>16071</v>
      </c>
      <c r="D904" s="2" t="str">
        <f t="shared" si="13"/>
        <v>Error?</v>
      </c>
    </row>
    <row r="905" spans="1:4" x14ac:dyDescent="0.2">
      <c r="A905" s="5">
        <v>844</v>
      </c>
      <c r="B905" s="138">
        <f>'Expenditures 15-22'!F47</f>
        <v>168323</v>
      </c>
      <c r="C905" s="2" t="s">
        <v>573</v>
      </c>
      <c r="D905" s="2" t="str">
        <f t="shared" si="13"/>
        <v>Error?</v>
      </c>
    </row>
    <row r="906" spans="1:4" x14ac:dyDescent="0.2">
      <c r="A906" s="5">
        <v>845</v>
      </c>
      <c r="B906" s="138">
        <f>'Expenditures 15-22'!F49</f>
        <v>35230</v>
      </c>
      <c r="D906" s="2" t="str">
        <f t="shared" si="13"/>
        <v>Error?</v>
      </c>
    </row>
    <row r="907" spans="1:4" x14ac:dyDescent="0.2">
      <c r="A907" s="5">
        <v>846</v>
      </c>
      <c r="B907" s="138">
        <f>'Expenditures 15-22'!F50</f>
        <v>2384</v>
      </c>
      <c r="D907" s="2" t="str">
        <f t="shared" si="13"/>
        <v>Error?</v>
      </c>
    </row>
    <row r="908" spans="1:4" x14ac:dyDescent="0.2">
      <c r="A908" s="5">
        <v>847</v>
      </c>
      <c r="B908" s="138">
        <f>'Expenditures 15-22'!F53</f>
        <v>39041</v>
      </c>
      <c r="C908" s="2" t="s">
        <v>573</v>
      </c>
      <c r="D908" s="2" t="str">
        <f t="shared" si="13"/>
        <v>Error?</v>
      </c>
    </row>
    <row r="909" spans="1:4" x14ac:dyDescent="0.2">
      <c r="A909" s="5">
        <v>848</v>
      </c>
      <c r="B909" s="138">
        <f>'Expenditures 15-22'!F55</f>
        <v>13280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13280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549800</v>
      </c>
      <c r="D916" s="2" t="str">
        <f t="shared" si="13"/>
        <v>Error?</v>
      </c>
    </row>
    <row r="917" spans="1:4" x14ac:dyDescent="0.2">
      <c r="A917" s="5">
        <v>856</v>
      </c>
      <c r="B917" s="138">
        <f>'Expenditures 15-22'!F64</f>
        <v>2115</v>
      </c>
      <c r="D917" s="2" t="str">
        <f t="shared" si="13"/>
        <v>Error?</v>
      </c>
    </row>
    <row r="918" spans="1:4" x14ac:dyDescent="0.2">
      <c r="A918" s="10">
        <v>857</v>
      </c>
      <c r="D918" s="2" t="str">
        <f t="shared" si="13"/>
        <v>OK</v>
      </c>
    </row>
    <row r="919" spans="1:4" x14ac:dyDescent="0.2">
      <c r="A919" s="5">
        <v>858</v>
      </c>
      <c r="B919" s="138">
        <f>'Expenditures 15-22'!F65</f>
        <v>555266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174</v>
      </c>
      <c r="D923" s="2" t="str">
        <f t="shared" si="13"/>
        <v>Error?</v>
      </c>
    </row>
    <row r="924" spans="1:4" x14ac:dyDescent="0.2">
      <c r="A924" s="10">
        <v>863</v>
      </c>
      <c r="D924" s="2" t="str">
        <f t="shared" si="13"/>
        <v>OK</v>
      </c>
    </row>
    <row r="925" spans="1:4" x14ac:dyDescent="0.2">
      <c r="A925" s="5">
        <v>864</v>
      </c>
      <c r="B925" s="138">
        <f>'Expenditures 15-22'!F71</f>
        <v>63949</v>
      </c>
      <c r="D925" s="2" t="str">
        <f t="shared" si="13"/>
        <v>Error?</v>
      </c>
    </row>
    <row r="926" spans="1:4" x14ac:dyDescent="0.2">
      <c r="A926" s="10">
        <v>865</v>
      </c>
      <c r="D926" s="2" t="str">
        <f t="shared" si="13"/>
        <v>OK</v>
      </c>
    </row>
    <row r="927" spans="1:4" x14ac:dyDescent="0.2">
      <c r="A927" s="5">
        <v>866</v>
      </c>
      <c r="B927" s="138">
        <f>'Expenditures 15-22'!F72</f>
        <v>64123</v>
      </c>
      <c r="C927" s="2" t="s">
        <v>573</v>
      </c>
      <c r="D927" s="2" t="str">
        <f t="shared" si="13"/>
        <v>Error?</v>
      </c>
    </row>
    <row r="928" spans="1:4" x14ac:dyDescent="0.2">
      <c r="A928" s="5">
        <v>867</v>
      </c>
      <c r="B928" s="138">
        <f>'Expenditures 15-22'!F73</f>
        <v>298</v>
      </c>
      <c r="D928" s="2" t="str">
        <f t="shared" si="13"/>
        <v>Error?</v>
      </c>
    </row>
    <row r="929" spans="1:4" x14ac:dyDescent="0.2">
      <c r="A929" s="5">
        <v>868</v>
      </c>
      <c r="B929" s="138">
        <f>'Expenditures 15-22'!F74</f>
        <v>847453</v>
      </c>
      <c r="C929" s="2" t="s">
        <v>573</v>
      </c>
      <c r="D929" s="2" t="str">
        <f t="shared" si="13"/>
        <v>Error?</v>
      </c>
    </row>
    <row r="930" spans="1:4" x14ac:dyDescent="0.2">
      <c r="A930" s="5">
        <v>869</v>
      </c>
      <c r="B930" s="138">
        <f>'Expenditures 15-22'!F75</f>
        <v>34437</v>
      </c>
      <c r="D930" s="2" t="str">
        <f t="shared" si="13"/>
        <v>Error?</v>
      </c>
    </row>
    <row r="931" spans="1:4" x14ac:dyDescent="0.2">
      <c r="A931" s="5">
        <v>870</v>
      </c>
      <c r="B931" s="138">
        <f>'Expenditures 15-22'!F114</f>
        <v>1832032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138227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138227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138227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575472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731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731</v>
      </c>
      <c r="C1021" s="2" t="s">
        <v>573</v>
      </c>
      <c r="D1021" s="2" t="str">
        <f t="shared" si="14"/>
        <v>Error?</v>
      </c>
    </row>
    <row r="1022" spans="1:4" x14ac:dyDescent="0.2">
      <c r="A1022" s="5">
        <v>961</v>
      </c>
      <c r="B1022" s="138">
        <f>'Expenditures 15-22'!H49</f>
        <v>71141</v>
      </c>
      <c r="D1022" s="2" t="str">
        <f t="shared" si="14"/>
        <v>Error?</v>
      </c>
    </row>
    <row r="1023" spans="1:4" x14ac:dyDescent="0.2">
      <c r="A1023" s="5">
        <v>962</v>
      </c>
      <c r="B1023" s="138">
        <f>'Expenditures 15-22'!H50</f>
        <v>4389</v>
      </c>
      <c r="D1023" s="2" t="str">
        <f t="shared" ref="D1023:D1086" si="15">IF(ISBLANK(B1023),"OK",IF(A1023-B1023=0,"OK","Error?"))</f>
        <v>Error?</v>
      </c>
    </row>
    <row r="1024" spans="1:4" x14ac:dyDescent="0.2">
      <c r="A1024" s="5">
        <v>963</v>
      </c>
      <c r="B1024" s="138">
        <f>'Expenditures 15-22'!H53</f>
        <v>75780</v>
      </c>
      <c r="C1024" s="2" t="s">
        <v>573</v>
      </c>
      <c r="D1024" s="2" t="str">
        <f t="shared" si="15"/>
        <v>Error?</v>
      </c>
    </row>
    <row r="1025" spans="1:4" x14ac:dyDescent="0.2">
      <c r="A1025" s="5">
        <v>964</v>
      </c>
      <c r="B1025" s="138">
        <f>'Expenditures 15-22'!H55</f>
        <v>4655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4655</v>
      </c>
      <c r="C1027" s="2" t="s">
        <v>573</v>
      </c>
      <c r="D1027" s="2" t="str">
        <f t="shared" si="15"/>
        <v>Error?</v>
      </c>
    </row>
    <row r="1028" spans="1:4" x14ac:dyDescent="0.2">
      <c r="A1028" s="5">
        <v>967</v>
      </c>
      <c r="B1028" s="138">
        <f>'Expenditures 15-22'!H59</f>
        <v>2022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2022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829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829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84017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645021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1304510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14492791</v>
      </c>
      <c r="C1093" s="2" t="s">
        <v>573</v>
      </c>
      <c r="D1093" s="2" t="str">
        <f t="shared" si="16"/>
        <v>Error?</v>
      </c>
    </row>
    <row r="1094" spans="1:4" x14ac:dyDescent="0.2">
      <c r="A1094" s="5">
        <v>1033</v>
      </c>
      <c r="B1094" s="138">
        <f>'Expenditures 15-22'!K16</f>
        <v>317728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1020978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300566</v>
      </c>
      <c r="C1106" s="2" t="s">
        <v>573</v>
      </c>
      <c r="D1106" s="2" t="str">
        <f t="shared" si="16"/>
        <v>Error?</v>
      </c>
    </row>
    <row r="1107" spans="1:4" x14ac:dyDescent="0.2">
      <c r="A1107" s="5">
        <v>1046</v>
      </c>
      <c r="B1107" s="138">
        <f>'Expenditures 15-22'!K15</f>
        <v>175686</v>
      </c>
      <c r="C1107" s="2" t="s">
        <v>573</v>
      </c>
      <c r="D1107" s="2" t="str">
        <f t="shared" si="16"/>
        <v>Error?</v>
      </c>
    </row>
    <row r="1108" spans="1:4" x14ac:dyDescent="0.2">
      <c r="A1108" s="5">
        <v>1047</v>
      </c>
      <c r="B1108" s="138">
        <f>'Expenditures 15-22'!K33</f>
        <v>22433676</v>
      </c>
      <c r="C1108" s="2" t="s">
        <v>573</v>
      </c>
      <c r="D1108" s="2" t="str">
        <f t="shared" si="16"/>
        <v>Error?</v>
      </c>
    </row>
    <row r="1109" spans="1:4" x14ac:dyDescent="0.2">
      <c r="A1109" s="5">
        <v>1048</v>
      </c>
      <c r="B1109" s="138">
        <f>'Expenditures 15-22'!K36</f>
        <v>720544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691538</v>
      </c>
      <c r="C1111" s="2" t="s">
        <v>573</v>
      </c>
      <c r="D1111" s="2" t="str">
        <f t="shared" si="16"/>
        <v>Error?</v>
      </c>
    </row>
    <row r="1112" spans="1:4" x14ac:dyDescent="0.2">
      <c r="A1112" s="5">
        <v>1051</v>
      </c>
      <c r="B1112" s="138">
        <f>'Expenditures 15-22'!K39</f>
        <v>274981</v>
      </c>
      <c r="C1112" s="2" t="s">
        <v>573</v>
      </c>
      <c r="D1112" s="2" t="str">
        <f t="shared" si="16"/>
        <v>Error?</v>
      </c>
    </row>
    <row r="1113" spans="1:4" x14ac:dyDescent="0.2">
      <c r="A1113" s="5">
        <v>1052</v>
      </c>
      <c r="B1113" s="138">
        <f>'Expenditures 15-22'!K40</f>
        <v>1009473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2696536</v>
      </c>
      <c r="C1115" s="2" t="s">
        <v>573</v>
      </c>
      <c r="D1115" s="2" t="str">
        <f t="shared" si="16"/>
        <v>Error?</v>
      </c>
    </row>
    <row r="1116" spans="1:4" x14ac:dyDescent="0.2">
      <c r="A1116" s="5">
        <v>1055</v>
      </c>
      <c r="B1116" s="138">
        <f>'Expenditures 15-22'!K44</f>
        <v>539295</v>
      </c>
      <c r="C1116" s="2" t="s">
        <v>573</v>
      </c>
      <c r="D1116" s="2" t="str">
        <f t="shared" si="16"/>
        <v>Error?</v>
      </c>
    </row>
    <row r="1117" spans="1:4" x14ac:dyDescent="0.2">
      <c r="A1117" s="5">
        <v>1056</v>
      </c>
      <c r="B1117" s="138">
        <f>'Expenditures 15-22'!K45</f>
        <v>618567</v>
      </c>
      <c r="C1117" s="2" t="s">
        <v>573</v>
      </c>
      <c r="D1117" s="2" t="str">
        <f t="shared" si="16"/>
        <v>Error?</v>
      </c>
    </row>
    <row r="1118" spans="1:4" x14ac:dyDescent="0.2">
      <c r="A1118" s="5">
        <v>1057</v>
      </c>
      <c r="B1118" s="138">
        <f>'Expenditures 15-22'!K46</f>
        <v>51696</v>
      </c>
      <c r="C1118" s="2" t="s">
        <v>573</v>
      </c>
      <c r="D1118" s="2" t="str">
        <f t="shared" si="16"/>
        <v>Error?</v>
      </c>
    </row>
    <row r="1119" spans="1:4" x14ac:dyDescent="0.2">
      <c r="A1119" s="5">
        <v>1058</v>
      </c>
      <c r="B1119" s="138">
        <f>'Expenditures 15-22'!K47</f>
        <v>1209558</v>
      </c>
      <c r="C1119" s="2" t="s">
        <v>573</v>
      </c>
      <c r="D1119" s="2" t="str">
        <f t="shared" si="16"/>
        <v>Error?</v>
      </c>
    </row>
    <row r="1120" spans="1:4" x14ac:dyDescent="0.2">
      <c r="A1120" s="5">
        <v>1059</v>
      </c>
      <c r="B1120" s="138">
        <f>'Expenditures 15-22'!K49</f>
        <v>411859</v>
      </c>
      <c r="C1120" s="2" t="s">
        <v>573</v>
      </c>
      <c r="D1120" s="2" t="str">
        <f t="shared" si="16"/>
        <v>Error?</v>
      </c>
    </row>
    <row r="1121" spans="1:4" x14ac:dyDescent="0.2">
      <c r="A1121" s="5">
        <v>1060</v>
      </c>
      <c r="B1121" s="138">
        <f>'Expenditures 15-22'!K50</f>
        <v>431246</v>
      </c>
      <c r="C1121" s="2" t="s">
        <v>573</v>
      </c>
      <c r="D1121" s="2" t="str">
        <f t="shared" si="16"/>
        <v>Error?</v>
      </c>
    </row>
    <row r="1122" spans="1:4" x14ac:dyDescent="0.2">
      <c r="A1122" s="5">
        <v>1061</v>
      </c>
      <c r="B1122" s="138">
        <f>'Expenditures 15-22'!K53</f>
        <v>1177355</v>
      </c>
      <c r="C1122" s="2" t="s">
        <v>573</v>
      </c>
      <c r="D1122" s="2" t="str">
        <f t="shared" si="16"/>
        <v>Error?</v>
      </c>
    </row>
    <row r="1123" spans="1:4" x14ac:dyDescent="0.2">
      <c r="A1123" s="5">
        <v>1062</v>
      </c>
      <c r="B1123" s="138">
        <f>'Expenditures 15-22'!K55</f>
        <v>1593886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1593886</v>
      </c>
      <c r="C1125" s="2" t="s">
        <v>573</v>
      </c>
      <c r="D1125" s="2" t="str">
        <f t="shared" si="16"/>
        <v>Error?</v>
      </c>
    </row>
    <row r="1126" spans="1:4" x14ac:dyDescent="0.2">
      <c r="A1126" s="5">
        <v>1065</v>
      </c>
      <c r="B1126" s="138">
        <f>'Expenditures 15-22'!K59</f>
        <v>153866</v>
      </c>
      <c r="C1126" s="2" t="s">
        <v>573</v>
      </c>
      <c r="D1126" s="2" t="str">
        <f t="shared" si="16"/>
        <v>Error?</v>
      </c>
    </row>
    <row r="1127" spans="1:4" x14ac:dyDescent="0.2">
      <c r="A1127" s="5">
        <v>1066</v>
      </c>
      <c r="B1127" s="138">
        <f>'Expenditures 15-22'!K60</f>
        <v>223479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48784</v>
      </c>
      <c r="C1129" s="2" t="s">
        <v>573</v>
      </c>
      <c r="D1129" s="2" t="str">
        <f t="shared" si="16"/>
        <v>Error?</v>
      </c>
    </row>
    <row r="1130" spans="1:4" x14ac:dyDescent="0.2">
      <c r="A1130" s="5">
        <v>1069</v>
      </c>
      <c r="B1130" s="138">
        <f>'Expenditures 15-22'!K63</f>
        <v>698521</v>
      </c>
      <c r="C1130" s="2" t="s">
        <v>573</v>
      </c>
      <c r="D1130" s="2" t="str">
        <f t="shared" si="16"/>
        <v>Error?</v>
      </c>
    </row>
    <row r="1131" spans="1:4" x14ac:dyDescent="0.2">
      <c r="A1131" s="5">
        <v>1070</v>
      </c>
      <c r="B1131" s="138">
        <f>'Expenditures 15-22'!K64</f>
        <v>2115</v>
      </c>
      <c r="C1131" s="2" t="s">
        <v>573</v>
      </c>
      <c r="D1131" s="2" t="str">
        <f t="shared" si="16"/>
        <v>Error?</v>
      </c>
    </row>
    <row r="1132" spans="1:4" x14ac:dyDescent="0.2">
      <c r="A1132" s="10">
        <v>1071</v>
      </c>
      <c r="D1132" s="2" t="str">
        <f t="shared" si="16"/>
        <v>OK</v>
      </c>
    </row>
    <row r="1133" spans="1:4" x14ac:dyDescent="0.2">
      <c r="A1133" s="5">
        <v>1072</v>
      </c>
      <c r="B1133" s="138">
        <f>'Expenditures 15-22'!K65</f>
        <v>1126765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1586</v>
      </c>
      <c r="C1136" s="2" t="s">
        <v>573</v>
      </c>
      <c r="D1136" s="2" t="str">
        <f t="shared" si="16"/>
        <v>Error?</v>
      </c>
    </row>
    <row r="1137" spans="1:4" x14ac:dyDescent="0.2">
      <c r="A1137" s="5">
        <v>1076</v>
      </c>
      <c r="B1137" s="138">
        <f>'Expenditures 15-22'!K70</f>
        <v>161185</v>
      </c>
      <c r="C1137" s="2" t="s">
        <v>573</v>
      </c>
      <c r="D1137" s="2" t="str">
        <f t="shared" si="16"/>
        <v>Error?</v>
      </c>
    </row>
    <row r="1138" spans="1:4" x14ac:dyDescent="0.2">
      <c r="A1138" s="10">
        <v>1077</v>
      </c>
      <c r="D1138" s="2" t="str">
        <f t="shared" si="16"/>
        <v>OK</v>
      </c>
    </row>
    <row r="1139" spans="1:4" x14ac:dyDescent="0.2">
      <c r="A1139" s="5">
        <v>1078</v>
      </c>
      <c r="B1139" s="138">
        <f>'Expenditures 15-22'!K71</f>
        <v>91242</v>
      </c>
      <c r="C1139" s="2" t="s">
        <v>573</v>
      </c>
      <c r="D1139" s="2" t="str">
        <f t="shared" si="16"/>
        <v>Error?</v>
      </c>
    </row>
    <row r="1140" spans="1:4" x14ac:dyDescent="0.2">
      <c r="A1140" s="10">
        <v>1079</v>
      </c>
      <c r="D1140" s="2" t="str">
        <f t="shared" si="16"/>
        <v>OK</v>
      </c>
    </row>
    <row r="1141" spans="1:4" x14ac:dyDescent="0.2">
      <c r="A1141" s="5">
        <v>1080</v>
      </c>
      <c r="B1141" s="138">
        <f>'Expenditures 15-22'!K72</f>
        <v>254013</v>
      </c>
      <c r="C1141" s="2" t="s">
        <v>573</v>
      </c>
      <c r="D1141" s="2" t="str">
        <f t="shared" si="16"/>
        <v>Error?</v>
      </c>
    </row>
    <row r="1142" spans="1:4" x14ac:dyDescent="0.2">
      <c r="A1142" s="5">
        <v>1081</v>
      </c>
      <c r="B1142" s="138">
        <f>'Expenditures 15-22'!K73</f>
        <v>298</v>
      </c>
      <c r="C1142" s="2" t="s">
        <v>573</v>
      </c>
      <c r="D1142" s="2" t="str">
        <f t="shared" si="16"/>
        <v>Error?</v>
      </c>
    </row>
    <row r="1143" spans="1:4" x14ac:dyDescent="0.2">
      <c r="A1143" s="5">
        <v>1082</v>
      </c>
      <c r="B1143" s="138">
        <f>'Expenditures 15-22'!K74</f>
        <v>8058411</v>
      </c>
      <c r="C1143" s="2" t="s">
        <v>573</v>
      </c>
      <c r="D1143" s="2" t="str">
        <f t="shared" si="16"/>
        <v>Error?</v>
      </c>
    </row>
    <row r="1144" spans="1:4" x14ac:dyDescent="0.2">
      <c r="A1144" s="5">
        <v>1083</v>
      </c>
      <c r="B1144" s="138">
        <f>'Expenditures 15-22'!K75</f>
        <v>314933</v>
      </c>
      <c r="C1144" s="2" t="s">
        <v>573</v>
      </c>
      <c r="D1144" s="2" t="str">
        <f t="shared" si="16"/>
        <v>Error?</v>
      </c>
    </row>
    <row r="1145" spans="1:4" x14ac:dyDescent="0.2">
      <c r="A1145" s="5">
        <v>1084</v>
      </c>
      <c r="B1145" s="138">
        <f>'Expenditures 15-22'!K102</f>
        <v>645361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31452381</v>
      </c>
      <c r="C1152" s="2" t="s">
        <v>573</v>
      </c>
      <c r="D1152" s="2" t="str">
        <f t="shared" si="17"/>
        <v>Error?</v>
      </c>
    </row>
    <row r="1153" spans="1:4" x14ac:dyDescent="0.2">
      <c r="A1153" s="5">
        <v>1092</v>
      </c>
      <c r="B1153" s="138">
        <f>'Expenditures 15-22'!K115</f>
        <v>374823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26438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1356775</v>
      </c>
      <c r="D1221" s="2" t="str">
        <f t="shared" si="18"/>
        <v>Error?</v>
      </c>
    </row>
    <row r="1222" spans="1:4" x14ac:dyDescent="0.2">
      <c r="A1222" s="10">
        <v>1161</v>
      </c>
      <c r="D1222" s="2" t="str">
        <f t="shared" si="18"/>
        <v>OK</v>
      </c>
    </row>
    <row r="1223" spans="1:4" x14ac:dyDescent="0.2">
      <c r="A1223" s="5">
        <v>1162</v>
      </c>
      <c r="B1223" s="138">
        <f>'Expenditures 15-22'!C127</f>
        <v>1383213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1383213</v>
      </c>
      <c r="C1225" s="2" t="s">
        <v>573</v>
      </c>
      <c r="D1225" s="2" t="str">
        <f t="shared" si="18"/>
        <v>Error?</v>
      </c>
    </row>
    <row r="1226" spans="1:4" x14ac:dyDescent="0.2">
      <c r="A1226" s="5">
        <v>1165</v>
      </c>
      <c r="B1226" s="138">
        <f>'Expenditures 15-22'!C151</f>
        <v>1383213</v>
      </c>
      <c r="C1226" s="2" t="s">
        <v>573</v>
      </c>
      <c r="D1226" s="2" t="str">
        <f t="shared" si="18"/>
        <v>Error?</v>
      </c>
    </row>
    <row r="1227" spans="1:4" x14ac:dyDescent="0.2">
      <c r="A1227" s="5">
        <v>1166</v>
      </c>
      <c r="B1227" s="138">
        <f>'Expenditures 15-22'!D122</f>
        <v>8493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225528</v>
      </c>
      <c r="D1229" s="2" t="str">
        <f t="shared" si="18"/>
        <v>Error?</v>
      </c>
    </row>
    <row r="1230" spans="1:4" x14ac:dyDescent="0.2">
      <c r="A1230" s="10">
        <v>1169</v>
      </c>
      <c r="D1230" s="2" t="str">
        <f t="shared" si="18"/>
        <v>OK</v>
      </c>
    </row>
    <row r="1231" spans="1:4" x14ac:dyDescent="0.2">
      <c r="A1231" s="5">
        <v>1170</v>
      </c>
      <c r="B1231" s="138">
        <f>'Expenditures 15-22'!D127</f>
        <v>234021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234021</v>
      </c>
      <c r="C1233" s="2" t="s">
        <v>573</v>
      </c>
      <c r="D1233" s="2" t="str">
        <f t="shared" si="18"/>
        <v>Error?</v>
      </c>
    </row>
    <row r="1234" spans="1:4" x14ac:dyDescent="0.2">
      <c r="A1234" s="5">
        <v>1173</v>
      </c>
      <c r="B1234" s="138">
        <f>'Expenditures 15-22'!D151</f>
        <v>234021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598025</v>
      </c>
      <c r="D1237" s="2" t="str">
        <f t="shared" si="18"/>
        <v>Error?</v>
      </c>
    </row>
    <row r="1238" spans="1:4" x14ac:dyDescent="0.2">
      <c r="A1238" s="10">
        <v>1177</v>
      </c>
      <c r="D1238" s="2" t="str">
        <f t="shared" si="18"/>
        <v>OK</v>
      </c>
    </row>
    <row r="1239" spans="1:4" x14ac:dyDescent="0.2">
      <c r="A1239" s="5">
        <v>1178</v>
      </c>
      <c r="B1239" s="138">
        <f>'Expenditures 15-22'!E127</f>
        <v>598025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598025</v>
      </c>
      <c r="C1241" s="2" t="s">
        <v>573</v>
      </c>
      <c r="D1241" s="2" t="str">
        <f t="shared" si="18"/>
        <v>Error?</v>
      </c>
    </row>
    <row r="1242" spans="1:4" x14ac:dyDescent="0.2">
      <c r="A1242" s="5">
        <v>1181</v>
      </c>
      <c r="B1242" s="138">
        <f>'Expenditures 15-22'!E151</f>
        <v>598025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766763</v>
      </c>
      <c r="D1245" s="2" t="str">
        <f t="shared" si="18"/>
        <v>Error?</v>
      </c>
    </row>
    <row r="1246" spans="1:4" x14ac:dyDescent="0.2">
      <c r="A1246" s="10">
        <v>1185</v>
      </c>
      <c r="D1246" s="2" t="str">
        <f t="shared" si="18"/>
        <v>OK</v>
      </c>
    </row>
    <row r="1247" spans="1:4" x14ac:dyDescent="0.2">
      <c r="A1247" s="5">
        <v>1186</v>
      </c>
      <c r="B1247" s="138">
        <f>'Expenditures 15-22'!F127</f>
        <v>766763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766763</v>
      </c>
      <c r="C1249" s="2" t="s">
        <v>573</v>
      </c>
      <c r="D1249" s="2" t="str">
        <f t="shared" si="18"/>
        <v>Error?</v>
      </c>
    </row>
    <row r="1250" spans="1:4" x14ac:dyDescent="0.2">
      <c r="A1250" s="5">
        <v>1189</v>
      </c>
      <c r="B1250" s="138">
        <f>'Expenditures 15-22'!F151</f>
        <v>766763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78093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78093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78093</v>
      </c>
      <c r="C1258" s="2" t="s">
        <v>573</v>
      </c>
      <c r="D1258" s="2" t="str">
        <f t="shared" si="18"/>
        <v>Error?</v>
      </c>
    </row>
    <row r="1259" spans="1:4" x14ac:dyDescent="0.2">
      <c r="A1259" s="5">
        <v>1198</v>
      </c>
      <c r="B1259" s="138">
        <f>'Expenditures 15-22'!G151</f>
        <v>78093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34931</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3296433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3331364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3331364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3331364</v>
      </c>
      <c r="C1288" s="2" t="s">
        <v>573</v>
      </c>
      <c r="D1288" s="2" t="str">
        <f t="shared" si="19"/>
        <v>Error?</v>
      </c>
    </row>
    <row r="1289" spans="1:4" x14ac:dyDescent="0.2">
      <c r="A1289" s="5">
        <v>1228</v>
      </c>
      <c r="B1289" s="138">
        <f>'Expenditures 15-22'!K152</f>
        <v>-119522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864235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3984235</v>
      </c>
      <c r="C1317" s="2" t="s">
        <v>573</v>
      </c>
      <c r="D1317" s="2" t="str">
        <f t="shared" si="19"/>
        <v>Error?</v>
      </c>
    </row>
    <row r="1318" spans="1:4" x14ac:dyDescent="0.2">
      <c r="A1318" s="5">
        <v>1257</v>
      </c>
      <c r="B1318" s="138">
        <f>'Expenditures 15-22'!H174</f>
        <v>3984235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864235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3120000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3984235</v>
      </c>
      <c r="C1331" s="2" t="s">
        <v>573</v>
      </c>
      <c r="D1331" s="2" t="str">
        <f t="shared" si="19"/>
        <v>Error?</v>
      </c>
    </row>
    <row r="1332" spans="1:4" x14ac:dyDescent="0.2">
      <c r="A1332" s="5">
        <v>1271</v>
      </c>
      <c r="B1332" s="138">
        <f>'Expenditures 15-22'!K174</f>
        <v>3984235</v>
      </c>
      <c r="C1332" s="2" t="s">
        <v>573</v>
      </c>
      <c r="D1332" s="2" t="str">
        <f t="shared" si="19"/>
        <v>Error?</v>
      </c>
    </row>
    <row r="1333" spans="1:4" x14ac:dyDescent="0.2">
      <c r="A1333" s="5">
        <v>1272</v>
      </c>
      <c r="B1333" s="138">
        <f>'Expenditures 15-22'!K175</f>
        <v>-1358985</v>
      </c>
      <c r="C1333" s="2" t="s">
        <v>573</v>
      </c>
      <c r="D1333" s="2" t="str">
        <f t="shared" si="19"/>
        <v>Error?</v>
      </c>
    </row>
    <row r="1334" spans="1:4" x14ac:dyDescent="0.2">
      <c r="A1334" s="10">
        <v>1273</v>
      </c>
      <c r="D1334" s="2" t="str">
        <f t="shared" si="19"/>
        <v>OK</v>
      </c>
    </row>
    <row r="1335" spans="1:4" x14ac:dyDescent="0.2">
      <c r="A1335" s="5">
        <v>1274</v>
      </c>
      <c r="B1335" s="138">
        <f>'Expenditures 15-22'!C182</f>
        <v>8997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8997</v>
      </c>
      <c r="C1339" s="2" t="s">
        <v>573</v>
      </c>
      <c r="D1339" s="2" t="str">
        <f t="shared" si="19"/>
        <v>Error?</v>
      </c>
    </row>
    <row r="1340" spans="1:4" x14ac:dyDescent="0.2">
      <c r="A1340" s="5">
        <v>1279</v>
      </c>
      <c r="B1340" s="138">
        <f>'Expenditures 15-22'!C210</f>
        <v>8997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1547619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1547619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1547619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1556616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1556616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1556616</v>
      </c>
      <c r="C1388" s="2" t="s">
        <v>573</v>
      </c>
      <c r="D1388" s="2" t="str">
        <f t="shared" si="20"/>
        <v>Error?</v>
      </c>
    </row>
    <row r="1389" spans="1:4" x14ac:dyDescent="0.2">
      <c r="A1389" s="5">
        <v>1328</v>
      </c>
      <c r="B1389" s="138">
        <f>'Expenditures 15-22'!K211</f>
        <v>954290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3958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11867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4363</v>
      </c>
      <c r="D1408" s="2" t="str">
        <f t="shared" si="21"/>
        <v>Error?</v>
      </c>
    </row>
    <row r="1409" spans="1:4" x14ac:dyDescent="0.2">
      <c r="A1409" s="5">
        <v>1348</v>
      </c>
      <c r="B1409" s="138">
        <f>'Expenditures 15-22'!D224</f>
        <v>11275</v>
      </c>
      <c r="D1409" s="2" t="str">
        <f t="shared" si="21"/>
        <v>Error?</v>
      </c>
    </row>
    <row r="1410" spans="1:4" x14ac:dyDescent="0.2">
      <c r="A1410" s="5">
        <v>1349</v>
      </c>
      <c r="B1410" s="138">
        <f>'Expenditures 15-22'!D229</f>
        <v>585926</v>
      </c>
      <c r="C1410" s="2" t="s">
        <v>573</v>
      </c>
      <c r="D1410" s="2" t="str">
        <f t="shared" si="21"/>
        <v>Error?</v>
      </c>
    </row>
    <row r="1411" spans="1:4" x14ac:dyDescent="0.2">
      <c r="A1411" s="5">
        <v>1350</v>
      </c>
      <c r="B1411" s="138">
        <f>'Expenditures 15-22'!D232</f>
        <v>8861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71738</v>
      </c>
      <c r="D1413" s="2" t="str">
        <f t="shared" si="21"/>
        <v>Error?</v>
      </c>
    </row>
    <row r="1414" spans="1:4" x14ac:dyDescent="0.2">
      <c r="A1414" s="5">
        <v>1353</v>
      </c>
      <c r="B1414" s="138">
        <f>'Expenditures 15-22'!D235</f>
        <v>2789</v>
      </c>
      <c r="D1414" s="2" t="str">
        <f t="shared" si="21"/>
        <v>Error?</v>
      </c>
    </row>
    <row r="1415" spans="1:4" x14ac:dyDescent="0.2">
      <c r="A1415" s="5">
        <v>1354</v>
      </c>
      <c r="B1415" s="138">
        <f>'Expenditures 15-22'!D236</f>
        <v>17451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100839</v>
      </c>
      <c r="C1417" s="2" t="s">
        <v>573</v>
      </c>
      <c r="D1417" s="2" t="str">
        <f t="shared" si="21"/>
        <v>Error?</v>
      </c>
    </row>
    <row r="1418" spans="1:4" x14ac:dyDescent="0.2">
      <c r="A1418" s="5">
        <v>1357</v>
      </c>
      <c r="B1418" s="138">
        <f>'Expenditures 15-22'!D240</f>
        <v>14623</v>
      </c>
      <c r="D1418" s="2" t="str">
        <f t="shared" si="21"/>
        <v>Error?</v>
      </c>
    </row>
    <row r="1419" spans="1:4" x14ac:dyDescent="0.2">
      <c r="A1419" s="5">
        <v>1358</v>
      </c>
      <c r="B1419" s="138">
        <f>'Expenditures 15-22'!D241</f>
        <v>27786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42409</v>
      </c>
      <c r="C1421" s="2" t="s">
        <v>573</v>
      </c>
      <c r="D1421" s="2" t="str">
        <f t="shared" si="21"/>
        <v>Error?</v>
      </c>
    </row>
    <row r="1422" spans="1:4" x14ac:dyDescent="0.2">
      <c r="A1422" s="5">
        <v>1361</v>
      </c>
      <c r="B1422" s="138">
        <f>'Expenditures 15-22'!D245</f>
        <v>162</v>
      </c>
      <c r="D1422" s="2" t="str">
        <f t="shared" si="21"/>
        <v>Error?</v>
      </c>
    </row>
    <row r="1423" spans="1:4" x14ac:dyDescent="0.2">
      <c r="A1423" s="5">
        <v>1362</v>
      </c>
      <c r="B1423" s="138">
        <f>'Expenditures 15-22'!D246</f>
        <v>27483</v>
      </c>
      <c r="D1423" s="2" t="str">
        <f t="shared" si="21"/>
        <v>Error?</v>
      </c>
    </row>
    <row r="1424" spans="1:4" x14ac:dyDescent="0.2">
      <c r="A1424" s="5">
        <v>1363</v>
      </c>
      <c r="B1424" s="138">
        <f>'Expenditures 15-22'!D257</f>
        <v>38233</v>
      </c>
      <c r="C1424" s="2" t="s">
        <v>573</v>
      </c>
      <c r="D1424" s="2" t="str">
        <f t="shared" si="21"/>
        <v>Error?</v>
      </c>
    </row>
    <row r="1425" spans="1:4" x14ac:dyDescent="0.2">
      <c r="A1425" s="5">
        <v>1364</v>
      </c>
      <c r="B1425" s="138">
        <f>'Expenditures 15-22'!D259</f>
        <v>57886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57886</v>
      </c>
      <c r="C1427" s="2" t="s">
        <v>573</v>
      </c>
      <c r="D1427" s="2" t="str">
        <f t="shared" si="21"/>
        <v>Error?</v>
      </c>
    </row>
    <row r="1428" spans="1:4" x14ac:dyDescent="0.2">
      <c r="A1428" s="5">
        <v>1367</v>
      </c>
      <c r="B1428" s="138">
        <f>'Expenditures 15-22'!D263</f>
        <v>2008</v>
      </c>
      <c r="D1428" s="2" t="str">
        <f t="shared" si="21"/>
        <v>Error?</v>
      </c>
    </row>
    <row r="1429" spans="1:4" x14ac:dyDescent="0.2">
      <c r="A1429" s="5">
        <v>1368</v>
      </c>
      <c r="B1429" s="138">
        <f>'Expenditures 15-22'!D264</f>
        <v>31235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206230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25330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264803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v>
      </c>
      <c r="D1439" s="2" t="str">
        <f t="shared" si="21"/>
        <v>Error?</v>
      </c>
    </row>
    <row r="1440" spans="1:4" x14ac:dyDescent="0.2">
      <c r="A1440" s="5">
        <v>1379</v>
      </c>
      <c r="B1440" s="138">
        <f>'Expenditures 15-22'!D275</f>
        <v>11569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11591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515761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1101687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3958</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11867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4363</v>
      </c>
      <c r="C1472" s="2" t="s">
        <v>573</v>
      </c>
      <c r="D1472" s="2" t="str">
        <f t="shared" si="22"/>
        <v>Error?</v>
      </c>
    </row>
    <row r="1473" spans="1:4" x14ac:dyDescent="0.2">
      <c r="A1473" s="5">
        <v>1412</v>
      </c>
      <c r="B1473" s="138">
        <f>'Expenditures 15-22'!K224</f>
        <v>11275</v>
      </c>
      <c r="C1473" s="2" t="s">
        <v>573</v>
      </c>
      <c r="D1473" s="2" t="str">
        <f t="shared" si="22"/>
        <v>Error?</v>
      </c>
    </row>
    <row r="1474" spans="1:4" x14ac:dyDescent="0.2">
      <c r="A1474" s="5">
        <v>1413</v>
      </c>
      <c r="B1474" s="138">
        <f>'Expenditures 15-22'!K229</f>
        <v>585926</v>
      </c>
      <c r="C1474" s="2" t="s">
        <v>573</v>
      </c>
      <c r="D1474" s="2" t="str">
        <f t="shared" si="22"/>
        <v>Error?</v>
      </c>
    </row>
    <row r="1475" spans="1:4" x14ac:dyDescent="0.2">
      <c r="A1475" s="5">
        <v>1414</v>
      </c>
      <c r="B1475" s="138">
        <f>'Expenditures 15-22'!K232</f>
        <v>8861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71738</v>
      </c>
      <c r="C1477" s="2" t="s">
        <v>573</v>
      </c>
      <c r="D1477" s="2" t="str">
        <f t="shared" si="22"/>
        <v>Error?</v>
      </c>
    </row>
    <row r="1478" spans="1:4" x14ac:dyDescent="0.2">
      <c r="A1478" s="5">
        <v>1417</v>
      </c>
      <c r="B1478" s="138">
        <f>'Expenditures 15-22'!K235</f>
        <v>2789</v>
      </c>
      <c r="C1478" s="2" t="s">
        <v>573</v>
      </c>
      <c r="D1478" s="2" t="str">
        <f t="shared" si="22"/>
        <v>Error?</v>
      </c>
    </row>
    <row r="1479" spans="1:4" x14ac:dyDescent="0.2">
      <c r="A1479" s="5">
        <v>1418</v>
      </c>
      <c r="B1479" s="138">
        <f>'Expenditures 15-22'!K236</f>
        <v>17451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100839</v>
      </c>
      <c r="C1481" s="2" t="s">
        <v>573</v>
      </c>
      <c r="D1481" s="2" t="str">
        <f t="shared" si="22"/>
        <v>Error?</v>
      </c>
    </row>
    <row r="1482" spans="1:4" x14ac:dyDescent="0.2">
      <c r="A1482" s="5">
        <v>1421</v>
      </c>
      <c r="B1482" s="138">
        <f>'Expenditures 15-22'!K240</f>
        <v>14623</v>
      </c>
      <c r="C1482" s="2" t="s">
        <v>573</v>
      </c>
      <c r="D1482" s="2" t="str">
        <f t="shared" si="22"/>
        <v>Error?</v>
      </c>
    </row>
    <row r="1483" spans="1:4" x14ac:dyDescent="0.2">
      <c r="A1483" s="5">
        <v>1422</v>
      </c>
      <c r="B1483" s="138">
        <f>'Expenditures 15-22'!K241</f>
        <v>27786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42409</v>
      </c>
      <c r="C1485" s="2" t="s">
        <v>573</v>
      </c>
      <c r="D1485" s="2" t="str">
        <f t="shared" si="22"/>
        <v>Error?</v>
      </c>
    </row>
    <row r="1486" spans="1:4" x14ac:dyDescent="0.2">
      <c r="A1486" s="5">
        <v>1425</v>
      </c>
      <c r="B1486" s="138">
        <f>'Expenditures 15-22'!K245</f>
        <v>162</v>
      </c>
      <c r="C1486" s="2" t="s">
        <v>573</v>
      </c>
      <c r="D1486" s="2" t="str">
        <f t="shared" si="22"/>
        <v>Error?</v>
      </c>
    </row>
    <row r="1487" spans="1:4" x14ac:dyDescent="0.2">
      <c r="A1487" s="5">
        <v>1426</v>
      </c>
      <c r="B1487" s="138">
        <f>'Expenditures 15-22'!K246</f>
        <v>27483</v>
      </c>
      <c r="C1487" s="2" t="s">
        <v>573</v>
      </c>
      <c r="D1487" s="2" t="str">
        <f t="shared" si="22"/>
        <v>Error?</v>
      </c>
    </row>
    <row r="1488" spans="1:4" x14ac:dyDescent="0.2">
      <c r="A1488" s="5">
        <v>1427</v>
      </c>
      <c r="B1488" s="138">
        <f>'Expenditures 15-22'!K257</f>
        <v>38233</v>
      </c>
      <c r="C1488" s="2" t="s">
        <v>573</v>
      </c>
      <c r="D1488" s="2" t="str">
        <f t="shared" si="22"/>
        <v>Error?</v>
      </c>
    </row>
    <row r="1489" spans="1:4" x14ac:dyDescent="0.2">
      <c r="A1489" s="5">
        <v>1428</v>
      </c>
      <c r="B1489" s="138">
        <f>'Expenditures 15-22'!K259</f>
        <v>57886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57886</v>
      </c>
      <c r="C1491" s="2" t="s">
        <v>573</v>
      </c>
      <c r="D1491" s="2" t="str">
        <f t="shared" si="22"/>
        <v>Error?</v>
      </c>
    </row>
    <row r="1492" spans="1:4" x14ac:dyDescent="0.2">
      <c r="A1492" s="5">
        <v>1431</v>
      </c>
      <c r="B1492" s="138">
        <f>'Expenditures 15-22'!K263</f>
        <v>2008</v>
      </c>
      <c r="C1492" s="2" t="s">
        <v>573</v>
      </c>
      <c r="D1492" s="2" t="str">
        <f t="shared" si="22"/>
        <v>Error?</v>
      </c>
    </row>
    <row r="1493" spans="1:4" x14ac:dyDescent="0.2">
      <c r="A1493" s="5">
        <v>1432</v>
      </c>
      <c r="B1493" s="138">
        <f>'Expenditures 15-22'!K264</f>
        <v>31235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206230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25330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264803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22</v>
      </c>
      <c r="C1503" s="2" t="s">
        <v>573</v>
      </c>
      <c r="D1503" s="2" t="str">
        <f t="shared" si="22"/>
        <v>Error?</v>
      </c>
    </row>
    <row r="1504" spans="1:4" x14ac:dyDescent="0.2">
      <c r="A1504" s="5">
        <v>1443</v>
      </c>
      <c r="B1504" s="138">
        <f>'Expenditures 15-22'!K275</f>
        <v>11569</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11591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515761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1101687</v>
      </c>
      <c r="C1517" s="2" t="s">
        <v>573</v>
      </c>
      <c r="D1517" s="2" t="str">
        <f t="shared" si="22"/>
        <v>Error?</v>
      </c>
    </row>
    <row r="1518" spans="1:4" x14ac:dyDescent="0.2">
      <c r="A1518" s="5">
        <v>1457</v>
      </c>
      <c r="B1518" s="138">
        <f>'Expenditures 15-22'!K296</f>
        <v>4240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4205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4205</v>
      </c>
      <c r="C1535" s="2" t="s">
        <v>573</v>
      </c>
      <c r="D1535" s="2" t="str">
        <f t="shared" ref="D1535:D1598" si="23">IF(ISBLANK(B1535),"OK",IF(A1535-B1535=0,"OK","Error?"))</f>
        <v>Error?</v>
      </c>
    </row>
    <row r="1536" spans="1:4" x14ac:dyDescent="0.2">
      <c r="A1536" s="5">
        <v>1475</v>
      </c>
      <c r="B1536" s="138">
        <f>'Expenditures 15-22'!E312</f>
        <v>4205</v>
      </c>
      <c r="C1536" s="2" t="s">
        <v>573</v>
      </c>
      <c r="D1536" s="2" t="str">
        <f t="shared" si="23"/>
        <v>Error?</v>
      </c>
    </row>
    <row r="1537" spans="1:4" x14ac:dyDescent="0.2">
      <c r="A1537" s="5">
        <v>1476</v>
      </c>
      <c r="B1537" s="138">
        <f>'Expenditures 15-22'!F301</f>
        <v>7827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7827</v>
      </c>
      <c r="C1541" s="2" t="s">
        <v>573</v>
      </c>
      <c r="D1541" s="2" t="str">
        <f t="shared" si="23"/>
        <v>Error?</v>
      </c>
    </row>
    <row r="1542" spans="1:4" x14ac:dyDescent="0.2">
      <c r="A1542" s="5">
        <v>1481</v>
      </c>
      <c r="B1542" s="138">
        <f>'Expenditures 15-22'!F312</f>
        <v>7827</v>
      </c>
      <c r="C1542" s="2" t="s">
        <v>573</v>
      </c>
      <c r="D1542" s="2" t="str">
        <f t="shared" si="23"/>
        <v>Error?</v>
      </c>
    </row>
    <row r="1543" spans="1:4" x14ac:dyDescent="0.2">
      <c r="A1543" s="5">
        <v>1482</v>
      </c>
      <c r="B1543" s="138">
        <f>'Expenditures 15-22'!G301</f>
        <v>15619324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15619324</v>
      </c>
      <c r="C1547" s="2" t="s">
        <v>573</v>
      </c>
      <c r="D1547" s="2" t="str">
        <f t="shared" si="23"/>
        <v>Error?</v>
      </c>
    </row>
    <row r="1548" spans="1:4" x14ac:dyDescent="0.2">
      <c r="A1548" s="5">
        <v>1487</v>
      </c>
      <c r="B1548" s="138">
        <f>'Expenditures 15-22'!G312</f>
        <v>15619324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15631356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15631356</v>
      </c>
      <c r="C1559" s="2" t="s">
        <v>573</v>
      </c>
      <c r="D1559" s="2" t="str">
        <f t="shared" si="23"/>
        <v>Error?</v>
      </c>
    </row>
    <row r="1560" spans="1:4" x14ac:dyDescent="0.2">
      <c r="A1560" s="5">
        <v>1499</v>
      </c>
      <c r="B1560" s="138">
        <f>'Expenditures 15-22'!K312</f>
        <v>15631356</v>
      </c>
      <c r="C1560" s="2" t="s">
        <v>573</v>
      </c>
      <c r="D1560" s="2" t="str">
        <f t="shared" si="23"/>
        <v>Error?</v>
      </c>
    </row>
    <row r="1561" spans="1:4" x14ac:dyDescent="0.2">
      <c r="A1561" s="5">
        <v>1500</v>
      </c>
      <c r="B1561" s="138">
        <f>'Expenditures 15-22'!K313</f>
        <v>-15444661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24384287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24759110</v>
      </c>
      <c r="C1630" s="2" t="s">
        <v>573</v>
      </c>
      <c r="D1630" s="2" t="str">
        <f t="shared" si="24"/>
        <v>Error?</v>
      </c>
    </row>
    <row r="1631" spans="1:4" x14ac:dyDescent="0.2">
      <c r="A1631" s="5">
        <v>1570</v>
      </c>
      <c r="B1631" s="138">
        <f>'Acct Summary 7-8'!D79</f>
        <v>2928533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2809011</v>
      </c>
      <c r="C1644" s="2" t="s">
        <v>573</v>
      </c>
      <c r="D1644" s="2" t="str">
        <f t="shared" si="24"/>
        <v>Error?</v>
      </c>
    </row>
    <row r="1645" spans="1:4" x14ac:dyDescent="0.2">
      <c r="A1645" s="5">
        <v>1584</v>
      </c>
      <c r="B1645" s="138">
        <f>'Acct Summary 7-8'!E79</f>
        <v>3187430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1828445</v>
      </c>
      <c r="C1658" s="2" t="s">
        <v>573</v>
      </c>
      <c r="D1658" s="2" t="str">
        <f t="shared" si="24"/>
        <v>Error?</v>
      </c>
    </row>
    <row r="1659" spans="1:4" x14ac:dyDescent="0.2">
      <c r="A1659" s="5">
        <v>1598</v>
      </c>
      <c r="B1659" s="138">
        <f>'Acct Summary 7-8'!F79</f>
        <v>1234963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2189253</v>
      </c>
      <c r="C1672" s="2" t="s">
        <v>573</v>
      </c>
      <c r="D1672" s="2" t="str">
        <f t="shared" si="25"/>
        <v>Error?</v>
      </c>
    </row>
    <row r="1673" spans="1:4" x14ac:dyDescent="0.2">
      <c r="A1673" s="5">
        <v>1612</v>
      </c>
      <c r="B1673" s="138">
        <f>'Acct Summary 7-8'!G79</f>
        <v>717266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721506</v>
      </c>
      <c r="C1686" s="2" t="s">
        <v>573</v>
      </c>
      <c r="D1686" s="2" t="str">
        <f t="shared" si="25"/>
        <v>Error?</v>
      </c>
    </row>
    <row r="1687" spans="1:4" x14ac:dyDescent="0.2">
      <c r="A1687" s="5">
        <v>1626</v>
      </c>
      <c r="B1687" s="138">
        <f>'Acct Summary 7-8'!H79</f>
        <v>4852023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3407362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24978414</v>
      </c>
      <c r="C1744" s="2" t="s">
        <v>573</v>
      </c>
      <c r="D1744" s="2" t="str">
        <f t="shared" si="26"/>
        <v>Error?</v>
      </c>
    </row>
    <row r="1745" spans="1:5" x14ac:dyDescent="0.2">
      <c r="A1745" s="5">
        <v>1684</v>
      </c>
      <c r="B1745" s="138">
        <f>'Tax Sched 23'!B5</f>
        <v>3070134</v>
      </c>
      <c r="C1745" s="2" t="s">
        <v>573</v>
      </c>
      <c r="D1745" s="2" t="str">
        <f t="shared" si="26"/>
        <v>Error?</v>
      </c>
    </row>
    <row r="1746" spans="1:5" x14ac:dyDescent="0.2">
      <c r="A1746" s="5">
        <v>1685</v>
      </c>
      <c r="B1746" s="138">
        <f>'Tax Sched 23'!B6</f>
        <v>2522180</v>
      </c>
      <c r="C1746" s="2" t="s">
        <v>573</v>
      </c>
      <c r="D1746" s="2" t="str">
        <f t="shared" si="26"/>
        <v>Error?</v>
      </c>
    </row>
    <row r="1747" spans="1:5" x14ac:dyDescent="0.2">
      <c r="A1747" s="5">
        <v>1686</v>
      </c>
      <c r="B1747" s="138">
        <f>'Tax Sched 23'!B7</f>
        <v>1690662</v>
      </c>
      <c r="C1747" s="2" t="s">
        <v>573</v>
      </c>
      <c r="D1747" s="2" t="str">
        <f t="shared" si="26"/>
        <v>Error?</v>
      </c>
    </row>
    <row r="1748" spans="1:5" x14ac:dyDescent="0.2">
      <c r="A1748" s="5">
        <v>1687</v>
      </c>
      <c r="B1748" s="138">
        <f>'Tax Sched 23'!B8</f>
        <v>473308</v>
      </c>
      <c r="C1748" s="2" t="s">
        <v>573</v>
      </c>
      <c r="D1748" s="2" t="str">
        <f t="shared" si="26"/>
        <v>Error?</v>
      </c>
    </row>
    <row r="1749" spans="1:5" x14ac:dyDescent="0.2">
      <c r="A1749" s="5">
        <v>1688</v>
      </c>
      <c r="B1749" s="138">
        <f>'Tax Sched 23'!B10</f>
        <v>279330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249202</v>
      </c>
      <c r="C1752" s="2" t="s">
        <v>573</v>
      </c>
      <c r="D1752" s="2" t="str">
        <f t="shared" si="26"/>
        <v>Error?</v>
      </c>
    </row>
    <row r="1753" spans="1:5" x14ac:dyDescent="0.2">
      <c r="A1753" s="5">
        <v>1692</v>
      </c>
      <c r="B1753" s="138">
        <f>'Tax Sched 23'!B12</f>
        <v>4904</v>
      </c>
      <c r="C1753" s="2" t="s">
        <v>573</v>
      </c>
      <c r="D1753" s="2" t="str">
        <f t="shared" si="26"/>
        <v>Error?</v>
      </c>
    </row>
    <row r="1754" spans="1:5" x14ac:dyDescent="0.2">
      <c r="A1754" s="5">
        <v>1693</v>
      </c>
      <c r="B1754" s="138">
        <f>'Tax Sched 23'!B14</f>
        <v>4790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33883439</v>
      </c>
      <c r="C1759" s="2" t="s">
        <v>573</v>
      </c>
      <c r="D1759" s="2" t="str">
        <f t="shared" si="26"/>
        <v>Error?</v>
      </c>
    </row>
    <row r="1760" spans="1:5" x14ac:dyDescent="0.2">
      <c r="A1760" s="5">
        <v>1699</v>
      </c>
      <c r="B1760" s="138">
        <f>'Tax Sched 23'!D4</f>
        <v>11492061</v>
      </c>
      <c r="C1760" s="2" t="s">
        <v>573</v>
      </c>
      <c r="D1760" s="2" t="str">
        <f t="shared" si="26"/>
        <v>Error?</v>
      </c>
    </row>
    <row r="1761" spans="1:5" x14ac:dyDescent="0.2">
      <c r="A1761" s="5">
        <v>1700</v>
      </c>
      <c r="B1761" s="138">
        <f>'Tax Sched 23'!D5</f>
        <v>1413248</v>
      </c>
      <c r="C1761" s="2" t="s">
        <v>573</v>
      </c>
      <c r="D1761" s="2" t="str">
        <f t="shared" si="26"/>
        <v>Error?</v>
      </c>
    </row>
    <row r="1762" spans="1:5" s="8" customFormat="1" x14ac:dyDescent="0.2">
      <c r="A1762" s="5">
        <v>1701</v>
      </c>
      <c r="B1762" s="138">
        <f>'Tax Sched 23'!D6</f>
        <v>904797</v>
      </c>
      <c r="C1762" s="2" t="s">
        <v>573</v>
      </c>
      <c r="D1762" s="2" t="str">
        <f t="shared" si="26"/>
        <v>Error?</v>
      </c>
      <c r="E1762" s="9"/>
    </row>
    <row r="1763" spans="1:5" x14ac:dyDescent="0.2">
      <c r="A1763" s="5">
        <v>1702</v>
      </c>
      <c r="B1763" s="138">
        <f>'Tax Sched 23'!D7</f>
        <v>727947</v>
      </c>
      <c r="C1763" s="2" t="s">
        <v>573</v>
      </c>
      <c r="D1763" s="2" t="str">
        <f t="shared" si="26"/>
        <v>Error?</v>
      </c>
    </row>
    <row r="1764" spans="1:5" x14ac:dyDescent="0.2">
      <c r="A1764" s="5">
        <v>1703</v>
      </c>
      <c r="B1764" s="138">
        <f>'Tax Sched 23'!D8</f>
        <v>251129</v>
      </c>
      <c r="C1764" s="2" t="s">
        <v>573</v>
      </c>
      <c r="D1764" s="2" t="str">
        <f t="shared" si="26"/>
        <v>Error?</v>
      </c>
    </row>
    <row r="1765" spans="1:5" x14ac:dyDescent="0.2">
      <c r="A1765" s="5">
        <v>1704</v>
      </c>
      <c r="B1765" s="138">
        <f>'Tax Sched 23'!D10</f>
        <v>128552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140709</v>
      </c>
      <c r="C1768" s="2" t="s">
        <v>573</v>
      </c>
      <c r="D1768" s="2" t="str">
        <f t="shared" si="26"/>
        <v>Error?</v>
      </c>
    </row>
    <row r="1769" spans="1:5" x14ac:dyDescent="0.2">
      <c r="A1769" s="5">
        <v>1708</v>
      </c>
      <c r="B1769" s="138">
        <f>'Tax Sched 23'!D12</f>
        <v>2308</v>
      </c>
      <c r="C1769" s="2" t="s">
        <v>573</v>
      </c>
      <c r="D1769" s="2" t="str">
        <f t="shared" si="26"/>
        <v>Error?</v>
      </c>
    </row>
    <row r="1770" spans="1:5" x14ac:dyDescent="0.2">
      <c r="A1770" s="5">
        <v>1709</v>
      </c>
      <c r="B1770" s="138">
        <f>'Tax Sched 23'!D14</f>
        <v>2194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15335441</v>
      </c>
      <c r="C1775" s="2" t="s">
        <v>573</v>
      </c>
      <c r="D1775" s="2" t="str">
        <f t="shared" si="26"/>
        <v>Error?</v>
      </c>
    </row>
    <row r="1776" spans="1:5" x14ac:dyDescent="0.2">
      <c r="A1776" s="5">
        <v>1715</v>
      </c>
      <c r="B1776" s="138">
        <f>'Tax Sched 23'!C4</f>
        <v>13486353</v>
      </c>
      <c r="D1776" s="2" t="str">
        <f t="shared" si="26"/>
        <v>Error?</v>
      </c>
    </row>
    <row r="1777" spans="1:4" x14ac:dyDescent="0.2">
      <c r="A1777" s="5">
        <v>1716</v>
      </c>
      <c r="B1777" s="138">
        <f>'Tax Sched 23'!C5</f>
        <v>1656886</v>
      </c>
      <c r="D1777" s="2" t="str">
        <f t="shared" si="26"/>
        <v>Error?</v>
      </c>
    </row>
    <row r="1778" spans="1:4" x14ac:dyDescent="0.2">
      <c r="A1778" s="5">
        <v>1717</v>
      </c>
      <c r="B1778" s="138">
        <f>'Tax Sched 23'!C6</f>
        <v>1617383</v>
      </c>
      <c r="D1778" s="2" t="str">
        <f t="shared" si="26"/>
        <v>Error?</v>
      </c>
    </row>
    <row r="1779" spans="1:4" x14ac:dyDescent="0.2">
      <c r="A1779" s="5">
        <v>1718</v>
      </c>
      <c r="B1779" s="138">
        <f>'Tax Sched 23'!C7</f>
        <v>962715</v>
      </c>
      <c r="D1779" s="2" t="str">
        <f t="shared" si="26"/>
        <v>Error?</v>
      </c>
    </row>
    <row r="1780" spans="1:4" x14ac:dyDescent="0.2">
      <c r="A1780" s="5">
        <v>1719</v>
      </c>
      <c r="B1780" s="138">
        <f>'Tax Sched 23'!C8</f>
        <v>222179</v>
      </c>
      <c r="D1780" s="2" t="str">
        <f t="shared" si="26"/>
        <v>Error?</v>
      </c>
    </row>
    <row r="1781" spans="1:4" x14ac:dyDescent="0.2">
      <c r="A1781" s="5">
        <v>1720</v>
      </c>
      <c r="B1781" s="138">
        <f>'Tax Sched 23'!C10</f>
        <v>150778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108493</v>
      </c>
      <c r="D1784" s="2" t="str">
        <f t="shared" si="26"/>
        <v>Error?</v>
      </c>
    </row>
    <row r="1785" spans="1:4" x14ac:dyDescent="0.2">
      <c r="A1785" s="5">
        <v>1724</v>
      </c>
      <c r="B1785" s="138">
        <f>'Tax Sched 23'!C12</f>
        <v>2596</v>
      </c>
      <c r="D1785" s="2" t="str">
        <f t="shared" si="26"/>
        <v>Error?</v>
      </c>
    </row>
    <row r="1786" spans="1:4" x14ac:dyDescent="0.2">
      <c r="A1786" s="5">
        <v>1725</v>
      </c>
      <c r="B1786" s="138">
        <f>'Tax Sched 23'!C14</f>
        <v>2596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18547998</v>
      </c>
      <c r="C1791" s="2" t="s">
        <v>573</v>
      </c>
      <c r="D1791" s="2" t="str">
        <f t="shared" ref="D1791:D1854" si="27">IF(ISBLANK(B1791),"OK",IF(A1791-B1791=0,"OK","Error?"))</f>
        <v>Error?</v>
      </c>
    </row>
    <row r="1792" spans="1:4" x14ac:dyDescent="0.2">
      <c r="A1792" s="5">
        <v>1731</v>
      </c>
      <c r="B1792" s="138">
        <f>'Tax Sched 23'!F4</f>
        <v>13364960</v>
      </c>
      <c r="C1792" s="2" t="s">
        <v>573</v>
      </c>
      <c r="D1792" s="2" t="str">
        <f t="shared" si="27"/>
        <v>Error?</v>
      </c>
    </row>
    <row r="1793" spans="1:4" x14ac:dyDescent="0.2">
      <c r="A1793" s="5">
        <v>1732</v>
      </c>
      <c r="B1793" s="138">
        <f>'Tax Sched 23'!F5</f>
        <v>1567014</v>
      </c>
      <c r="C1793" s="2" t="s">
        <v>573</v>
      </c>
      <c r="D1793" s="2" t="str">
        <f t="shared" si="27"/>
        <v>Error?</v>
      </c>
    </row>
    <row r="1794" spans="1:4" x14ac:dyDescent="0.2">
      <c r="A1794" s="5">
        <v>1733</v>
      </c>
      <c r="B1794" s="138">
        <f>'Tax Sched 23'!F6</f>
        <v>1531755</v>
      </c>
      <c r="C1794" s="2" t="s">
        <v>573</v>
      </c>
      <c r="D1794" s="2" t="str">
        <f t="shared" si="27"/>
        <v>Error?</v>
      </c>
    </row>
    <row r="1795" spans="1:4" x14ac:dyDescent="0.2">
      <c r="A1795" s="5">
        <v>1734</v>
      </c>
      <c r="B1795" s="138">
        <f>'Tax Sched 23'!F7</f>
        <v>911885</v>
      </c>
      <c r="C1795" s="2" t="s">
        <v>573</v>
      </c>
      <c r="D1795" s="2" t="str">
        <f t="shared" si="27"/>
        <v>Error?</v>
      </c>
    </row>
    <row r="1796" spans="1:4" x14ac:dyDescent="0.2">
      <c r="A1796" s="5">
        <v>1735</v>
      </c>
      <c r="B1796" s="138">
        <f>'Tax Sched 23'!F8</f>
        <v>210421</v>
      </c>
      <c r="C1796" s="2" t="s">
        <v>573</v>
      </c>
      <c r="D1796" s="2" t="str">
        <f t="shared" si="27"/>
        <v>Error?</v>
      </c>
    </row>
    <row r="1797" spans="1:4" x14ac:dyDescent="0.2">
      <c r="A1797" s="5">
        <v>1736</v>
      </c>
      <c r="B1797" s="138">
        <f>'Tax Sched 23'!F10</f>
        <v>142772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102657</v>
      </c>
      <c r="C1800" s="2" t="s">
        <v>573</v>
      </c>
      <c r="D1800" s="2" t="str">
        <f t="shared" si="27"/>
        <v>Error?</v>
      </c>
    </row>
    <row r="1801" spans="1:4" x14ac:dyDescent="0.2">
      <c r="A1801" s="5">
        <v>1740</v>
      </c>
      <c r="B1801" s="138">
        <f>'Tax Sched 23'!F12</f>
        <v>2554</v>
      </c>
      <c r="C1801" s="2" t="s">
        <v>573</v>
      </c>
      <c r="D1801" s="2" t="str">
        <f t="shared" si="27"/>
        <v>Error?</v>
      </c>
    </row>
    <row r="1802" spans="1:4" x14ac:dyDescent="0.2">
      <c r="A1802" s="5">
        <v>1741</v>
      </c>
      <c r="B1802" s="138">
        <f>'Tax Sched 23'!F14</f>
        <v>2554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18157753</v>
      </c>
      <c r="C1807" s="2" t="s">
        <v>573</v>
      </c>
      <c r="D1807" s="2" t="str">
        <f t="shared" si="27"/>
        <v>Error?</v>
      </c>
    </row>
    <row r="1808" spans="1:4" x14ac:dyDescent="0.2">
      <c r="A1808" s="5">
        <v>1747</v>
      </c>
      <c r="B1808" s="138">
        <f>'Tax Sched 23'!E4</f>
        <v>26851313</v>
      </c>
      <c r="D1808" s="2" t="str">
        <f t="shared" si="27"/>
        <v>Error?</v>
      </c>
    </row>
    <row r="1809" spans="1:4" x14ac:dyDescent="0.2">
      <c r="A1809" s="5">
        <v>1748</v>
      </c>
      <c r="B1809" s="138">
        <f>'Tax Sched 23'!E5</f>
        <v>3223900</v>
      </c>
      <c r="D1809" s="2" t="str">
        <f t="shared" si="27"/>
        <v>Error?</v>
      </c>
    </row>
    <row r="1810" spans="1:4" x14ac:dyDescent="0.2">
      <c r="A1810" s="5">
        <v>1749</v>
      </c>
      <c r="B1810" s="138">
        <f>'Tax Sched 23'!E6</f>
        <v>3149138</v>
      </c>
      <c r="D1810" s="2" t="str">
        <f t="shared" si="27"/>
        <v>Error?</v>
      </c>
    </row>
    <row r="1811" spans="1:4" x14ac:dyDescent="0.2">
      <c r="A1811" s="5">
        <v>1750</v>
      </c>
      <c r="B1811" s="138">
        <f>'Tax Sched 23'!E7</f>
        <v>1874600</v>
      </c>
      <c r="D1811" s="2" t="str">
        <f t="shared" si="27"/>
        <v>Error?</v>
      </c>
    </row>
    <row r="1812" spans="1:4" x14ac:dyDescent="0.2">
      <c r="A1812" s="5">
        <v>1751</v>
      </c>
      <c r="B1812" s="138">
        <f>'Tax Sched 23'!E8</f>
        <v>432600</v>
      </c>
      <c r="D1812" s="2" t="str">
        <f t="shared" si="27"/>
        <v>Error?</v>
      </c>
    </row>
    <row r="1813" spans="1:4" x14ac:dyDescent="0.2">
      <c r="A1813" s="5">
        <v>1752</v>
      </c>
      <c r="B1813" s="138">
        <f>'Tax Sched 23'!E10</f>
        <v>293550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211150</v>
      </c>
      <c r="D1816" s="2" t="str">
        <f t="shared" si="27"/>
        <v>Error?</v>
      </c>
    </row>
    <row r="1817" spans="1:4" x14ac:dyDescent="0.2">
      <c r="A1817" s="5">
        <v>1756</v>
      </c>
      <c r="B1817" s="138">
        <f>'Tax Sched 23'!E12</f>
        <v>5150</v>
      </c>
      <c r="D1817" s="2" t="str">
        <f t="shared" si="27"/>
        <v>Error?</v>
      </c>
    </row>
    <row r="1818" spans="1:4" x14ac:dyDescent="0.2">
      <c r="A1818" s="5">
        <v>1757</v>
      </c>
      <c r="B1818" s="138">
        <f>'Tax Sched 23'!E14</f>
        <v>5150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36705751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14360000</v>
      </c>
      <c r="C1939" s="2" t="s">
        <v>573</v>
      </c>
      <c r="D1939" s="2" t="str">
        <f t="shared" si="29"/>
        <v>Error?</v>
      </c>
    </row>
    <row r="1940" spans="1:5" x14ac:dyDescent="0.2">
      <c r="A1940" s="5">
        <v>1879</v>
      </c>
      <c r="B1940" s="138">
        <f>'Short-Term Long-Term Debt 24'!F49</f>
        <v>14000000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4790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4790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5311469</v>
      </c>
      <c r="D2008" s="2" t="str">
        <f t="shared" si="30"/>
        <v>Error?</v>
      </c>
    </row>
    <row r="2009" spans="1:4" x14ac:dyDescent="0.2">
      <c r="A2009" s="5">
        <v>1948</v>
      </c>
      <c r="B2009" s="138">
        <f>'Cap Outlay Deprec 26'!C8</f>
        <v>45754550</v>
      </c>
      <c r="D2009" s="2" t="str">
        <f t="shared" si="30"/>
        <v>Error?</v>
      </c>
    </row>
    <row r="2010" spans="1:4" x14ac:dyDescent="0.2">
      <c r="A2010" s="5">
        <v>1949</v>
      </c>
      <c r="B2010" s="138">
        <f>'Cap Outlay Deprec 26'!C10</f>
        <v>8251004</v>
      </c>
      <c r="D2010" s="2" t="str">
        <f t="shared" si="30"/>
        <v>Error?</v>
      </c>
    </row>
    <row r="2011" spans="1:4" x14ac:dyDescent="0.2">
      <c r="A2011" s="5">
        <v>1950</v>
      </c>
      <c r="B2011" s="138">
        <f>'Cap Outlay Deprec 26'!C12</f>
        <v>14215728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74953898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265804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15835644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5311469</v>
      </c>
      <c r="C2026" s="2" t="s">
        <v>573</v>
      </c>
      <c r="D2026" s="2" t="str">
        <f t="shared" si="30"/>
        <v>Error?</v>
      </c>
    </row>
    <row r="2027" spans="1:4" x14ac:dyDescent="0.2">
      <c r="A2027" s="5">
        <v>1966</v>
      </c>
      <c r="B2027" s="138">
        <f>'Cap Outlay Deprec 26'!F8</f>
        <v>45754550</v>
      </c>
      <c r="C2027" s="2" t="s">
        <v>573</v>
      </c>
      <c r="D2027" s="2" t="str">
        <f t="shared" si="30"/>
        <v>Error?</v>
      </c>
    </row>
    <row r="2028" spans="1:4" x14ac:dyDescent="0.2">
      <c r="A2028" s="5">
        <v>1967</v>
      </c>
      <c r="B2028" s="138">
        <f>'Cap Outlay Deprec 26'!F10</f>
        <v>8251004</v>
      </c>
      <c r="C2028" s="2" t="s">
        <v>573</v>
      </c>
      <c r="D2028" s="2" t="str">
        <f t="shared" si="30"/>
        <v>Error?</v>
      </c>
    </row>
    <row r="2029" spans="1:4" x14ac:dyDescent="0.2">
      <c r="A2029" s="5">
        <v>1968</v>
      </c>
      <c r="B2029" s="138">
        <f>'Cap Outlay Deprec 26'!F12</f>
        <v>14481532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90789542</v>
      </c>
      <c r="C2031" s="2" t="s">
        <v>573</v>
      </c>
      <c r="D2031" s="2" t="str">
        <f t="shared" si="30"/>
        <v>Error?</v>
      </c>
    </row>
    <row r="2032" spans="1:4" x14ac:dyDescent="0.2">
      <c r="A2032" s="10">
        <v>1971</v>
      </c>
      <c r="D2032" s="2" t="str">
        <f t="shared" si="30"/>
        <v>OK</v>
      </c>
    </row>
    <row r="2033" spans="1:4" x14ac:dyDescent="0.2">
      <c r="A2033" s="5">
        <v>1972</v>
      </c>
      <c r="B2033" s="138">
        <f>'Cap Outlay Deprec 26'!H8</f>
        <v>15200804</v>
      </c>
      <c r="D2033" s="2" t="str">
        <f t="shared" si="30"/>
        <v>Error?</v>
      </c>
    </row>
    <row r="2034" spans="1:4" x14ac:dyDescent="0.2">
      <c r="A2034" s="5">
        <v>1973</v>
      </c>
      <c r="B2034" s="138">
        <f>'Cap Outlay Deprec 26'!H10</f>
        <v>3047843</v>
      </c>
      <c r="D2034" s="2" t="str">
        <f t="shared" si="30"/>
        <v>Error?</v>
      </c>
    </row>
    <row r="2035" spans="1:4" x14ac:dyDescent="0.2">
      <c r="A2035" s="5">
        <v>1974</v>
      </c>
      <c r="B2035" s="138">
        <f>'Cap Outlay Deprec 26'!H12</f>
        <v>13269239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31517886</v>
      </c>
      <c r="C2037" s="2" t="s">
        <v>573</v>
      </c>
      <c r="D2037" s="2" t="str">
        <f t="shared" si="30"/>
        <v>Error?</v>
      </c>
    </row>
    <row r="2038" spans="1:4" x14ac:dyDescent="0.2">
      <c r="A2038" s="10">
        <v>1977</v>
      </c>
      <c r="D2038" s="2" t="str">
        <f t="shared" si="30"/>
        <v>OK</v>
      </c>
    </row>
    <row r="2039" spans="1:4" x14ac:dyDescent="0.2">
      <c r="A2039" s="5">
        <v>1978</v>
      </c>
      <c r="B2039" s="138">
        <f>'Cap Outlay Deprec 26'!I8</f>
        <v>941737</v>
      </c>
      <c r="D2039" s="2" t="str">
        <f t="shared" si="30"/>
        <v>Error?</v>
      </c>
    </row>
    <row r="2040" spans="1:4" x14ac:dyDescent="0.2">
      <c r="A2040" s="5">
        <v>1979</v>
      </c>
      <c r="B2040" s="138">
        <f>'Cap Outlay Deprec 26'!I10</f>
        <v>412550</v>
      </c>
      <c r="D2040" s="2" t="str">
        <f t="shared" si="30"/>
        <v>Error?</v>
      </c>
    </row>
    <row r="2041" spans="1:4" x14ac:dyDescent="0.2">
      <c r="A2041" s="5">
        <v>1980</v>
      </c>
      <c r="B2041" s="138">
        <f>'Cap Outlay Deprec 26'!I12</f>
        <v>203618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1557905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16142541</v>
      </c>
      <c r="C2051" s="2" t="s">
        <v>573</v>
      </c>
      <c r="D2051" s="2" t="str">
        <f t="shared" si="31"/>
        <v>Error?</v>
      </c>
    </row>
    <row r="2052" spans="1:4" x14ac:dyDescent="0.2">
      <c r="A2052" s="5">
        <v>1991</v>
      </c>
      <c r="B2052" s="138">
        <f>'Cap Outlay Deprec 26'!K10</f>
        <v>3460393</v>
      </c>
      <c r="C2052" s="2" t="s">
        <v>573</v>
      </c>
      <c r="D2052" s="2" t="str">
        <f t="shared" si="31"/>
        <v>Error?</v>
      </c>
    </row>
    <row r="2053" spans="1:4" x14ac:dyDescent="0.2">
      <c r="A2053" s="5">
        <v>1992</v>
      </c>
      <c r="B2053" s="138">
        <f>'Cap Outlay Deprec 26'!K12</f>
        <v>13472857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33075791</v>
      </c>
      <c r="C2055" s="2" t="s">
        <v>573</v>
      </c>
      <c r="D2055" s="2" t="str">
        <f t="shared" si="31"/>
        <v>Error?</v>
      </c>
    </row>
    <row r="2056" spans="1:4" x14ac:dyDescent="0.2">
      <c r="A2056" s="5">
        <v>1995</v>
      </c>
      <c r="B2056" s="138">
        <f>'Cap Outlay Deprec 26'!L5</f>
        <v>5311469</v>
      </c>
      <c r="C2056" s="2" t="s">
        <v>573</v>
      </c>
      <c r="D2056" s="2" t="str">
        <f t="shared" si="31"/>
        <v>Error?</v>
      </c>
    </row>
    <row r="2057" spans="1:4" x14ac:dyDescent="0.2">
      <c r="A2057" s="5">
        <v>1996</v>
      </c>
      <c r="B2057" s="138">
        <f>'Cap Outlay Deprec 26'!L8</f>
        <v>29612009</v>
      </c>
      <c r="C2057" s="2" t="s">
        <v>573</v>
      </c>
      <c r="D2057" s="2" t="str">
        <f t="shared" si="31"/>
        <v>Error?</v>
      </c>
    </row>
    <row r="2058" spans="1:4" x14ac:dyDescent="0.2">
      <c r="A2058" s="5">
        <v>1997</v>
      </c>
      <c r="B2058" s="138">
        <f>'Cap Outlay Deprec 26'!L10</f>
        <v>4790611</v>
      </c>
      <c r="C2058" s="2" t="s">
        <v>573</v>
      </c>
      <c r="D2058" s="2" t="str">
        <f t="shared" si="31"/>
        <v>Error?</v>
      </c>
    </row>
    <row r="2059" spans="1:4" x14ac:dyDescent="0.2">
      <c r="A2059" s="5">
        <v>1998</v>
      </c>
      <c r="B2059" s="138">
        <f>'Cap Outlay Deprec 26'!L12</f>
        <v>1008675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57713751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645021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645361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2809011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2189253</v>
      </c>
      <c r="D2475" s="2" t="str">
        <f t="shared" si="37"/>
        <v>Error?</v>
      </c>
    </row>
    <row r="2476" spans="1:4" x14ac:dyDescent="0.2">
      <c r="A2476" s="10">
        <v>2415</v>
      </c>
      <c r="D2476" s="2" t="str">
        <f t="shared" si="37"/>
        <v>OK</v>
      </c>
    </row>
    <row r="2477" spans="1:4" x14ac:dyDescent="0.2">
      <c r="A2477" s="5">
        <v>2416</v>
      </c>
      <c r="B2477" s="138">
        <f>'Assets-Liab 5-6'!G38</f>
        <v>721506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1828445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3407362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26615842</v>
      </c>
      <c r="C2551" s="2" t="s">
        <v>573</v>
      </c>
      <c r="D2551" s="2" t="str">
        <f t="shared" si="38"/>
        <v>Error?</v>
      </c>
    </row>
    <row r="2552" spans="1:4" x14ac:dyDescent="0.2">
      <c r="A2552" s="10">
        <v>2491</v>
      </c>
      <c r="D2552" s="2" t="str">
        <f t="shared" si="38"/>
        <v>OK</v>
      </c>
    </row>
    <row r="2553" spans="1:4" x14ac:dyDescent="0.2">
      <c r="A2553" s="5">
        <v>2492</v>
      </c>
      <c r="B2553" s="138">
        <f>'Acct Summary 7-8'!C6</f>
        <v>3331751</v>
      </c>
      <c r="C2553" s="2" t="s">
        <v>573</v>
      </c>
      <c r="D2553" s="2" t="str">
        <f t="shared" si="38"/>
        <v>Error?</v>
      </c>
    </row>
    <row r="2554" spans="1:4" x14ac:dyDescent="0.2">
      <c r="A2554" s="5">
        <v>2493</v>
      </c>
      <c r="B2554" s="138">
        <f>'Acct Summary 7-8'!C7</f>
        <v>1879611</v>
      </c>
      <c r="C2554" s="2" t="s">
        <v>573</v>
      </c>
      <c r="D2554" s="2" t="str">
        <f t="shared" si="38"/>
        <v>Error?</v>
      </c>
    </row>
    <row r="2555" spans="1:4" x14ac:dyDescent="0.2">
      <c r="A2555" s="5">
        <v>2494</v>
      </c>
      <c r="B2555" s="138">
        <f>'Acct Summary 7-8'!C8</f>
        <v>31827204</v>
      </c>
      <c r="C2555" s="2" t="s">
        <v>573</v>
      </c>
      <c r="D2555" s="2" t="str">
        <f t="shared" si="38"/>
        <v>Error?</v>
      </c>
    </row>
    <row r="2556" spans="1:4" x14ac:dyDescent="0.2">
      <c r="A2556" s="5">
        <v>2495</v>
      </c>
      <c r="B2556" s="138">
        <f>'Acct Summary 7-8'!C12</f>
        <v>22433676</v>
      </c>
      <c r="C2556" s="2" t="s">
        <v>573</v>
      </c>
      <c r="D2556" s="2" t="str">
        <f t="shared" si="38"/>
        <v>Error?</v>
      </c>
    </row>
    <row r="2557" spans="1:4" x14ac:dyDescent="0.2">
      <c r="A2557" s="5">
        <v>2496</v>
      </c>
      <c r="B2557" s="138">
        <f>'Acct Summary 7-8'!C13</f>
        <v>8058411</v>
      </c>
      <c r="C2557" s="2" t="s">
        <v>573</v>
      </c>
      <c r="D2557" s="2" t="str">
        <f t="shared" si="38"/>
        <v>Error?</v>
      </c>
    </row>
    <row r="2558" spans="1:4" x14ac:dyDescent="0.2">
      <c r="A2558" s="5">
        <v>2497</v>
      </c>
      <c r="B2558" s="138">
        <f>'Acct Summary 7-8'!C14</f>
        <v>314933</v>
      </c>
      <c r="C2558" s="2" t="s">
        <v>573</v>
      </c>
      <c r="D2558" s="2" t="str">
        <f t="shared" si="38"/>
        <v>Error?</v>
      </c>
    </row>
    <row r="2559" spans="1:4" x14ac:dyDescent="0.2">
      <c r="A2559" s="5">
        <v>2498</v>
      </c>
      <c r="B2559" s="138">
        <f>'Acct Summary 7-8'!C15</f>
        <v>645361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31452381</v>
      </c>
      <c r="C2561" s="2" t="s">
        <v>573</v>
      </c>
      <c r="D2561" s="2" t="str">
        <f t="shared" si="39"/>
        <v>Error?</v>
      </c>
    </row>
    <row r="2562" spans="1:4" x14ac:dyDescent="0.2">
      <c r="A2562" s="5">
        <v>2501</v>
      </c>
      <c r="B2562" s="138">
        <f>'Acct Summary 7-8'!C20</f>
        <v>374823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3211842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3211842</v>
      </c>
      <c r="C2568" s="2" t="s">
        <v>573</v>
      </c>
      <c r="D2568" s="2" t="str">
        <f t="shared" si="39"/>
        <v>Error?</v>
      </c>
    </row>
    <row r="2569" spans="1:4" x14ac:dyDescent="0.2">
      <c r="A2569" s="5">
        <v>2508</v>
      </c>
      <c r="B2569" s="138">
        <f>'Acct Summary 7-8'!D13</f>
        <v>3331364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3331364</v>
      </c>
      <c r="C2573" s="2" t="s">
        <v>573</v>
      </c>
      <c r="D2573" s="2" t="str">
        <f t="shared" si="39"/>
        <v>Error?</v>
      </c>
    </row>
    <row r="2574" spans="1:4" x14ac:dyDescent="0.2">
      <c r="A2574" s="5">
        <v>2513</v>
      </c>
      <c r="B2574" s="138">
        <f>'Acct Summary 7-8'!D20</f>
        <v>-119522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1767919</v>
      </c>
      <c r="C2591" s="2" t="s">
        <v>573</v>
      </c>
      <c r="D2591" s="2" t="str">
        <f t="shared" si="39"/>
        <v>Error?</v>
      </c>
    </row>
    <row r="2592" spans="1:4" x14ac:dyDescent="0.2">
      <c r="A2592" s="10">
        <v>2531</v>
      </c>
      <c r="D2592" s="2" t="str">
        <f t="shared" si="39"/>
        <v>OK</v>
      </c>
    </row>
    <row r="2593" spans="1:4" x14ac:dyDescent="0.2">
      <c r="A2593" s="5">
        <v>2532</v>
      </c>
      <c r="B2593" s="138">
        <f>'Acct Summary 7-8'!F6</f>
        <v>742987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2510906</v>
      </c>
      <c r="C2595" s="2" t="s">
        <v>573</v>
      </c>
      <c r="D2595" s="2" t="str">
        <f t="shared" si="39"/>
        <v>Error?</v>
      </c>
    </row>
    <row r="2596" spans="1:4" x14ac:dyDescent="0.2">
      <c r="A2596" s="5">
        <v>2535</v>
      </c>
      <c r="B2596" s="138">
        <f>'Acct Summary 7-8'!F13</f>
        <v>1556616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1556616</v>
      </c>
      <c r="C2600" s="2" t="s">
        <v>573</v>
      </c>
      <c r="D2600" s="2" t="str">
        <f t="shared" si="39"/>
        <v>Error?</v>
      </c>
    </row>
    <row r="2601" spans="1:4" x14ac:dyDescent="0.2">
      <c r="A2601" s="5">
        <v>2540</v>
      </c>
      <c r="B2601" s="138">
        <f>'Acct Summary 7-8'!F20</f>
        <v>954290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1105927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1105927</v>
      </c>
      <c r="C2606" s="2" t="s">
        <v>573</v>
      </c>
      <c r="D2606" s="2" t="str">
        <f t="shared" si="39"/>
        <v>Error?</v>
      </c>
    </row>
    <row r="2607" spans="1:4" x14ac:dyDescent="0.2">
      <c r="A2607" s="5">
        <v>2546</v>
      </c>
      <c r="B2607" s="138">
        <f>'Acct Summary 7-8'!G12</f>
        <v>585926</v>
      </c>
      <c r="C2607" s="2" t="s">
        <v>573</v>
      </c>
      <c r="D2607" s="2" t="str">
        <f t="shared" si="39"/>
        <v>Error?</v>
      </c>
    </row>
    <row r="2608" spans="1:4" x14ac:dyDescent="0.2">
      <c r="A2608" s="5">
        <v>2547</v>
      </c>
      <c r="B2608" s="138">
        <f>'Acct Summary 7-8'!G13</f>
        <v>515761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1101687</v>
      </c>
      <c r="C2612" s="2" t="s">
        <v>573</v>
      </c>
      <c r="D2612" s="2" t="str">
        <f t="shared" si="39"/>
        <v>Error?</v>
      </c>
    </row>
    <row r="2613" spans="1:4" x14ac:dyDescent="0.2">
      <c r="A2613" s="5">
        <v>2552</v>
      </c>
      <c r="B2613" s="138">
        <f>'Acct Summary 7-8'!G20</f>
        <v>4240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2625250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2625250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3984235</v>
      </c>
      <c r="C2634" s="2" t="s">
        <v>573</v>
      </c>
      <c r="D2634" s="2" t="str">
        <f t="shared" si="40"/>
        <v>Error?</v>
      </c>
    </row>
    <row r="2635" spans="1:4" x14ac:dyDescent="0.2">
      <c r="A2635" s="5">
        <v>2574</v>
      </c>
      <c r="B2635" s="138">
        <f>'Acct Summary 7-8'!E17</f>
        <v>3984235</v>
      </c>
      <c r="C2635" s="2" t="s">
        <v>573</v>
      </c>
      <c r="D2635" s="2" t="str">
        <f t="shared" si="40"/>
        <v>Error?</v>
      </c>
    </row>
    <row r="2636" spans="1:4" x14ac:dyDescent="0.2">
      <c r="A2636" s="5">
        <v>2575</v>
      </c>
      <c r="B2636" s="138">
        <f>'Acct Summary 7-8'!E20</f>
        <v>-1358985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186695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186695</v>
      </c>
      <c r="C2658" s="2" t="s">
        <v>573</v>
      </c>
      <c r="D2658" s="2" t="str">
        <f t="shared" si="40"/>
        <v>Error?</v>
      </c>
    </row>
    <row r="2659" spans="1:4" x14ac:dyDescent="0.2">
      <c r="A2659" s="5">
        <v>2598</v>
      </c>
      <c r="B2659" s="138">
        <f>'Acct Summary 7-8'!H13</f>
        <v>15631356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15631356</v>
      </c>
      <c r="C2661" s="2" t="s">
        <v>573</v>
      </c>
      <c r="D2661" s="2" t="str">
        <f t="shared" si="40"/>
        <v>Error?</v>
      </c>
    </row>
    <row r="2662" spans="1:4" x14ac:dyDescent="0.2">
      <c r="A2662" s="5">
        <v>2601</v>
      </c>
      <c r="B2662" s="138">
        <f>'Acct Summary 7-8'!H20</f>
        <v>-15444661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266631</v>
      </c>
      <c r="D2718" s="2" t="str">
        <f t="shared" si="41"/>
        <v>Error?</v>
      </c>
    </row>
    <row r="2719" spans="1:4" x14ac:dyDescent="0.2">
      <c r="A2719" s="5">
        <v>2658</v>
      </c>
      <c r="B2719" s="138">
        <f>'Expenditures 15-22'!D51</f>
        <v>64157</v>
      </c>
      <c r="D2719" s="2" t="str">
        <f t="shared" si="41"/>
        <v>Error?</v>
      </c>
    </row>
    <row r="2720" spans="1:4" x14ac:dyDescent="0.2">
      <c r="A2720" s="5">
        <v>2659</v>
      </c>
      <c r="B2720" s="138">
        <f>'Expenditures 15-22'!E51</f>
        <v>1785</v>
      </c>
      <c r="D2720" s="2" t="str">
        <f t="shared" si="41"/>
        <v>Error?</v>
      </c>
    </row>
    <row r="2721" spans="1:4" x14ac:dyDescent="0.2">
      <c r="A2721" s="5">
        <v>2660</v>
      </c>
      <c r="B2721" s="138">
        <f>'Expenditures 15-22'!F51</f>
        <v>1427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250</v>
      </c>
      <c r="D2723" s="2" t="str">
        <f t="shared" si="41"/>
        <v>Error?</v>
      </c>
    </row>
    <row r="2724" spans="1:4" x14ac:dyDescent="0.2">
      <c r="A2724" s="5">
        <v>2663</v>
      </c>
      <c r="B2724" s="138">
        <f>'Expenditures 15-22'!K51</f>
        <v>334250</v>
      </c>
      <c r="C2724" s="2" t="s">
        <v>573</v>
      </c>
      <c r="D2724" s="2" t="str">
        <f t="shared" si="41"/>
        <v>Error?</v>
      </c>
    </row>
    <row r="2725" spans="1:4" x14ac:dyDescent="0.2">
      <c r="A2725" s="5">
        <v>2664</v>
      </c>
      <c r="B2725" s="138">
        <f>'Expenditures 15-22'!D247</f>
        <v>10588</v>
      </c>
      <c r="D2725" s="2" t="str">
        <f t="shared" si="41"/>
        <v>Error?</v>
      </c>
    </row>
    <row r="2726" spans="1:4" x14ac:dyDescent="0.2">
      <c r="A2726" s="5">
        <v>2665</v>
      </c>
      <c r="B2726" s="138">
        <f>'Expenditures 15-22'!K247</f>
        <v>10588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340</v>
      </c>
      <c r="C2789" s="2" t="s">
        <v>573</v>
      </c>
      <c r="D2789" s="2" t="str">
        <f t="shared" si="42"/>
        <v>Error?</v>
      </c>
    </row>
    <row r="2790" spans="1:4" x14ac:dyDescent="0.2">
      <c r="A2790" s="5">
        <v>2729</v>
      </c>
      <c r="B2790" s="138">
        <f>'Expenditures 15-22'!E102</f>
        <v>340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17040471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138664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702360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92891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142372</v>
      </c>
      <c r="D2908" s="2" t="str">
        <f t="shared" si="44"/>
        <v>Error?</v>
      </c>
    </row>
    <row r="2909" spans="1:4" x14ac:dyDescent="0.2">
      <c r="A2909" s="10">
        <v>2848</v>
      </c>
      <c r="D2909" s="2" t="str">
        <f t="shared" si="44"/>
        <v>OK</v>
      </c>
    </row>
    <row r="2910" spans="1:4" x14ac:dyDescent="0.2">
      <c r="A2910" s="5">
        <v>2849</v>
      </c>
      <c r="B2910" s="138">
        <f>'Assets-Liab 5-6'!I34</f>
        <v>142372</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559988</v>
      </c>
      <c r="D2912" s="2" t="str">
        <f t="shared" si="44"/>
        <v>Error?</v>
      </c>
    </row>
    <row r="2913" spans="1:4" x14ac:dyDescent="0.2">
      <c r="A2913" s="5">
        <v>2852</v>
      </c>
      <c r="B2913" s="138">
        <f>'Assets-Liab 5-6'!I41</f>
        <v>702360</v>
      </c>
      <c r="C2913" s="2" t="s">
        <v>573</v>
      </c>
      <c r="D2913" s="2" t="str">
        <f t="shared" si="44"/>
        <v>Error?</v>
      </c>
    </row>
    <row r="2914" spans="1:4" x14ac:dyDescent="0.2">
      <c r="A2914" s="5">
        <v>2853</v>
      </c>
      <c r="B2914" s="138">
        <f>'Assets-Liab 5-6'!L33</f>
        <v>92891</v>
      </c>
      <c r="D2914" s="2" t="str">
        <f t="shared" si="44"/>
        <v>Error?</v>
      </c>
    </row>
    <row r="2915" spans="1:4" x14ac:dyDescent="0.2">
      <c r="A2915" s="10">
        <v>2854</v>
      </c>
      <c r="D2915" s="2" t="str">
        <f t="shared" si="44"/>
        <v>OK</v>
      </c>
    </row>
    <row r="2916" spans="1:4" x14ac:dyDescent="0.2">
      <c r="A2916" s="5">
        <v>2855</v>
      </c>
      <c r="B2916" s="138">
        <f>'Assets-Liab 5-6'!L34</f>
        <v>92891</v>
      </c>
      <c r="C2916" s="2" t="s">
        <v>573</v>
      </c>
      <c r="D2916" s="2" t="str">
        <f t="shared" si="44"/>
        <v>Error?</v>
      </c>
    </row>
    <row r="2917" spans="1:4" x14ac:dyDescent="0.2">
      <c r="A2917" s="5">
        <v>2856</v>
      </c>
      <c r="B2917" s="138">
        <f>'Assets-Liab 5-6'!L41</f>
        <v>92891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340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645021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340</v>
      </c>
      <c r="C2973" s="2" t="s">
        <v>573</v>
      </c>
      <c r="D2973" s="2" t="str">
        <f t="shared" si="45"/>
        <v>Error?</v>
      </c>
    </row>
    <row r="2974" spans="1:4" x14ac:dyDescent="0.2">
      <c r="A2974" s="5">
        <v>2913</v>
      </c>
      <c r="B2974" s="138">
        <f>'Expenditures 15-22'!K79</f>
        <v>645021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565336</v>
      </c>
      <c r="D3055" s="2" t="str">
        <f t="shared" si="46"/>
        <v>Error?</v>
      </c>
    </row>
    <row r="3056" spans="1:4" x14ac:dyDescent="0.2">
      <c r="A3056" s="5">
        <v>2995</v>
      </c>
      <c r="B3056" s="138">
        <f>'Expenditures 15-22'!D10</f>
        <v>119747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685083</v>
      </c>
      <c r="C3062" s="2" t="s">
        <v>573</v>
      </c>
      <c r="D3062" s="2" t="str">
        <f t="shared" si="46"/>
        <v>Error?</v>
      </c>
    </row>
    <row r="3063" spans="1:4" x14ac:dyDescent="0.2">
      <c r="A3063" s="10">
        <v>3002</v>
      </c>
      <c r="D3063" s="2" t="str">
        <f t="shared" si="46"/>
        <v>OK</v>
      </c>
    </row>
    <row r="3064" spans="1:4" x14ac:dyDescent="0.2">
      <c r="A3064" s="5">
        <v>3003</v>
      </c>
      <c r="B3064" s="138">
        <f>'Expenditures 15-22'!D219</f>
        <v>7049</v>
      </c>
      <c r="D3064" s="2" t="str">
        <f t="shared" si="46"/>
        <v>Error?</v>
      </c>
    </row>
    <row r="3065" spans="1:4" x14ac:dyDescent="0.2">
      <c r="A3065" s="5">
        <v>3004</v>
      </c>
      <c r="B3065" s="138">
        <f>'Expenditures 15-22'!K219</f>
        <v>7049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291133</v>
      </c>
      <c r="C3225" s="2" t="s">
        <v>573</v>
      </c>
      <c r="D3225" s="2" t="str">
        <f t="shared" si="49"/>
        <v>Error?</v>
      </c>
    </row>
    <row r="3226" spans="1:4" x14ac:dyDescent="0.2">
      <c r="A3226" s="5">
        <v>3165</v>
      </c>
      <c r="B3226" s="138">
        <f>'Acct Summary 7-8'!I8</f>
        <v>291133</v>
      </c>
      <c r="C3226" s="2" t="s">
        <v>573</v>
      </c>
      <c r="D3226" s="2" t="str">
        <f t="shared" si="49"/>
        <v>Error?</v>
      </c>
    </row>
    <row r="3227" spans="1:4" x14ac:dyDescent="0.2">
      <c r="A3227" s="5">
        <v>3166</v>
      </c>
      <c r="B3227" s="138">
        <f>'Acct Summary 7-8'!I20</f>
        <v>291133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374823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14000000</v>
      </c>
      <c r="C3235" s="2" t="s">
        <v>573</v>
      </c>
      <c r="D3235" s="2" t="str">
        <f t="shared" si="49"/>
        <v>Error?</v>
      </c>
    </row>
    <row r="3236" spans="1:4" x14ac:dyDescent="0.2">
      <c r="A3236" s="5">
        <v>3175</v>
      </c>
      <c r="B3236" s="138">
        <f>'Acct Summary 7-8'!D75</f>
        <v>14000000</v>
      </c>
      <c r="D3236" s="2" t="str">
        <f t="shared" si="49"/>
        <v>Error?</v>
      </c>
    </row>
    <row r="3237" spans="1:4" x14ac:dyDescent="0.2">
      <c r="A3237" s="5">
        <v>3176</v>
      </c>
      <c r="B3237" s="138">
        <f>'Acct Summary 7-8'!D76</f>
        <v>14000000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-119522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954290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-1358985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14000000</v>
      </c>
      <c r="C3299" s="2" t="s">
        <v>573</v>
      </c>
      <c r="D3299" s="2" t="str">
        <f t="shared" si="50"/>
        <v>Error?</v>
      </c>
    </row>
    <row r="3300" spans="1:4" x14ac:dyDescent="0.2">
      <c r="A3300" s="5">
        <v>3239</v>
      </c>
      <c r="B3300" s="138">
        <f>'Acct Summary 7-8'!H78</f>
        <v>-1444661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14000000</v>
      </c>
      <c r="C3317" s="2" t="s">
        <v>573</v>
      </c>
      <c r="D3317" s="2" t="str">
        <f t="shared" si="50"/>
        <v>Error?</v>
      </c>
    </row>
    <row r="3318" spans="1:4" x14ac:dyDescent="0.2">
      <c r="A3318" s="5">
        <v>3257</v>
      </c>
      <c r="B3318" s="138">
        <f>'Acct Summary 7-8'!I76</f>
        <v>14000000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291133</v>
      </c>
      <c r="C3320" s="2" t="s">
        <v>573</v>
      </c>
      <c r="D3320" s="2" t="str">
        <f t="shared" si="50"/>
        <v>Error?</v>
      </c>
    </row>
    <row r="3321" spans="1:4" x14ac:dyDescent="0.2">
      <c r="A3321" s="5">
        <v>3260</v>
      </c>
      <c r="B3321" s="138">
        <f>'Acct Summary 7-8'!I79</f>
        <v>268855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559988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3281453</v>
      </c>
      <c r="D3366" s="2" t="str">
        <f t="shared" si="51"/>
        <v>Error?</v>
      </c>
    </row>
    <row r="3367" spans="1:4" x14ac:dyDescent="0.2">
      <c r="A3367" s="5">
        <v>3306</v>
      </c>
      <c r="B3367" s="138">
        <f>'Expenditures 15-22'!C19</f>
        <v>5273</v>
      </c>
      <c r="D3367" s="2" t="str">
        <f t="shared" si="51"/>
        <v>Error?</v>
      </c>
    </row>
    <row r="3368" spans="1:4" x14ac:dyDescent="0.2">
      <c r="A3368" s="5">
        <v>3307</v>
      </c>
      <c r="B3368" s="138">
        <f>'Expenditures 15-22'!D8</f>
        <v>896080</v>
      </c>
      <c r="D3368" s="2" t="str">
        <f t="shared" si="51"/>
        <v>Error?</v>
      </c>
    </row>
    <row r="3369" spans="1:4" x14ac:dyDescent="0.2">
      <c r="A3369" s="5">
        <v>3308</v>
      </c>
      <c r="B3369" s="138">
        <f>'Expenditures 15-22'!D19</f>
        <v>72</v>
      </c>
      <c r="D3369" s="2" t="str">
        <f t="shared" si="51"/>
        <v>Error?</v>
      </c>
    </row>
    <row r="3370" spans="1:4" x14ac:dyDescent="0.2">
      <c r="A3370" s="5">
        <v>3309</v>
      </c>
      <c r="B3370" s="138">
        <f>'Expenditures 15-22'!E8</f>
        <v>23984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27720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4229237</v>
      </c>
      <c r="C3380" s="2" t="s">
        <v>573</v>
      </c>
      <c r="D3380" s="2" t="str">
        <f t="shared" si="51"/>
        <v>Error?</v>
      </c>
    </row>
    <row r="3381" spans="1:4" x14ac:dyDescent="0.2">
      <c r="A3381" s="5">
        <v>3320</v>
      </c>
      <c r="B3381" s="138">
        <f>'Expenditures 15-22'!K19</f>
        <v>5345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215637</v>
      </c>
      <c r="D3387" s="2" t="str">
        <f t="shared" si="51"/>
        <v>Error?</v>
      </c>
    </row>
    <row r="3388" spans="1:4" x14ac:dyDescent="0.2">
      <c r="A3388" s="5">
        <v>3327</v>
      </c>
      <c r="B3388" s="138">
        <f>'Expenditures 15-22'!D217</f>
        <v>298818</v>
      </c>
      <c r="D3388" s="2" t="str">
        <f t="shared" si="51"/>
        <v>Error?</v>
      </c>
    </row>
    <row r="3389" spans="1:4" x14ac:dyDescent="0.2">
      <c r="A3389" s="5">
        <v>3328</v>
      </c>
      <c r="B3389" s="138">
        <f>'Expenditures 15-22'!D228</f>
        <v>66</v>
      </c>
      <c r="D3389" s="2" t="str">
        <f t="shared" si="51"/>
        <v>Error?</v>
      </c>
    </row>
    <row r="3390" spans="1:4" x14ac:dyDescent="0.2">
      <c r="A3390" s="5">
        <v>3329</v>
      </c>
      <c r="B3390" s="138">
        <f>'Expenditures 15-22'!K215</f>
        <v>215637</v>
      </c>
      <c r="C3390" s="2" t="s">
        <v>573</v>
      </c>
      <c r="D3390" s="2" t="str">
        <f t="shared" si="51"/>
        <v>Error?</v>
      </c>
    </row>
    <row r="3391" spans="1:4" x14ac:dyDescent="0.2">
      <c r="A3391" s="5">
        <v>3330</v>
      </c>
      <c r="B3391" s="138">
        <f>'Expenditures 15-22'!K217</f>
        <v>298818</v>
      </c>
      <c r="C3391" s="2" t="s">
        <v>573</v>
      </c>
      <c r="D3391" s="2" t="str">
        <f t="shared" ref="D3391:D3454" si="52">IF(ISBLANK(B3391),"OK",IF(A3391-B3391=0,"OK","Error?"))</f>
        <v>Error?</v>
      </c>
    </row>
    <row r="3392" spans="1:4" x14ac:dyDescent="0.2">
      <c r="A3392" s="5">
        <v>3331</v>
      </c>
      <c r="B3392" s="138">
        <f>'Expenditures 15-22'!K228</f>
        <v>66</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24613917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3080613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2347829</v>
      </c>
      <c r="D3417" s="2" t="str">
        <f t="shared" si="52"/>
        <v>Error?</v>
      </c>
    </row>
    <row r="3418" spans="1:4" x14ac:dyDescent="0.2">
      <c r="A3418" s="10">
        <v>3357</v>
      </c>
      <c r="D3418" s="2" t="str">
        <f t="shared" si="52"/>
        <v>OK</v>
      </c>
    </row>
    <row r="3419" spans="1:4" x14ac:dyDescent="0.2">
      <c r="A3419" s="5">
        <v>3358</v>
      </c>
      <c r="B3419" s="138">
        <f>'Assets-Liab 5-6'!F4</f>
        <v>2036106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730331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5349696</v>
      </c>
      <c r="D3425" s="2" t="str">
        <f t="shared" si="52"/>
        <v>Error?</v>
      </c>
    </row>
    <row r="3426" spans="1:4" x14ac:dyDescent="0.2">
      <c r="A3426" s="10">
        <v>3365</v>
      </c>
      <c r="D3426" s="2" t="str">
        <f t="shared" si="52"/>
        <v>OK</v>
      </c>
    </row>
    <row r="3427" spans="1:4" x14ac:dyDescent="0.2">
      <c r="A3427" s="5">
        <v>3366</v>
      </c>
      <c r="B3427" s="138">
        <f>'Assets-Liab 5-6'!I4</f>
        <v>561805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92891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605611</v>
      </c>
      <c r="C3446" s="2" t="s">
        <v>573</v>
      </c>
      <c r="D3446" s="2" t="str">
        <f t="shared" si="52"/>
        <v>Error?</v>
      </c>
    </row>
    <row r="3447" spans="1:4" x14ac:dyDescent="0.2">
      <c r="A3447" s="5">
        <v>3386</v>
      </c>
      <c r="B3447" s="138">
        <f>'Tax Sched 23'!D16</f>
        <v>269975</v>
      </c>
      <c r="C3447" s="2" t="s">
        <v>573</v>
      </c>
      <c r="D3447" s="2" t="str">
        <f t="shared" si="52"/>
        <v>Error?</v>
      </c>
    </row>
    <row r="3448" spans="1:4" x14ac:dyDescent="0.2">
      <c r="A3448" s="5">
        <v>3387</v>
      </c>
      <c r="B3448" s="138">
        <f>'Tax Sched 23'!C16</f>
        <v>335636</v>
      </c>
      <c r="D3448" s="2" t="str">
        <f t="shared" si="52"/>
        <v>Error?</v>
      </c>
    </row>
    <row r="3449" spans="1:4" x14ac:dyDescent="0.2">
      <c r="A3449" s="5">
        <v>3388</v>
      </c>
      <c r="B3449" s="138">
        <f>'Tax Sched 23'!F16</f>
        <v>318414</v>
      </c>
      <c r="C3449" s="2" t="s">
        <v>573</v>
      </c>
      <c r="D3449" s="2" t="str">
        <f t="shared" si="52"/>
        <v>Error?</v>
      </c>
    </row>
    <row r="3450" spans="1:4" x14ac:dyDescent="0.2">
      <c r="A3450" s="5">
        <v>3389</v>
      </c>
      <c r="B3450" s="138">
        <f>'Tax Sched 23'!E16</f>
        <v>654050</v>
      </c>
      <c r="D3450" s="2" t="str">
        <f t="shared" si="52"/>
        <v>Error?</v>
      </c>
    </row>
    <row r="3451" spans="1:4" x14ac:dyDescent="0.2">
      <c r="A3451" s="5">
        <v>3390</v>
      </c>
      <c r="B3451" s="138">
        <f>'Cap Outlay Deprec 26'!C15</f>
        <v>1421147</v>
      </c>
      <c r="D3451" s="2" t="str">
        <f t="shared" si="52"/>
        <v>Error?</v>
      </c>
    </row>
    <row r="3452" spans="1:4" x14ac:dyDescent="0.2">
      <c r="A3452" s="5">
        <v>3391</v>
      </c>
      <c r="B3452" s="138">
        <f>'Cap Outlay Deprec 26'!D15</f>
        <v>15569840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16990987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16990987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353237</v>
      </c>
      <c r="D3546" s="2" t="str">
        <f t="shared" si="54"/>
        <v>Error?</v>
      </c>
    </row>
    <row r="3547" spans="1:4" x14ac:dyDescent="0.2">
      <c r="A3547" s="10">
        <v>3486</v>
      </c>
      <c r="D3547" s="2" t="str">
        <f t="shared" si="54"/>
        <v>OK</v>
      </c>
    </row>
    <row r="3548" spans="1:4" x14ac:dyDescent="0.2">
      <c r="A3548" s="5">
        <v>3487</v>
      </c>
      <c r="B3548" s="138">
        <f>'Assets-Liab 5-6'!K6</f>
        <v>2455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357702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2498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2498</v>
      </c>
      <c r="C3565" s="2" t="s">
        <v>573</v>
      </c>
      <c r="D3565" s="2" t="str">
        <f t="shared" si="54"/>
        <v>Error?</v>
      </c>
    </row>
    <row r="3566" spans="1:4" x14ac:dyDescent="0.2">
      <c r="A3566" s="5">
        <v>3505</v>
      </c>
      <c r="B3566" s="138">
        <f>'Assets-Liab 5-6'!K38</f>
        <v>355204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357702</v>
      </c>
      <c r="C3568" s="2" t="s">
        <v>573</v>
      </c>
      <c r="D3568" s="2" t="str">
        <f t="shared" si="54"/>
        <v>Error?</v>
      </c>
    </row>
    <row r="3569" spans="1:4" x14ac:dyDescent="0.2">
      <c r="A3569" s="5">
        <v>3508</v>
      </c>
      <c r="B3569" s="138">
        <f>'Acct Summary 7-8'!K4</f>
        <v>17448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17448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17448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17448</v>
      </c>
      <c r="C3588" s="2" t="s">
        <v>573</v>
      </c>
      <c r="D3588" s="2" t="str">
        <f t="shared" si="55"/>
        <v>Error?</v>
      </c>
    </row>
    <row r="3589" spans="1:4" x14ac:dyDescent="0.2">
      <c r="A3589" s="5">
        <v>3528</v>
      </c>
      <c r="B3589" s="138">
        <f>'Acct Summary 7-8'!K79</f>
        <v>337756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355204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17448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4904</v>
      </c>
      <c r="C3725" s="2" t="s">
        <v>573</v>
      </c>
      <c r="D3725" s="2" t="str">
        <f t="shared" si="57"/>
        <v>Error?</v>
      </c>
    </row>
    <row r="3726" spans="1:4" x14ac:dyDescent="0.2">
      <c r="A3726" s="5">
        <v>3665</v>
      </c>
      <c r="B3726" s="138">
        <f>'Tax Sched 23'!D13</f>
        <v>2521</v>
      </c>
      <c r="C3726" s="2" t="s">
        <v>573</v>
      </c>
      <c r="D3726" s="2" t="str">
        <f t="shared" si="57"/>
        <v>Error?</v>
      </c>
    </row>
    <row r="3727" spans="1:4" x14ac:dyDescent="0.2">
      <c r="A3727" s="5">
        <v>3666</v>
      </c>
      <c r="B3727" s="138">
        <f>'Tax Sched 23'!C13</f>
        <v>2383</v>
      </c>
      <c r="D3727" s="2" t="str">
        <f t="shared" si="57"/>
        <v>Error?</v>
      </c>
    </row>
    <row r="3728" spans="1:4" x14ac:dyDescent="0.2">
      <c r="A3728" s="5">
        <v>3667</v>
      </c>
      <c r="B3728" s="138">
        <f>'Tax Sched 23'!F13</f>
        <v>2767</v>
      </c>
      <c r="C3728" s="2" t="s">
        <v>573</v>
      </c>
      <c r="D3728" s="2" t="str">
        <f t="shared" si="57"/>
        <v>Error?</v>
      </c>
    </row>
    <row r="3729" spans="1:4" x14ac:dyDescent="0.2">
      <c r="A3729" s="5">
        <v>3668</v>
      </c>
      <c r="B3729" s="138">
        <f>'Tax Sched 23'!E13</f>
        <v>5150</v>
      </c>
      <c r="D3729" s="2" t="str">
        <f t="shared" si="57"/>
        <v>Error?</v>
      </c>
    </row>
    <row r="3730" spans="1:4" x14ac:dyDescent="0.2">
      <c r="A3730" s="5">
        <v>3669</v>
      </c>
      <c r="B3730" s="138">
        <f>'ICR Computation 30'!E10</f>
        <v>415661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12317225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44144429</v>
      </c>
      <c r="C4122" s="2" t="s">
        <v>573</v>
      </c>
      <c r="D4122" s="2" t="str">
        <f t="shared" si="63"/>
        <v>Error?</v>
      </c>
    </row>
    <row r="4123" spans="1:4" x14ac:dyDescent="0.2">
      <c r="A4123" s="5">
        <v>4062</v>
      </c>
      <c r="B4123" s="138">
        <f>'Acct Summary 7-8'!D10</f>
        <v>3211842</v>
      </c>
      <c r="C4123" s="2" t="s">
        <v>573</v>
      </c>
      <c r="D4123" s="2" t="str">
        <f t="shared" si="63"/>
        <v>Error?</v>
      </c>
    </row>
    <row r="4124" spans="1:4" x14ac:dyDescent="0.2">
      <c r="A4124" s="5">
        <v>4063</v>
      </c>
      <c r="B4124" s="138">
        <f>'Acct Summary 7-8'!E10</f>
        <v>2625250</v>
      </c>
      <c r="C4124" s="2" t="s">
        <v>573</v>
      </c>
      <c r="D4124" s="2" t="str">
        <f t="shared" si="63"/>
        <v>Error?</v>
      </c>
    </row>
    <row r="4125" spans="1:4" x14ac:dyDescent="0.2">
      <c r="A4125" s="5">
        <v>4064</v>
      </c>
      <c r="B4125" s="138">
        <f>'Acct Summary 7-8'!F10</f>
        <v>2510906</v>
      </c>
      <c r="C4125" s="2" t="s">
        <v>573</v>
      </c>
      <c r="D4125" s="2" t="str">
        <f t="shared" si="63"/>
        <v>Error?</v>
      </c>
    </row>
    <row r="4126" spans="1:4" x14ac:dyDescent="0.2">
      <c r="A4126" s="5">
        <v>4065</v>
      </c>
      <c r="B4126" s="138">
        <f>'Acct Summary 7-8'!G10</f>
        <v>1105927</v>
      </c>
      <c r="C4126" s="2" t="s">
        <v>573</v>
      </c>
      <c r="D4126" s="2" t="str">
        <f t="shared" si="63"/>
        <v>Error?</v>
      </c>
    </row>
    <row r="4127" spans="1:4" x14ac:dyDescent="0.2">
      <c r="A4127" s="5">
        <v>4066</v>
      </c>
      <c r="B4127" s="138">
        <f>'Acct Summary 7-8'!H10</f>
        <v>186695</v>
      </c>
      <c r="C4127" s="2" t="s">
        <v>573</v>
      </c>
      <c r="D4127" s="2" t="str">
        <f t="shared" si="63"/>
        <v>Error?</v>
      </c>
    </row>
    <row r="4128" spans="1:4" x14ac:dyDescent="0.2">
      <c r="A4128" s="5">
        <v>4067</v>
      </c>
      <c r="B4128" s="138">
        <f>'Acct Summary 7-8'!I10</f>
        <v>291133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17448</v>
      </c>
      <c r="C4130" s="2" t="s">
        <v>573</v>
      </c>
      <c r="D4130" s="2" t="str">
        <f t="shared" si="63"/>
        <v>Error?</v>
      </c>
    </row>
    <row r="4131" spans="1:4" x14ac:dyDescent="0.2">
      <c r="A4131" s="5">
        <v>4070</v>
      </c>
      <c r="B4131" s="138">
        <f>'Acct Summary 7-8'!C18</f>
        <v>12317225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43769606</v>
      </c>
      <c r="C4136" s="2" t="s">
        <v>573</v>
      </c>
      <c r="D4136" s="2" t="str">
        <f t="shared" si="63"/>
        <v>Error?</v>
      </c>
    </row>
    <row r="4137" spans="1:4" x14ac:dyDescent="0.2">
      <c r="A4137" s="5">
        <v>4076</v>
      </c>
      <c r="B4137" s="138">
        <f>'Acct Summary 7-8'!D19</f>
        <v>3331364</v>
      </c>
      <c r="C4137" s="2" t="s">
        <v>573</v>
      </c>
      <c r="D4137" s="2" t="str">
        <f t="shared" si="63"/>
        <v>Error?</v>
      </c>
    </row>
    <row r="4138" spans="1:4" x14ac:dyDescent="0.2">
      <c r="A4138" s="5">
        <v>4077</v>
      </c>
      <c r="B4138" s="138">
        <f>'Acct Summary 7-8'!E19</f>
        <v>3984235</v>
      </c>
      <c r="C4138" s="2" t="s">
        <v>573</v>
      </c>
      <c r="D4138" s="2" t="str">
        <f t="shared" si="63"/>
        <v>Error?</v>
      </c>
    </row>
    <row r="4139" spans="1:4" x14ac:dyDescent="0.2">
      <c r="A4139" s="5">
        <v>4078</v>
      </c>
      <c r="B4139" s="138">
        <f>'Acct Summary 7-8'!F19</f>
        <v>1556616</v>
      </c>
      <c r="C4139" s="2" t="s">
        <v>573</v>
      </c>
      <c r="D4139" s="2" t="str">
        <f t="shared" si="63"/>
        <v>Error?</v>
      </c>
    </row>
    <row r="4140" spans="1:4" x14ac:dyDescent="0.2">
      <c r="A4140" s="5">
        <v>4079</v>
      </c>
      <c r="B4140" s="138">
        <f>'Acct Summary 7-8'!G19</f>
        <v>1101687</v>
      </c>
      <c r="C4140" s="2" t="s">
        <v>573</v>
      </c>
      <c r="D4140" s="2" t="str">
        <f t="shared" si="63"/>
        <v>Error?</v>
      </c>
    </row>
    <row r="4141" spans="1:4" x14ac:dyDescent="0.2">
      <c r="A4141" s="5">
        <v>4080</v>
      </c>
      <c r="B4141" s="138">
        <f>'Acct Summary 7-8'!H19</f>
        <v>15631356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24620000</v>
      </c>
      <c r="C4171" s="2" t="s">
        <v>573</v>
      </c>
      <c r="D4171" s="2" t="str">
        <f t="shared" si="64"/>
        <v>Error?</v>
      </c>
    </row>
    <row r="4172" spans="1:4" x14ac:dyDescent="0.2">
      <c r="A4172" s="5">
        <v>4111</v>
      </c>
      <c r="B4172" s="138">
        <f>'Short-Term Long-Term Debt 24'!J49</f>
        <v>22791555</v>
      </c>
      <c r="C4172" s="2" t="s">
        <v>573</v>
      </c>
      <c r="D4172" s="2" t="str">
        <f t="shared" si="64"/>
        <v>Error?</v>
      </c>
    </row>
    <row r="4173" spans="1:4" x14ac:dyDescent="0.2">
      <c r="A4173" s="5">
        <v>4112</v>
      </c>
      <c r="B4173" s="138">
        <f>'Short-Term Long-Term Debt 24'!H49</f>
        <v>3120000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-620000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1683</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4204.9000000000005</v>
      </c>
      <c r="C4265" s="2" t="s">
        <v>573</v>
      </c>
      <c r="D4265" s="2" t="str">
        <f t="shared" si="65"/>
        <v>Error?</v>
      </c>
      <c r="E4265" s="128"/>
    </row>
    <row r="4266" spans="1:5" x14ac:dyDescent="0.2">
      <c r="A4266" s="12">
        <v>4205</v>
      </c>
      <c r="B4266" s="138">
        <f>('FP Info 3'!F10)*100000</f>
        <v>504.9</v>
      </c>
      <c r="C4266" s="2" t="s">
        <v>573</v>
      </c>
      <c r="D4266" s="2" t="str">
        <f t="shared" si="65"/>
        <v>Error?</v>
      </c>
      <c r="E4266" s="128"/>
    </row>
    <row r="4267" spans="1:5" x14ac:dyDescent="0.2">
      <c r="A4267" s="12">
        <v>4206</v>
      </c>
      <c r="B4267" s="138">
        <f>('FP Info 3'!H10)*100000</f>
        <v>293.59999999999997</v>
      </c>
      <c r="C4267" s="2" t="s">
        <v>573</v>
      </c>
      <c r="D4267" s="2" t="str">
        <f t="shared" si="65"/>
        <v>Error?</v>
      </c>
      <c r="E4267" s="128"/>
    </row>
    <row r="4268" spans="1:5" x14ac:dyDescent="0.2">
      <c r="A4268" s="12">
        <v>4207</v>
      </c>
      <c r="B4268" s="138">
        <f>('FP Info 3'!J10)*100000</f>
        <v>5003</v>
      </c>
      <c r="C4268" s="2" t="s">
        <v>573</v>
      </c>
      <c r="D4268" s="2" t="str">
        <f t="shared" si="65"/>
        <v>Error?</v>
      </c>
    </row>
    <row r="4269" spans="1:5" x14ac:dyDescent="0.2">
      <c r="A4269" s="12">
        <v>4208</v>
      </c>
      <c r="B4269" s="138">
        <f>'FP Info 3'!J16</f>
        <v>30317362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14844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69217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243390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23960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22878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59474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638572244</v>
      </c>
      <c r="D4995" s="2" t="str">
        <f t="shared" si="77"/>
        <v>Error?</v>
      </c>
    </row>
    <row r="4996" spans="1:4" x14ac:dyDescent="0.2">
      <c r="A4996" s="12">
        <v>4935</v>
      </c>
      <c r="B4996" s="138">
        <f>'FP Info 3'!H31</f>
        <v>44061484.836000003</v>
      </c>
      <c r="D4996" s="2" t="str">
        <f t="shared" si="77"/>
        <v>Error?</v>
      </c>
    </row>
    <row r="4997" spans="1:4" x14ac:dyDescent="0.2">
      <c r="A4997" s="12">
        <v>4936</v>
      </c>
      <c r="B4997" s="138">
        <f>'FP Info 3'!H37</f>
        <v>24620000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4904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24978414</v>
      </c>
      <c r="D5061" s="2" t="str">
        <f t="shared" si="78"/>
        <v>Error?</v>
      </c>
    </row>
    <row r="5062" spans="1:4" x14ac:dyDescent="0.2">
      <c r="A5062" s="10">
        <v>5001</v>
      </c>
      <c r="D5062" s="2" t="str">
        <f t="shared" si="78"/>
        <v>OK</v>
      </c>
    </row>
    <row r="5063" spans="1:4" x14ac:dyDescent="0.2">
      <c r="A5063" s="5">
        <v>5002</v>
      </c>
      <c r="B5063" s="138">
        <f>'Revenues 9-14'!C7</f>
        <v>4790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24988108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236804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236804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5485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5593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11078</v>
      </c>
      <c r="C5087" s="2" t="s">
        <v>573</v>
      </c>
      <c r="D5087" s="2" t="str">
        <f t="shared" si="78"/>
        <v>Error?</v>
      </c>
    </row>
    <row r="5088" spans="1:4" x14ac:dyDescent="0.2">
      <c r="A5088" s="5">
        <v>5027</v>
      </c>
      <c r="B5088" s="138">
        <f>'Revenues 9-14'!C65</f>
        <v>916548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916548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204267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171425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171425</v>
      </c>
      <c r="C5112" s="2" t="s">
        <v>573</v>
      </c>
      <c r="D5112" s="2" t="str">
        <f t="shared" si="78"/>
        <v>Error?</v>
      </c>
    </row>
    <row r="5113" spans="1:4" x14ac:dyDescent="0.2">
      <c r="A5113" s="5">
        <v>5052</v>
      </c>
      <c r="B5113" s="138">
        <f>'Revenues 9-14'!C95</f>
        <v>100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86668</v>
      </c>
      <c r="D5119" s="2" t="str">
        <f t="shared" ref="D5119:D5182" si="79">IF(ISBLANK(B5119),"OK",IF(A5119-B5119=0,"OK","Error?"))</f>
        <v>Error?</v>
      </c>
    </row>
    <row r="5120" spans="1:4" x14ac:dyDescent="0.2">
      <c r="A5120" s="5">
        <v>5059</v>
      </c>
      <c r="B5120" s="138">
        <f>'Revenues 9-14'!C108</f>
        <v>87612</v>
      </c>
      <c r="C5120" s="2" t="s">
        <v>573</v>
      </c>
      <c r="D5120" s="2" t="str">
        <f t="shared" si="79"/>
        <v>Error?</v>
      </c>
    </row>
    <row r="5121" spans="1:4" x14ac:dyDescent="0.2">
      <c r="A5121" s="5">
        <v>5060</v>
      </c>
      <c r="B5121" s="138">
        <f>'Revenues 9-14'!C109</f>
        <v>26615842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2565598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2565598</v>
      </c>
      <c r="C5132" s="2" t="s">
        <v>573</v>
      </c>
      <c r="D5132" s="2" t="str">
        <f t="shared" si="79"/>
        <v>Error?</v>
      </c>
    </row>
    <row r="5133" spans="1:4" x14ac:dyDescent="0.2">
      <c r="A5133" s="5">
        <v>5072</v>
      </c>
      <c r="B5133" s="138">
        <f>'Revenues 9-14'!C125</f>
        <v>63825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63825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1683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5575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695070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766153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3331751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312711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102950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415661</v>
      </c>
      <c r="C5246" s="2" t="s">
        <v>573</v>
      </c>
      <c r="D5246" s="2" t="str">
        <f t="shared" si="80"/>
        <v>Error?</v>
      </c>
    </row>
    <row r="5247" spans="1:4" x14ac:dyDescent="0.2">
      <c r="A5247" s="5">
        <v>5186</v>
      </c>
      <c r="B5247" s="138">
        <f>'Revenues 9-14'!C200</f>
        <v>387239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23960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402083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77497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563104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640601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2347</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1879611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1879611</v>
      </c>
      <c r="C5326" s="2" t="s">
        <v>573</v>
      </c>
      <c r="D5326" s="2" t="str">
        <f t="shared" si="82"/>
        <v>Error?</v>
      </c>
    </row>
    <row r="5327" spans="1:5" x14ac:dyDescent="0.2">
      <c r="A5327" s="5">
        <v>5266</v>
      </c>
      <c r="B5327" s="138">
        <f>'Revenues 9-14'!C268</f>
        <v>31827204</v>
      </c>
      <c r="C5327" s="2" t="s">
        <v>573</v>
      </c>
      <c r="D5327" s="2" t="str">
        <f t="shared" si="82"/>
        <v>Error?</v>
      </c>
    </row>
    <row r="5328" spans="1:5" x14ac:dyDescent="0.2">
      <c r="A5328" s="5">
        <v>5267</v>
      </c>
      <c r="B5328" s="138">
        <f>'Revenues 9-14'!D5</f>
        <v>3070134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3070134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109750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109750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30503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1455</v>
      </c>
      <c r="D5354" s="2" t="str">
        <f t="shared" si="82"/>
        <v>Error?</v>
      </c>
    </row>
    <row r="5355" spans="1:4" x14ac:dyDescent="0.2">
      <c r="A5355" s="5">
        <v>5294</v>
      </c>
      <c r="B5355" s="138">
        <f>'Revenues 9-14'!D108</f>
        <v>31958</v>
      </c>
      <c r="C5355" s="2" t="s">
        <v>573</v>
      </c>
      <c r="D5355" s="2" t="str">
        <f t="shared" si="82"/>
        <v>Error?</v>
      </c>
    </row>
    <row r="5356" spans="1:4" x14ac:dyDescent="0.2">
      <c r="A5356" s="5">
        <v>5295</v>
      </c>
      <c r="B5356" s="138">
        <f>'Revenues 9-14'!D109</f>
        <v>3211842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3211842</v>
      </c>
      <c r="C5508" s="2" t="s">
        <v>573</v>
      </c>
      <c r="D5508" s="2" t="str">
        <f t="shared" si="85"/>
        <v>Error?</v>
      </c>
    </row>
    <row r="5509" spans="1:4" x14ac:dyDescent="0.2">
      <c r="A5509" s="5">
        <v>5448</v>
      </c>
      <c r="B5509" s="138">
        <f>'Revenues 9-14'!E5</f>
        <v>2522180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2522180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103070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103070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2625250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2625250</v>
      </c>
      <c r="C5552" s="2" t="s">
        <v>573</v>
      </c>
      <c r="D5552" s="2" t="str">
        <f t="shared" si="85"/>
        <v>Error?</v>
      </c>
    </row>
    <row r="5553" spans="1:4" x14ac:dyDescent="0.2">
      <c r="A5553" s="5">
        <v>5492</v>
      </c>
      <c r="B5553" s="138">
        <f>'Revenues 9-14'!F5</f>
        <v>1690662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1690662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21070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21070</v>
      </c>
      <c r="C5579" s="2" t="s">
        <v>573</v>
      </c>
      <c r="D5579" s="2" t="str">
        <f t="shared" si="86"/>
        <v>Error?</v>
      </c>
    </row>
    <row r="5580" spans="1:4" x14ac:dyDescent="0.2">
      <c r="A5580" s="5">
        <v>5519</v>
      </c>
      <c r="B5580" s="138">
        <f>'Revenues 9-14'!F65</f>
        <v>56187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56187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1767919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158337</v>
      </c>
      <c r="D5615" s="2" t="str">
        <f t="shared" si="86"/>
        <v>Error?</v>
      </c>
    </row>
    <row r="5616" spans="1:4" x14ac:dyDescent="0.2">
      <c r="A5616" s="10">
        <v>5555</v>
      </c>
      <c r="D5616" s="2" t="str">
        <f t="shared" si="86"/>
        <v>OK</v>
      </c>
    </row>
    <row r="5617" spans="1:5" x14ac:dyDescent="0.2">
      <c r="A5617" s="5">
        <v>5556</v>
      </c>
      <c r="B5617" s="138">
        <f>'Revenues 9-14'!F153</f>
        <v>584650</v>
      </c>
      <c r="D5617" s="2" t="str">
        <f t="shared" si="86"/>
        <v>Error?</v>
      </c>
    </row>
    <row r="5618" spans="1:5" x14ac:dyDescent="0.2">
      <c r="A5618" s="5">
        <v>5557</v>
      </c>
      <c r="B5618" s="138">
        <f>'Revenues 9-14'!F155</f>
        <v>742987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742987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742987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2510906</v>
      </c>
      <c r="C5720" s="2" t="s">
        <v>573</v>
      </c>
      <c r="D5720" s="2" t="str">
        <f t="shared" si="88"/>
        <v>Error?</v>
      </c>
    </row>
    <row r="5721" spans="1:4" x14ac:dyDescent="0.2">
      <c r="A5721" s="5">
        <v>5660</v>
      </c>
      <c r="B5721" s="138">
        <f>'Revenues 9-14'!G5</f>
        <v>473308</v>
      </c>
      <c r="D5721" s="2" t="str">
        <f t="shared" si="88"/>
        <v>Error?</v>
      </c>
    </row>
    <row r="5722" spans="1:4" x14ac:dyDescent="0.2">
      <c r="A5722" s="5">
        <v>5661</v>
      </c>
      <c r="B5722" s="138">
        <f>'Revenues 9-14'!G7</f>
        <v>0</v>
      </c>
      <c r="D5722" s="2" t="str">
        <f t="shared" si="88"/>
        <v>Error?</v>
      </c>
    </row>
    <row r="5723" spans="1:4" x14ac:dyDescent="0.2">
      <c r="A5723" s="5">
        <v>5662</v>
      </c>
      <c r="B5723" s="138">
        <f>'Revenues 9-14'!G8</f>
        <v>605611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1078919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27008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27008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1105927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186695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186695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186695</v>
      </c>
      <c r="C5915" s="2" t="s">
        <v>573</v>
      </c>
      <c r="D5915" s="2" t="str">
        <f t="shared" si="91"/>
        <v>Error?</v>
      </c>
    </row>
    <row r="5916" spans="1:4" x14ac:dyDescent="0.2">
      <c r="A5916" s="5">
        <v>5855</v>
      </c>
      <c r="B5916" s="138">
        <f>'Revenues 9-14'!I5</f>
        <v>279330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279330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11803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11803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291133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4904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12544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12544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17448</v>
      </c>
      <c r="C6023" s="2" t="s">
        <v>573</v>
      </c>
      <c r="D6023" s="2" t="str">
        <f t="shared" si="93"/>
        <v>Error?</v>
      </c>
    </row>
    <row r="6024" spans="1:5" x14ac:dyDescent="0.2">
      <c r="A6024" s="5">
        <v>5963</v>
      </c>
      <c r="B6024" s="138">
        <f>'Revenues 9-14'!G109</f>
        <v>1105927</v>
      </c>
      <c r="C6024" s="2" t="s">
        <v>573</v>
      </c>
      <c r="D6024" s="2" t="str">
        <f t="shared" si="93"/>
        <v>Error?</v>
      </c>
    </row>
    <row r="6025" spans="1:5" x14ac:dyDescent="0.2">
      <c r="A6025" s="5">
        <v>5964</v>
      </c>
      <c r="B6025" s="138">
        <f>'Revenues 9-14'!H109</f>
        <v>186695</v>
      </c>
      <c r="C6025" s="2" t="s">
        <v>573</v>
      </c>
      <c r="D6025" s="2" t="str">
        <f t="shared" si="93"/>
        <v>Error?</v>
      </c>
    </row>
    <row r="6026" spans="1:5" x14ac:dyDescent="0.2">
      <c r="A6026" s="5">
        <v>5965</v>
      </c>
      <c r="B6026" s="138">
        <f>'Revenues 9-14'!I109</f>
        <v>291133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17448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204267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45149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2302.9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621246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185255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146875</v>
      </c>
      <c r="D6099" s="2" t="str">
        <f t="shared" si="94"/>
        <v>Error?</v>
      </c>
      <c r="E6099" s="2" t="s">
        <v>190</v>
      </c>
    </row>
    <row r="6100" spans="1:5" x14ac:dyDescent="0.2">
      <c r="A6100">
        <v>6039</v>
      </c>
      <c r="B6100" s="138">
        <f>'Assets-Liab 5-6'!D9</f>
        <v>17587</v>
      </c>
      <c r="D6100" s="2" t="str">
        <f t="shared" si="94"/>
        <v>Error?</v>
      </c>
      <c r="E6100" s="2" t="s">
        <v>190</v>
      </c>
    </row>
    <row r="6101" spans="1:5" x14ac:dyDescent="0.2">
      <c r="A6101">
        <v>6040</v>
      </c>
      <c r="B6101" s="138">
        <f>'Assets-Liab 5-6'!E9</f>
        <v>16517</v>
      </c>
      <c r="D6101" s="2" t="str">
        <f t="shared" si="94"/>
        <v>Error?</v>
      </c>
      <c r="E6101" s="2" t="s">
        <v>190</v>
      </c>
    </row>
    <row r="6102" spans="1:5" x14ac:dyDescent="0.2">
      <c r="A6102">
        <v>6041</v>
      </c>
      <c r="B6102" s="138">
        <f>'Assets-Liab 5-6'!F9</f>
        <v>9004</v>
      </c>
      <c r="D6102" s="2" t="str">
        <f t="shared" si="94"/>
        <v>Error?</v>
      </c>
      <c r="E6102" s="2" t="s">
        <v>190</v>
      </c>
    </row>
    <row r="6103" spans="1:5" x14ac:dyDescent="0.2">
      <c r="A6103">
        <f>A6102+1</f>
        <v>6042</v>
      </c>
      <c r="B6103" s="138">
        <f>'Assets-Liab 5-6'!G9</f>
        <v>4328</v>
      </c>
      <c r="D6103" s="2" t="str">
        <f t="shared" si="94"/>
        <v>Error?</v>
      </c>
      <c r="E6103" s="2" t="s">
        <v>190</v>
      </c>
    </row>
    <row r="6104" spans="1:5" x14ac:dyDescent="0.2">
      <c r="A6104">
        <v>6043</v>
      </c>
      <c r="B6104" s="138">
        <f>'Assets-Liab 5-6'!H9</f>
        <v>29918</v>
      </c>
      <c r="D6104" s="2" t="str">
        <f t="shared" si="94"/>
        <v>Error?</v>
      </c>
      <c r="E6104" s="2" t="s">
        <v>190</v>
      </c>
    </row>
    <row r="6105" spans="1:5" x14ac:dyDescent="0.2">
      <c r="A6105">
        <v>6044</v>
      </c>
      <c r="B6105" s="138">
        <f>'Assets-Liab 5-6'!I9</f>
        <v>1891</v>
      </c>
      <c r="D6105" s="2" t="str">
        <f t="shared" si="94"/>
        <v>Error?</v>
      </c>
      <c r="E6105" s="2" t="s">
        <v>190</v>
      </c>
    </row>
    <row r="6106" spans="1:5" x14ac:dyDescent="0.2">
      <c r="A6106">
        <v>6045</v>
      </c>
      <c r="B6106" s="138">
        <f>'Assets-Liab 5-6'!J9</f>
        <v>3408</v>
      </c>
      <c r="D6106" s="2" t="str">
        <f t="shared" si="94"/>
        <v>Error?</v>
      </c>
      <c r="E6106" s="2" t="s">
        <v>190</v>
      </c>
    </row>
    <row r="6107" spans="1:5" x14ac:dyDescent="0.2">
      <c r="A6107">
        <v>6046</v>
      </c>
      <c r="B6107" s="138">
        <f>'Assets-Liab 5-6'!K9</f>
        <v>2010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52349</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772597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266828</v>
      </c>
      <c r="D6142" s="2" t="str">
        <f t="shared" si="94"/>
        <v>Error?</v>
      </c>
      <c r="E6142" s="2" t="s">
        <v>190</v>
      </c>
    </row>
    <row r="6143" spans="1:5" x14ac:dyDescent="0.2">
      <c r="A6143">
        <v>6082</v>
      </c>
      <c r="B6143" s="138">
        <f>'Assets-Liab 5-6'!D27</f>
        <v>249392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17921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1972252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102408</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102408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670189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772597</v>
      </c>
      <c r="D6216" s="2" t="str">
        <f t="shared" si="96"/>
        <v>Error?</v>
      </c>
      <c r="E6216" s="2" t="s">
        <v>190</v>
      </c>
    </row>
    <row r="6217" spans="1:5" x14ac:dyDescent="0.2">
      <c r="A6217">
        <v>6156</v>
      </c>
      <c r="B6217" s="138">
        <f>'Assets-Liab 5-6'!J4</f>
        <v>617139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99701</v>
      </c>
      <c r="D6219" s="2" t="str">
        <f t="shared" si="96"/>
        <v>Error?</v>
      </c>
      <c r="E6219" s="2" t="s">
        <v>190</v>
      </c>
    </row>
    <row r="6220" spans="1:5" x14ac:dyDescent="0.2">
      <c r="A6220">
        <v>6159</v>
      </c>
      <c r="B6220" s="138">
        <f>'Acct Summary 7-8'!J4</f>
        <v>270470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270470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270470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199211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199211</v>
      </c>
      <c r="D6229" s="2" t="str">
        <f t="shared" si="96"/>
        <v>Error?</v>
      </c>
      <c r="E6229" s="2" t="s">
        <v>190</v>
      </c>
    </row>
    <row r="6230" spans="1:5" x14ac:dyDescent="0.2">
      <c r="A6230">
        <v>6169</v>
      </c>
      <c r="B6230" s="138">
        <f>'Acct Summary 7-8'!J20</f>
        <v>71259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71259</v>
      </c>
      <c r="D6263" s="2" t="str">
        <f t="shared" si="96"/>
        <v>Error?</v>
      </c>
      <c r="E6263" s="2" t="s">
        <v>190</v>
      </c>
    </row>
    <row r="6264" spans="1:5" x14ac:dyDescent="0.2">
      <c r="A6264">
        <v>6203</v>
      </c>
      <c r="B6264" s="138">
        <f>'Acct Summary 7-8'!J79</f>
        <v>598930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670189</v>
      </c>
      <c r="D6266" s="2" t="str">
        <f t="shared" si="96"/>
        <v>Error?</v>
      </c>
      <c r="E6266" s="2" t="s">
        <v>190</v>
      </c>
    </row>
    <row r="6267" spans="1:5" x14ac:dyDescent="0.2">
      <c r="A6267">
        <v>6206</v>
      </c>
      <c r="B6267" s="138">
        <f>'Acct Summary 7-8'!C82</f>
        <v>374823</v>
      </c>
      <c r="D6267" s="2" t="str">
        <f t="shared" si="96"/>
        <v>Error?</v>
      </c>
      <c r="E6267" s="2" t="s">
        <v>190</v>
      </c>
    </row>
    <row r="6268" spans="1:5" x14ac:dyDescent="0.2">
      <c r="A6268">
        <v>6207</v>
      </c>
      <c r="B6268" s="138">
        <f>'Acct Summary 7-8'!D82</f>
        <v>-119522</v>
      </c>
      <c r="D6268" s="2" t="str">
        <f t="shared" si="96"/>
        <v>Error?</v>
      </c>
      <c r="E6268" s="2" t="s">
        <v>190</v>
      </c>
    </row>
    <row r="6269" spans="1:5" x14ac:dyDescent="0.2">
      <c r="A6269">
        <v>6208</v>
      </c>
      <c r="B6269" s="138">
        <f>'Acct Summary 7-8'!E82</f>
        <v>-1358985</v>
      </c>
      <c r="D6269" s="2" t="str">
        <f t="shared" si="96"/>
        <v>Error?</v>
      </c>
      <c r="E6269" s="2" t="s">
        <v>190</v>
      </c>
    </row>
    <row r="6270" spans="1:5" x14ac:dyDescent="0.2">
      <c r="A6270">
        <v>6209</v>
      </c>
      <c r="B6270" s="138">
        <f>'Acct Summary 7-8'!F82</f>
        <v>954290</v>
      </c>
      <c r="D6270" s="2" t="str">
        <f t="shared" si="96"/>
        <v>Error?</v>
      </c>
      <c r="E6270" s="2" t="s">
        <v>190</v>
      </c>
    </row>
    <row r="6271" spans="1:5" x14ac:dyDescent="0.2">
      <c r="A6271">
        <v>6210</v>
      </c>
      <c r="B6271" s="138">
        <f>'Acct Summary 7-8'!G82</f>
        <v>4240</v>
      </c>
      <c r="D6271" s="2" t="str">
        <f t="shared" ref="D6271:D6334" si="97">IF(ISBLANK(B6271),"OK",IF(A6271-B6271=0,"OK","Error?"))</f>
        <v>Error?</v>
      </c>
      <c r="E6271" s="2" t="s">
        <v>190</v>
      </c>
    </row>
    <row r="6272" spans="1:5" x14ac:dyDescent="0.2">
      <c r="A6272">
        <v>6211</v>
      </c>
      <c r="B6272" s="138">
        <f>'Acct Summary 7-8'!H82</f>
        <v>-1444661</v>
      </c>
      <c r="D6272" s="2" t="str">
        <f t="shared" si="97"/>
        <v>Error?</v>
      </c>
      <c r="E6272" s="2" t="s">
        <v>190</v>
      </c>
    </row>
    <row r="6273" spans="1:5" x14ac:dyDescent="0.2">
      <c r="A6273">
        <v>6212</v>
      </c>
      <c r="B6273" s="138">
        <f>'Acct Summary 7-8'!I82</f>
        <v>291133</v>
      </c>
      <c r="D6273" s="2" t="str">
        <f t="shared" si="97"/>
        <v>Error?</v>
      </c>
      <c r="E6273" s="2" t="s">
        <v>190</v>
      </c>
    </row>
    <row r="6274" spans="1:5" x14ac:dyDescent="0.2">
      <c r="A6274">
        <v>6213</v>
      </c>
      <c r="B6274" s="138">
        <f>'Acct Summary 7-8'!J82</f>
        <v>71259</v>
      </c>
      <c r="D6274" s="2" t="str">
        <f t="shared" si="97"/>
        <v>Error?</v>
      </c>
      <c r="E6274" s="2" t="s">
        <v>190</v>
      </c>
    </row>
    <row r="6275" spans="1:5" x14ac:dyDescent="0.2">
      <c r="A6275">
        <v>6214</v>
      </c>
      <c r="B6275" s="138">
        <f>'Acct Summary 7-8'!K82</f>
        <v>17448</v>
      </c>
      <c r="D6275" s="2" t="str">
        <f t="shared" si="97"/>
        <v>Error?</v>
      </c>
      <c r="E6275" s="2" t="s">
        <v>190</v>
      </c>
    </row>
    <row r="6276" spans="1:5" x14ac:dyDescent="0.2">
      <c r="A6276">
        <v>6215</v>
      </c>
      <c r="B6276" s="138">
        <f>'Acct Summary 7-8'!C83</f>
        <v>1.5138791337814646E-2</v>
      </c>
      <c r="D6276" s="2" t="str">
        <f t="shared" si="97"/>
        <v>Error?</v>
      </c>
      <c r="E6276" s="2" t="s">
        <v>190</v>
      </c>
    </row>
    <row r="6277" spans="1:5" x14ac:dyDescent="0.2">
      <c r="A6277">
        <v>6216</v>
      </c>
      <c r="B6277" s="138">
        <f>'Acct Summary 7-8'!D83</f>
        <v>-4.2549495178196173E-2</v>
      </c>
      <c r="D6277" s="2" t="str">
        <f t="shared" si="97"/>
        <v>Error?</v>
      </c>
      <c r="E6277" s="2" t="s">
        <v>190</v>
      </c>
    </row>
    <row r="6278" spans="1:5" x14ac:dyDescent="0.2">
      <c r="A6278">
        <v>6217</v>
      </c>
      <c r="B6278" s="138">
        <f>'Acct Summary 7-8'!E83</f>
        <v>-0.74324631038942923</v>
      </c>
      <c r="D6278" s="2" t="str">
        <f t="shared" si="97"/>
        <v>Error?</v>
      </c>
      <c r="E6278" s="2" t="s">
        <v>190</v>
      </c>
    </row>
    <row r="6279" spans="1:5" x14ac:dyDescent="0.2">
      <c r="A6279">
        <v>6218</v>
      </c>
      <c r="B6279" s="138">
        <f>'Acct Summary 7-8'!F83</f>
        <v>0.43589754130746883</v>
      </c>
      <c r="D6279" s="2" t="str">
        <f t="shared" si="97"/>
        <v>Error?</v>
      </c>
      <c r="E6279" s="2" t="s">
        <v>190</v>
      </c>
    </row>
    <row r="6280" spans="1:5" x14ac:dyDescent="0.2">
      <c r="A6280">
        <v>6219</v>
      </c>
      <c r="B6280" s="138">
        <f>'Acct Summary 7-8'!G83</f>
        <v>5.8765970068162983E-3</v>
      </c>
      <c r="D6280" s="2" t="str">
        <f t="shared" si="97"/>
        <v>Error?</v>
      </c>
      <c r="E6280" s="2" t="s">
        <v>190</v>
      </c>
    </row>
    <row r="6281" spans="1:5" x14ac:dyDescent="0.2">
      <c r="A6281">
        <v>6220</v>
      </c>
      <c r="B6281" s="138">
        <f>'Acct Summary 7-8'!H83</f>
        <v>-0.42398224785038985</v>
      </c>
      <c r="D6281" s="2" t="str">
        <f t="shared" si="97"/>
        <v>Error?</v>
      </c>
      <c r="E6281" s="2" t="s">
        <v>190</v>
      </c>
    </row>
    <row r="6282" spans="1:5" x14ac:dyDescent="0.2">
      <c r="A6282">
        <v>6221</v>
      </c>
      <c r="B6282" s="138">
        <f>'Acct Summary 7-8'!I83</f>
        <v>0.51989149767495013</v>
      </c>
      <c r="D6282" s="2" t="str">
        <f t="shared" si="97"/>
        <v>Error?</v>
      </c>
      <c r="E6282" s="2" t="s">
        <v>190</v>
      </c>
    </row>
    <row r="6283" spans="1:5" x14ac:dyDescent="0.2">
      <c r="A6283">
        <v>6222</v>
      </c>
      <c r="B6283" s="138">
        <f>'Acct Summary 7-8'!J83</f>
        <v>0.10632672276029598</v>
      </c>
      <c r="D6283" s="2" t="str">
        <f t="shared" si="97"/>
        <v>Error?</v>
      </c>
      <c r="E6283" s="2" t="s">
        <v>190</v>
      </c>
    </row>
    <row r="6284" spans="1:5" x14ac:dyDescent="0.2">
      <c r="A6284">
        <v>6223</v>
      </c>
      <c r="B6284" s="138">
        <f>'Acct Summary 7-8'!K83</f>
        <v>4.9121068456436302E-2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14000000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249202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249202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21268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21268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844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270470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502826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262910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367880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2748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575472</v>
      </c>
      <c r="D6880" s="2" t="str">
        <f t="shared" si="106"/>
        <v>Error?</v>
      </c>
    </row>
    <row r="6881" spans="1:4" x14ac:dyDescent="0.2">
      <c r="A6881">
        <v>6820</v>
      </c>
      <c r="B6881" s="138">
        <f>'Expenditures 15-22'!K22</f>
        <v>575472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505574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18168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18168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27293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27293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45461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551035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271249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271249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271249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199211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271249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270470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32893</v>
      </c>
      <c r="D7075" s="2" t="str">
        <f t="shared" si="109"/>
        <v>Error?</v>
      </c>
    </row>
    <row r="7076" spans="1:4" x14ac:dyDescent="0.2">
      <c r="A7076">
        <v>7015</v>
      </c>
      <c r="B7076" s="138">
        <f>'Expenditures 15-22'!K218</f>
        <v>32893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58676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58676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2033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2033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118147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118147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20355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20355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199211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199211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199211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199211</v>
      </c>
      <c r="D7224" s="2" t="str">
        <f t="shared" si="111"/>
        <v>Error?</v>
      </c>
    </row>
    <row r="7225" spans="1:4" x14ac:dyDescent="0.2">
      <c r="A7225">
        <v>7164</v>
      </c>
      <c r="B7225" s="138">
        <f>'Expenditures 15-22'!K343</f>
        <v>71259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217545</v>
      </c>
      <c r="D7251" s="2" t="str">
        <f t="shared" si="112"/>
        <v>Error?</v>
      </c>
    </row>
    <row r="7252" spans="1:4" x14ac:dyDescent="0.2">
      <c r="A7252">
        <f t="shared" si="113"/>
        <v>7191</v>
      </c>
      <c r="B7252" s="138">
        <f>'Expenditures 15-22'!D9</f>
        <v>45365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310344</v>
      </c>
      <c r="D7257" s="2" t="str">
        <f t="shared" si="112"/>
        <v>Error?</v>
      </c>
    </row>
    <row r="7258" spans="1:4" x14ac:dyDescent="0.2">
      <c r="A7258">
        <f t="shared" si="113"/>
        <v>7197</v>
      </c>
      <c r="B7258" s="138">
        <f>'Expenditures 15-22'!D11</f>
        <v>40675</v>
      </c>
      <c r="D7258" s="2" t="str">
        <f t="shared" si="112"/>
        <v>Error?</v>
      </c>
    </row>
    <row r="7259" spans="1:4" x14ac:dyDescent="0.2">
      <c r="A7259">
        <f t="shared" si="113"/>
        <v>7198</v>
      </c>
      <c r="B7259" s="138">
        <f>'Expenditures 15-22'!E11</f>
        <v>6743</v>
      </c>
      <c r="D7259" s="2" t="str">
        <f t="shared" si="112"/>
        <v>Error?</v>
      </c>
    </row>
    <row r="7260" spans="1:4" x14ac:dyDescent="0.2">
      <c r="A7260">
        <f t="shared" si="113"/>
        <v>7199</v>
      </c>
      <c r="B7260" s="138">
        <f>'Expenditures 15-22'!F11</f>
        <v>10118</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822284</v>
      </c>
      <c r="D7624" s="2" t="str">
        <f t="shared" si="124"/>
        <v>Error?</v>
      </c>
      <c r="E7624" s="2" t="s">
        <v>19</v>
      </c>
    </row>
    <row r="7625" spans="1:5" x14ac:dyDescent="0.2">
      <c r="A7625">
        <f t="shared" si="123"/>
        <v>7564</v>
      </c>
      <c r="B7625" s="138">
        <f>'Cap Outlay Deprec 26'!I17</f>
        <v>82228.399999999994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1640133.4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4790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14000000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201084</v>
      </c>
      <c r="D7758" s="2" t="str">
        <f t="shared" si="127"/>
        <v>Error?</v>
      </c>
      <c r="E7758" s="4" t="s">
        <v>1333</v>
      </c>
    </row>
    <row r="7759" spans="1:6" x14ac:dyDescent="0.2">
      <c r="A7759">
        <v>7698</v>
      </c>
      <c r="B7759" s="138">
        <f>'Aud Quest 2'!J88</f>
        <v>806812</v>
      </c>
      <c r="D7759" s="2" t="str">
        <f t="shared" si="127"/>
        <v>Error?</v>
      </c>
      <c r="E7759" s="4" t="s">
        <v>1333</v>
      </c>
    </row>
    <row r="7760" spans="1:6" x14ac:dyDescent="0.2">
      <c r="A7760">
        <v>7699</v>
      </c>
      <c r="B7760" s="138">
        <f>'Aud Quest 2'!J90</f>
        <v>1007896</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2798919.2</v>
      </c>
      <c r="D7797" s="2" t="str">
        <f t="shared" si="127"/>
        <v>Error?</v>
      </c>
      <c r="E7797" s="4" t="s">
        <v>1901</v>
      </c>
    </row>
    <row r="7798" spans="1:5" x14ac:dyDescent="0.2">
      <c r="A7798">
        <v>7737</v>
      </c>
      <c r="B7798" s="138">
        <f>'Contracts Paid in CY 29'!F141</f>
        <v>325000</v>
      </c>
      <c r="D7798" s="2" t="str">
        <f t="shared" si="127"/>
        <v>Error?</v>
      </c>
      <c r="E7798" s="4" t="s">
        <v>1901</v>
      </c>
    </row>
    <row r="7799" spans="1:5" x14ac:dyDescent="0.2">
      <c r="A7799">
        <v>7738</v>
      </c>
      <c r="B7799" s="138">
        <f>'Contracts Paid in CY 29'!G141</f>
        <v>2473919.2000000002</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7" t="s">
        <v>1191</v>
      </c>
      <c r="B2" s="2417"/>
      <c r="C2" s="2417"/>
      <c r="D2" s="2417"/>
      <c r="E2" s="2417"/>
      <c r="F2" s="2417"/>
      <c r="G2" s="2417"/>
      <c r="H2" s="2417"/>
      <c r="I2" s="2417"/>
      <c r="J2" s="2417"/>
      <c r="K2" s="2417"/>
      <c r="L2" s="2417"/>
    </row>
    <row r="3" spans="1:29" ht="13.5" customHeight="1" x14ac:dyDescent="0.2">
      <c r="A3" s="2403" t="s">
        <v>1190</v>
      </c>
      <c r="B3" s="2403"/>
      <c r="C3" s="2403"/>
      <c r="D3" s="2403"/>
      <c r="E3" s="2403"/>
      <c r="F3" s="2403"/>
      <c r="G3" s="2403"/>
      <c r="H3" s="2403"/>
      <c r="I3" s="2403"/>
      <c r="J3" s="2403"/>
      <c r="K3" s="2403"/>
      <c r="L3" s="2403"/>
    </row>
    <row r="4" spans="1:29" ht="13.5" customHeight="1" x14ac:dyDescent="0.2">
      <c r="A4" s="2417" t="s">
        <v>1986</v>
      </c>
      <c r="B4" s="2434"/>
      <c r="C4" s="2434"/>
      <c r="D4" s="2434"/>
      <c r="E4" s="2434"/>
      <c r="F4" s="2434"/>
      <c r="G4" s="2434"/>
      <c r="H4" s="2434"/>
      <c r="I4" s="2434"/>
      <c r="J4" s="2434"/>
      <c r="K4" s="2434"/>
      <c r="L4" s="243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7" t="str">
        <f>COVER!A17</f>
        <v>CCSD 146</v>
      </c>
      <c r="B7" s="2398"/>
      <c r="C7" s="2398"/>
      <c r="D7" s="2435"/>
      <c r="E7" s="2436">
        <f>COVER!A13</f>
        <v>7016146004</v>
      </c>
      <c r="F7" s="2437"/>
      <c r="G7" s="2404" t="str">
        <f>COVER!T23</f>
        <v>066-003328</v>
      </c>
      <c r="H7" s="2405"/>
      <c r="I7" s="2405"/>
      <c r="J7" s="2405"/>
      <c r="K7" s="2405"/>
      <c r="L7" s="240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7"/>
      <c r="B9" s="2408"/>
      <c r="C9" s="2408"/>
      <c r="D9" s="2408"/>
      <c r="E9" s="2408"/>
      <c r="F9" s="2409"/>
      <c r="G9" s="2410" t="str">
        <f>COVER!T13</f>
        <v>Mueller &amp; Co., LLP</v>
      </c>
      <c r="H9" s="2411"/>
      <c r="I9" s="2411"/>
      <c r="J9" s="2411"/>
      <c r="K9" s="2411"/>
      <c r="L9" s="2412"/>
    </row>
    <row r="10" spans="1:29" ht="13.5" customHeight="1" x14ac:dyDescent="0.2">
      <c r="A10" s="2394" t="str">
        <f>COVER!A38</f>
        <v>DR. JEFF STAWICK</v>
      </c>
      <c r="B10" s="2395"/>
      <c r="C10" s="2395"/>
      <c r="D10" s="2395"/>
      <c r="E10" s="2395"/>
      <c r="F10" s="2396"/>
      <c r="G10" s="2410" t="str">
        <f>COVER!T17</f>
        <v>14300 RAVINIA AVE.</v>
      </c>
      <c r="H10" s="2423"/>
      <c r="I10" s="2423"/>
      <c r="J10" s="2423"/>
      <c r="K10" s="2423"/>
      <c r="L10" s="2424"/>
    </row>
    <row r="11" spans="1:29" ht="13.5" customHeight="1" x14ac:dyDescent="0.2">
      <c r="A11" s="1184" t="s">
        <v>1519</v>
      </c>
      <c r="B11" s="1185"/>
      <c r="C11" s="1186"/>
      <c r="D11" s="1191"/>
      <c r="E11" s="1186"/>
      <c r="F11" s="1190"/>
      <c r="G11" s="2410" t="str">
        <f>COVER!T19</f>
        <v>ORLAND PARK</v>
      </c>
      <c r="H11" s="2423"/>
      <c r="I11" s="2423"/>
      <c r="J11" s="2423"/>
      <c r="K11" s="2423"/>
      <c r="L11" s="2424"/>
    </row>
    <row r="12" spans="1:29" ht="13.5" customHeight="1" x14ac:dyDescent="0.2">
      <c r="A12" s="2428" t="s">
        <v>1518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1520</v>
      </c>
      <c r="H13" s="2419"/>
      <c r="I13" s="2431" t="str">
        <f>COVER!T25</f>
        <v>Ed McCormick &lt;emccormick@muellercpa.com&gt;</v>
      </c>
      <c r="J13" s="2432"/>
      <c r="K13" s="2432"/>
      <c r="L13" s="2433"/>
    </row>
    <row r="14" spans="1:29" ht="13.5" customHeight="1" x14ac:dyDescent="0.2">
      <c r="A14" s="2410" t="str">
        <f>COVER!A19</f>
        <v>6611 W. 171ST STREET</v>
      </c>
      <c r="B14" s="2423"/>
      <c r="C14" s="2423"/>
      <c r="D14" s="2423"/>
      <c r="E14" s="2423"/>
      <c r="F14" s="2424"/>
      <c r="G14" s="1195" t="s">
        <v>1185</v>
      </c>
      <c r="H14" s="1193"/>
      <c r="I14" s="1193"/>
      <c r="J14" s="1193"/>
      <c r="K14" s="1193"/>
      <c r="L14" s="1194"/>
    </row>
    <row r="15" spans="1:29" ht="13.5" customHeight="1" x14ac:dyDescent="0.2">
      <c r="A15" s="2410" t="str">
        <f>COVER!A21</f>
        <v>TINLEY PARK</v>
      </c>
      <c r="B15" s="2423"/>
      <c r="C15" s="2423"/>
      <c r="D15" s="2423"/>
      <c r="E15" s="2423"/>
      <c r="F15" s="2424"/>
      <c r="G15" s="2420" t="str">
        <f>COVER!T15</f>
        <v xml:space="preserve">ED MCCORMICK </v>
      </c>
      <c r="H15" s="2421"/>
      <c r="I15" s="2421"/>
      <c r="J15" s="2421"/>
      <c r="K15" s="2421"/>
      <c r="L15" s="2422"/>
    </row>
    <row r="16" spans="1:29" ht="12.2" customHeight="1" x14ac:dyDescent="0.2">
      <c r="A16" s="2400">
        <f>COVER!A25</f>
        <v>60477</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5" t="s">
        <v>1184</v>
      </c>
      <c r="H17" s="1193"/>
      <c r="I17" s="1193"/>
      <c r="J17" s="1193"/>
      <c r="K17" s="1197" t="s">
        <v>1183</v>
      </c>
      <c r="L17" s="1190"/>
      <c r="M17" s="1183"/>
    </row>
    <row r="18" spans="1:13" ht="12.2" customHeight="1" x14ac:dyDescent="0.2">
      <c r="A18" s="2394"/>
      <c r="B18" s="2395"/>
      <c r="C18" s="2395"/>
      <c r="D18" s="2395"/>
      <c r="E18" s="2395"/>
      <c r="F18" s="2396"/>
      <c r="G18" s="2397" t="str">
        <f>COVER!T21</f>
        <v>708-349-6999</v>
      </c>
      <c r="H18" s="2398"/>
      <c r="I18" s="2398"/>
      <c r="J18" s="2398"/>
      <c r="K18" s="2397" t="str">
        <f>COVER!X21</f>
        <v>708-349-6639</v>
      </c>
      <c r="L18" s="239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CCSD 146</v>
      </c>
      <c r="B1" s="2434"/>
      <c r="C1" s="2434"/>
      <c r="D1" s="2434"/>
    </row>
    <row r="2" spans="1:11" s="1212" customFormat="1" ht="12.75" x14ac:dyDescent="0.2">
      <c r="A2" s="2439">
        <f>'Single Audit Cover'!E7</f>
        <v>7016146004</v>
      </c>
      <c r="B2" s="2440"/>
      <c r="C2" s="2440"/>
      <c r="D2" s="2440"/>
    </row>
    <row r="3" spans="1:11" s="1212" customFormat="1" ht="12.75" x14ac:dyDescent="0.2">
      <c r="A3" s="2438" t="s">
        <v>1513</v>
      </c>
      <c r="B3" s="2434"/>
      <c r="C3" s="2434"/>
      <c r="D3" s="243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2061</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2061</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2061</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2061</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2061</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2061</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2061</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2061</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2163</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2163</v>
      </c>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2061</v>
      </c>
      <c r="C48" s="1223">
        <f>C44+1</f>
        <v>13</v>
      </c>
      <c r="D48" s="1234" t="s">
        <v>1575</v>
      </c>
    </row>
    <row r="49" spans="1:4" ht="3" customHeight="1" x14ac:dyDescent="0.2">
      <c r="A49" s="1219"/>
      <c r="B49" s="1226"/>
      <c r="C49" s="1223"/>
      <c r="D49" s="1234"/>
    </row>
    <row r="50" spans="1:4" x14ac:dyDescent="0.2">
      <c r="A50" s="1219"/>
      <c r="B50" s="1222" t="s">
        <v>2061</v>
      </c>
      <c r="C50" s="1223">
        <f>C48+1</f>
        <v>14</v>
      </c>
      <c r="D50" s="1234" t="s">
        <v>1212</v>
      </c>
    </row>
    <row r="51" spans="1:4" ht="3" customHeight="1" x14ac:dyDescent="0.2">
      <c r="A51" s="1219"/>
      <c r="B51" s="1226"/>
      <c r="C51" s="1223"/>
      <c r="D51" s="1234"/>
    </row>
    <row r="52" spans="1:4" x14ac:dyDescent="0.2">
      <c r="A52" s="1219"/>
      <c r="B52" s="1222" t="s">
        <v>2061</v>
      </c>
      <c r="C52" s="1223">
        <f>C50+1</f>
        <v>15</v>
      </c>
      <c r="D52" s="1234" t="s">
        <v>1211</v>
      </c>
    </row>
    <row r="53" spans="1:4" ht="3" customHeight="1" x14ac:dyDescent="0.2">
      <c r="A53" s="1219"/>
      <c r="B53" s="1226"/>
      <c r="C53" s="1223"/>
      <c r="D53" s="1234"/>
    </row>
    <row r="54" spans="1:4" x14ac:dyDescent="0.2">
      <c r="A54" s="1219"/>
      <c r="B54" s="1222" t="s">
        <v>2163</v>
      </c>
      <c r="C54" s="1223">
        <f>C52+1</f>
        <v>16</v>
      </c>
      <c r="D54" s="1234" t="s">
        <v>1210</v>
      </c>
    </row>
    <row r="55" spans="1:4" ht="3" customHeight="1" x14ac:dyDescent="0.2">
      <c r="A55" s="1219"/>
      <c r="B55" s="1226"/>
      <c r="C55" s="1223"/>
      <c r="D55" s="1234"/>
    </row>
    <row r="56" spans="1:4" x14ac:dyDescent="0.2">
      <c r="A56" s="1219"/>
      <c r="B56" s="1222" t="s">
        <v>2061</v>
      </c>
      <c r="C56" s="1223">
        <f>C54+1</f>
        <v>17</v>
      </c>
      <c r="D56" s="1218" t="s">
        <v>1708</v>
      </c>
    </row>
    <row r="57" spans="1:4" ht="10.5" customHeight="1" x14ac:dyDescent="0.2">
      <c r="A57" s="1219"/>
      <c r="D57" s="1234" t="s">
        <v>1709</v>
      </c>
    </row>
    <row r="58" spans="1:4" x14ac:dyDescent="0.2">
      <c r="A58" s="1219"/>
      <c r="C58" s="1241" t="s">
        <v>2061</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2061</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2061</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2163</v>
      </c>
      <c r="D69" s="1234" t="s">
        <v>1713</v>
      </c>
    </row>
    <row r="70" spans="1:4" x14ac:dyDescent="0.2">
      <c r="A70" s="1219"/>
      <c r="D70" s="1243" t="s">
        <v>1206</v>
      </c>
    </row>
    <row r="71" spans="1:4" ht="3" customHeight="1" x14ac:dyDescent="0.2">
      <c r="A71" s="1219"/>
      <c r="D71" s="1218"/>
    </row>
    <row r="72" spans="1:4" x14ac:dyDescent="0.2">
      <c r="A72" s="1219"/>
      <c r="B72" s="1222" t="s">
        <v>2061</v>
      </c>
      <c r="C72" s="1223">
        <f>C56+1</f>
        <v>18</v>
      </c>
      <c r="D72" s="1244" t="s">
        <v>1714</v>
      </c>
    </row>
    <row r="73" spans="1:4" ht="3" customHeight="1" x14ac:dyDescent="0.2">
      <c r="A73" s="1219"/>
      <c r="B73" s="1226"/>
      <c r="C73" s="1223"/>
      <c r="D73" s="1244"/>
    </row>
    <row r="74" spans="1:4" x14ac:dyDescent="0.2">
      <c r="A74" s="1219"/>
      <c r="B74" s="1222" t="s">
        <v>2061</v>
      </c>
      <c r="C74" s="1223">
        <f>C72+1</f>
        <v>19</v>
      </c>
      <c r="D74" s="1234" t="s">
        <v>1205</v>
      </c>
    </row>
    <row r="75" spans="1:4" ht="3" customHeight="1" x14ac:dyDescent="0.2">
      <c r="A75" s="1219"/>
      <c r="B75" s="1226"/>
      <c r="C75" s="1223"/>
      <c r="D75" s="1234"/>
    </row>
    <row r="76" spans="1:4" x14ac:dyDescent="0.2">
      <c r="A76" s="1219"/>
      <c r="B76" s="1222" t="s">
        <v>2061</v>
      </c>
      <c r="C76" s="1223">
        <f>C74+1</f>
        <v>20</v>
      </c>
      <c r="D76" s="1245" t="s">
        <v>1715</v>
      </c>
    </row>
    <row r="77" spans="1:4" ht="3" customHeight="1" x14ac:dyDescent="0.2">
      <c r="A77" s="1219"/>
      <c r="B77" s="1226"/>
      <c r="C77" s="1223"/>
      <c r="D77" s="1245"/>
    </row>
    <row r="78" spans="1:4" x14ac:dyDescent="0.2">
      <c r="A78" s="1219"/>
      <c r="B78" s="1222" t="s">
        <v>2061</v>
      </c>
      <c r="C78" s="1223">
        <f>C76+1</f>
        <v>21</v>
      </c>
      <c r="D78" s="1218" t="s">
        <v>1716</v>
      </c>
    </row>
    <row r="79" spans="1:4" ht="3" customHeight="1" x14ac:dyDescent="0.2">
      <c r="A79" s="1219"/>
      <c r="B79" s="1226"/>
      <c r="C79" s="1223"/>
      <c r="D79" s="1218"/>
    </row>
    <row r="80" spans="1:4" x14ac:dyDescent="0.2">
      <c r="A80" s="1219"/>
      <c r="B80" s="1222" t="s">
        <v>2061</v>
      </c>
      <c r="C80" s="1223">
        <f>C78+1</f>
        <v>22</v>
      </c>
      <c r="D80" s="1246" t="s">
        <v>1717</v>
      </c>
    </row>
    <row r="81" spans="1:4" ht="3" customHeight="1" x14ac:dyDescent="0.2">
      <c r="A81" s="1219"/>
      <c r="B81" s="1226"/>
      <c r="C81" s="1223"/>
      <c r="D81" s="1246"/>
    </row>
    <row r="82" spans="1:4" x14ac:dyDescent="0.2">
      <c r="A82" s="1219"/>
      <c r="B82" s="1222" t="s">
        <v>2061</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2061</v>
      </c>
      <c r="C85" s="1223">
        <f>C82+1</f>
        <v>24</v>
      </c>
      <c r="D85" s="1234" t="s">
        <v>1203</v>
      </c>
    </row>
    <row r="86" spans="1:4" ht="3" customHeight="1" x14ac:dyDescent="0.2">
      <c r="A86" s="1219"/>
      <c r="B86" s="1226"/>
      <c r="C86" s="1223"/>
      <c r="D86" s="1234"/>
    </row>
    <row r="87" spans="1:4" x14ac:dyDescent="0.2">
      <c r="A87" s="1219"/>
      <c r="B87" s="1222" t="s">
        <v>2061</v>
      </c>
      <c r="C87" s="1223">
        <f>C85+1</f>
        <v>25</v>
      </c>
      <c r="D87" s="1234" t="s">
        <v>1202</v>
      </c>
    </row>
    <row r="88" spans="1:4" ht="3" customHeight="1" x14ac:dyDescent="0.2">
      <c r="A88" s="1219"/>
      <c r="B88" s="1226"/>
      <c r="C88" s="1223"/>
      <c r="D88" s="1234"/>
    </row>
    <row r="89" spans="1:4" x14ac:dyDescent="0.2">
      <c r="A89" s="1219"/>
      <c r="B89" s="1222" t="s">
        <v>2061</v>
      </c>
      <c r="C89" s="1223">
        <f>C87+1</f>
        <v>26</v>
      </c>
      <c r="D89" s="1234" t="s">
        <v>1201</v>
      </c>
    </row>
    <row r="90" spans="1:4" ht="3" customHeight="1" x14ac:dyDescent="0.2">
      <c r="A90" s="1219"/>
      <c r="B90" s="1226"/>
      <c r="C90" s="1223"/>
      <c r="D90" s="1234"/>
    </row>
    <row r="91" spans="1:4" x14ac:dyDescent="0.2">
      <c r="A91" s="1219"/>
      <c r="B91" s="1222" t="s">
        <v>2061</v>
      </c>
      <c r="C91" s="1223">
        <f>C89+1</f>
        <v>27</v>
      </c>
      <c r="D91" s="1234" t="s">
        <v>1719</v>
      </c>
    </row>
    <row r="92" spans="1:4" x14ac:dyDescent="0.2">
      <c r="A92" s="1219"/>
      <c r="B92" s="1247"/>
      <c r="C92" s="1241" t="s">
        <v>2163</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2061</v>
      </c>
      <c r="C96" s="1223">
        <f>C91+1</f>
        <v>28</v>
      </c>
      <c r="D96" s="1234" t="s">
        <v>1720</v>
      </c>
    </row>
    <row r="97" spans="1:4" ht="3" customHeight="1" x14ac:dyDescent="0.2">
      <c r="A97" s="1219"/>
      <c r="B97" s="1226"/>
      <c r="C97" s="1223"/>
      <c r="D97" s="1234"/>
    </row>
    <row r="98" spans="1:4" x14ac:dyDescent="0.2">
      <c r="A98" s="1219"/>
      <c r="B98" s="1222" t="s">
        <v>2061</v>
      </c>
      <c r="C98" s="1223">
        <f>C96+1</f>
        <v>29</v>
      </c>
      <c r="D98" s="1248" t="s">
        <v>1721</v>
      </c>
    </row>
    <row r="99" spans="1:4" ht="3" customHeight="1" x14ac:dyDescent="0.2">
      <c r="A99" s="1219"/>
      <c r="B99" s="1226"/>
      <c r="C99" s="1223"/>
      <c r="D99" s="1248"/>
    </row>
    <row r="100" spans="1:4" x14ac:dyDescent="0.2">
      <c r="A100" s="1219"/>
      <c r="B100" s="1222" t="s">
        <v>2061</v>
      </c>
      <c r="C100" s="1223">
        <f>C98+1</f>
        <v>30</v>
      </c>
      <c r="D100" s="1234" t="s">
        <v>1722</v>
      </c>
    </row>
    <row r="101" spans="1:4" ht="3" customHeight="1" x14ac:dyDescent="0.2">
      <c r="A101" s="1219"/>
      <c r="B101" s="1226"/>
      <c r="C101" s="1223"/>
      <c r="D101" s="1249"/>
    </row>
    <row r="102" spans="1:4" x14ac:dyDescent="0.2">
      <c r="A102" s="1219"/>
      <c r="B102" s="1222" t="s">
        <v>2061</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2061</v>
      </c>
      <c r="C106" s="1223">
        <f>C102+1</f>
        <v>32</v>
      </c>
      <c r="D106" s="1218" t="s">
        <v>1580</v>
      </c>
    </row>
    <row r="107" spans="1:4" ht="3" customHeight="1" x14ac:dyDescent="0.2">
      <c r="A107" s="1219"/>
      <c r="B107" s="1226"/>
      <c r="C107" s="1223"/>
      <c r="D107" s="1218"/>
    </row>
    <row r="108" spans="1:4" x14ac:dyDescent="0.2">
      <c r="A108" s="1219"/>
      <c r="B108" s="1222" t="s">
        <v>2061</v>
      </c>
      <c r="C108" s="1223">
        <v>33</v>
      </c>
      <c r="D108" s="1218" t="s">
        <v>1723</v>
      </c>
    </row>
    <row r="109" spans="1:4" ht="3" customHeight="1" x14ac:dyDescent="0.2">
      <c r="A109" s="1219"/>
      <c r="B109" s="1226"/>
      <c r="C109" s="1223"/>
      <c r="D109" s="1218"/>
    </row>
    <row r="110" spans="1:4" x14ac:dyDescent="0.2">
      <c r="A110" s="1219"/>
      <c r="B110" s="1222" t="s">
        <v>2061</v>
      </c>
      <c r="C110" s="1223">
        <f>C108+1</f>
        <v>34</v>
      </c>
      <c r="D110" s="1218" t="s">
        <v>1198</v>
      </c>
    </row>
    <row r="111" spans="1:4" ht="3" customHeight="1" x14ac:dyDescent="0.2">
      <c r="A111" s="1219"/>
      <c r="B111" s="1226"/>
      <c r="C111" s="1223"/>
      <c r="D111" s="1218"/>
    </row>
    <row r="112" spans="1:4" x14ac:dyDescent="0.2">
      <c r="A112" s="1219"/>
      <c r="B112" s="1222" t="s">
        <v>2061</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2163</v>
      </c>
      <c r="C115" s="1223">
        <f>C112+1</f>
        <v>36</v>
      </c>
      <c r="D115" s="1234" t="s">
        <v>1195</v>
      </c>
    </row>
    <row r="116" spans="1:4" ht="3" customHeight="1" x14ac:dyDescent="0.2">
      <c r="A116" s="1219"/>
      <c r="B116" s="1226"/>
      <c r="C116" s="1223"/>
      <c r="D116" s="1234"/>
    </row>
    <row r="117" spans="1:4" x14ac:dyDescent="0.2">
      <c r="A117" s="1219"/>
      <c r="B117" s="1222" t="s">
        <v>2163</v>
      </c>
      <c r="C117" s="1223">
        <f>C115+1</f>
        <v>37</v>
      </c>
      <c r="D117" s="1234" t="s">
        <v>1724</v>
      </c>
    </row>
    <row r="118" spans="1:4" ht="3" customHeight="1" x14ac:dyDescent="0.2">
      <c r="A118" s="1219"/>
      <c r="B118" s="1226"/>
      <c r="C118" s="1223"/>
      <c r="D118" s="1234"/>
    </row>
    <row r="119" spans="1:4" x14ac:dyDescent="0.2">
      <c r="A119" s="1219"/>
      <c r="B119" s="1222" t="s">
        <v>2163</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2061</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CCSD 146</v>
      </c>
      <c r="B1" s="2442"/>
      <c r="C1" s="2442"/>
      <c r="D1" s="2442"/>
      <c r="E1" s="2442"/>
    </row>
    <row r="2" spans="1:5" x14ac:dyDescent="0.2">
      <c r="A2" s="2443">
        <f>'Single Audit Cover'!E7</f>
        <v>7016146004</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7-8'!C7:K7)</f>
        <v>1879611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45149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-243390</v>
      </c>
    </row>
    <row r="19" spans="1:4" ht="13.5" thickBot="1" x14ac:dyDescent="0.25">
      <c r="A19" s="1262" t="s">
        <v>1235</v>
      </c>
      <c r="D19" s="1263">
        <f>SUM(D10:D17)</f>
        <v>1681370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1681370</v>
      </c>
    </row>
    <row r="33" spans="1:4" x14ac:dyDescent="0.2">
      <c r="D33" s="1266"/>
    </row>
    <row r="34" spans="1:4" x14ac:dyDescent="0.2">
      <c r="A34" s="317" t="s">
        <v>1232</v>
      </c>
    </row>
    <row r="35" spans="1:4" x14ac:dyDescent="0.2">
      <c r="A35" s="317" t="s">
        <v>1231</v>
      </c>
      <c r="B35" s="1255" t="s">
        <v>1230</v>
      </c>
      <c r="D35" s="1267">
        <f>+' SEFA (2)'!F26</f>
        <v>1681370</v>
      </c>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1681370</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3"/>
  <sheetViews>
    <sheetView showGridLines="0" topLeftCell="A4" zoomScaleNormal="100" workbookViewId="0">
      <selection activeCell="B24" sqref="B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3" t="str">
        <f>'Single Audit Cover'!A7</f>
        <v>CCSD 146</v>
      </c>
      <c r="C1" s="2446"/>
      <c r="D1" s="2446"/>
      <c r="E1" s="2446"/>
      <c r="F1" s="2446"/>
      <c r="G1" s="2446"/>
      <c r="H1" s="2446"/>
      <c r="I1" s="2446"/>
      <c r="J1" s="2446"/>
      <c r="K1" s="2446"/>
      <c r="L1" s="2446"/>
      <c r="M1" s="2446"/>
    </row>
    <row r="2" spans="2:14" ht="15" x14ac:dyDescent="0.2">
      <c r="B2" s="2447">
        <f>'Single Audit Cover'!E7</f>
        <v>7016146004</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1733</v>
      </c>
      <c r="D9" s="1311" t="s">
        <v>1734</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2078</v>
      </c>
      <c r="C11" s="1335"/>
      <c r="D11" s="1336"/>
      <c r="E11" s="1337"/>
      <c r="F11" s="1337"/>
      <c r="G11" s="1337"/>
      <c r="H11" s="1337"/>
      <c r="I11" s="1337"/>
      <c r="J11" s="1337"/>
      <c r="K11" s="1337"/>
      <c r="L11" s="1337"/>
      <c r="M11" s="1337"/>
    </row>
    <row r="12" spans="2:14" ht="20.100000000000001" customHeight="1" x14ac:dyDescent="0.2">
      <c r="B12" s="1334" t="s">
        <v>2079</v>
      </c>
      <c r="C12" s="1338"/>
      <c r="D12" s="1339"/>
      <c r="E12" s="1340"/>
      <c r="F12" s="1340"/>
      <c r="G12" s="1340"/>
      <c r="H12" s="1340"/>
      <c r="I12" s="1340"/>
      <c r="J12" s="1340"/>
      <c r="K12" s="1340"/>
      <c r="L12" s="1337"/>
      <c r="M12" s="1340"/>
    </row>
    <row r="13" spans="2:14" ht="20.100000000000001" customHeight="1" x14ac:dyDescent="0.2">
      <c r="B13" s="1334" t="s">
        <v>2080</v>
      </c>
      <c r="C13" s="1338">
        <v>84.01</v>
      </c>
      <c r="D13" s="1339" t="s">
        <v>2087</v>
      </c>
      <c r="E13" s="1340"/>
      <c r="F13" s="1340">
        <v>387239</v>
      </c>
      <c r="G13" s="1340"/>
      <c r="H13" s="1340"/>
      <c r="I13" s="1340">
        <v>387239</v>
      </c>
      <c r="J13" s="1340"/>
      <c r="K13" s="1340"/>
      <c r="L13" s="1337">
        <f t="shared" ref="L13:L26" si="0">+G13+I13+K13</f>
        <v>387239</v>
      </c>
      <c r="M13" s="1340">
        <v>411563</v>
      </c>
    </row>
    <row r="14" spans="2:14" ht="20.100000000000001" customHeight="1" x14ac:dyDescent="0.2">
      <c r="B14" s="1334" t="s">
        <v>2081</v>
      </c>
      <c r="C14" s="1338">
        <v>84.01</v>
      </c>
      <c r="D14" s="1339" t="s">
        <v>2094</v>
      </c>
      <c r="E14" s="1340"/>
      <c r="F14" s="1340">
        <v>14844</v>
      </c>
      <c r="G14" s="1340"/>
      <c r="H14" s="1340"/>
      <c r="I14" s="1340">
        <v>14844</v>
      </c>
      <c r="J14" s="1340"/>
      <c r="K14" s="1340"/>
      <c r="L14" s="1337">
        <f t="shared" si="0"/>
        <v>14844</v>
      </c>
      <c r="M14" s="1340">
        <v>15000</v>
      </c>
    </row>
    <row r="15" spans="2:14" ht="20.100000000000001" customHeight="1" x14ac:dyDescent="0.2">
      <c r="B15" s="1334" t="s">
        <v>2133</v>
      </c>
      <c r="C15" s="1338">
        <v>84.367000000000004</v>
      </c>
      <c r="D15" s="1339" t="s">
        <v>2088</v>
      </c>
      <c r="E15" s="1340"/>
      <c r="F15" s="1340">
        <v>59474</v>
      </c>
      <c r="G15" s="1340"/>
      <c r="H15" s="1340"/>
      <c r="I15" s="1340">
        <v>59474</v>
      </c>
      <c r="J15" s="1340"/>
      <c r="K15" s="1340"/>
      <c r="L15" s="1337">
        <f t="shared" si="0"/>
        <v>59474</v>
      </c>
      <c r="M15" s="1340">
        <v>82246</v>
      </c>
    </row>
    <row r="16" spans="2:14" ht="20.100000000000001" customHeight="1" x14ac:dyDescent="0.2">
      <c r="B16" s="1334" t="s">
        <v>2082</v>
      </c>
      <c r="C16" s="1338">
        <v>84.364999999999995</v>
      </c>
      <c r="D16" s="1339" t="s">
        <v>2089</v>
      </c>
      <c r="E16" s="1340"/>
      <c r="F16" s="1340">
        <v>2347</v>
      </c>
      <c r="G16" s="1340"/>
      <c r="H16" s="1340"/>
      <c r="I16" s="1340">
        <v>2347</v>
      </c>
      <c r="J16" s="1340"/>
      <c r="K16" s="1340"/>
      <c r="L16" s="1337">
        <f t="shared" si="0"/>
        <v>2347</v>
      </c>
      <c r="M16" s="1340">
        <v>6450</v>
      </c>
    </row>
    <row r="17" spans="2:14" ht="20.100000000000001" customHeight="1" x14ac:dyDescent="0.2">
      <c r="B17" s="1334" t="s">
        <v>2134</v>
      </c>
      <c r="C17" s="1338">
        <v>84.364999999999995</v>
      </c>
      <c r="D17" s="1339" t="s">
        <v>2095</v>
      </c>
      <c r="E17" s="1340"/>
      <c r="F17" s="1340">
        <v>83</v>
      </c>
      <c r="G17" s="1340"/>
      <c r="H17" s="1340"/>
      <c r="I17" s="1340">
        <v>83</v>
      </c>
      <c r="J17" s="1340"/>
      <c r="K17" s="1340"/>
      <c r="L17" s="1337">
        <f t="shared" si="0"/>
        <v>83</v>
      </c>
      <c r="M17" s="1340">
        <v>50594</v>
      </c>
    </row>
    <row r="18" spans="2:14" ht="20.100000000000001" customHeight="1" x14ac:dyDescent="0.2">
      <c r="B18" s="1334" t="s">
        <v>2134</v>
      </c>
      <c r="C18" s="1338">
        <v>84.364999999999995</v>
      </c>
      <c r="D18" s="1339" t="s">
        <v>2090</v>
      </c>
      <c r="E18" s="1340"/>
      <c r="F18" s="1340">
        <v>22795</v>
      </c>
      <c r="G18" s="1340"/>
      <c r="H18" s="1340"/>
      <c r="I18" s="1340">
        <v>22795</v>
      </c>
      <c r="J18" s="1340"/>
      <c r="K18" s="1340"/>
      <c r="L18" s="1337">
        <f t="shared" si="0"/>
        <v>22795</v>
      </c>
      <c r="M18" s="1340">
        <v>50594</v>
      </c>
    </row>
    <row r="19" spans="2:14" ht="20.100000000000001" customHeight="1" x14ac:dyDescent="0.2">
      <c r="B19" s="1334" t="s">
        <v>2083</v>
      </c>
      <c r="C19" s="1338">
        <v>84.424000000000007</v>
      </c>
      <c r="D19" s="1339" t="s">
        <v>2091</v>
      </c>
      <c r="E19" s="1340"/>
      <c r="F19" s="1340">
        <v>23960</v>
      </c>
      <c r="G19" s="1340"/>
      <c r="H19" s="1340"/>
      <c r="I19" s="1340">
        <v>23960</v>
      </c>
      <c r="J19" s="1340"/>
      <c r="K19" s="1340"/>
      <c r="L19" s="1337">
        <f t="shared" si="0"/>
        <v>23960</v>
      </c>
      <c r="M19" s="1340">
        <v>29552</v>
      </c>
    </row>
    <row r="20" spans="2:14" ht="20.100000000000001" customHeight="1" x14ac:dyDescent="0.2">
      <c r="B20" s="1334" t="s">
        <v>2084</v>
      </c>
      <c r="C20" s="1338"/>
      <c r="D20" s="1339"/>
      <c r="E20" s="1340">
        <f>SUM(E13:E19)</f>
        <v>0</v>
      </c>
      <c r="F20" s="1340">
        <f>SUM(F13:F19)</f>
        <v>510742</v>
      </c>
      <c r="G20" s="1340">
        <f t="shared" ref="G20:K20" si="1">SUM(G13:G19)</f>
        <v>0</v>
      </c>
      <c r="H20" s="1340">
        <f t="shared" si="1"/>
        <v>0</v>
      </c>
      <c r="I20" s="1340">
        <f t="shared" si="1"/>
        <v>510742</v>
      </c>
      <c r="J20" s="1340">
        <f t="shared" si="1"/>
        <v>0</v>
      </c>
      <c r="K20" s="1340">
        <f t="shared" si="1"/>
        <v>0</v>
      </c>
      <c r="L20" s="1337">
        <f t="shared" si="0"/>
        <v>510742</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2116</v>
      </c>
      <c r="C22" s="1338"/>
      <c r="D22" s="1339"/>
      <c r="E22" s="1340"/>
      <c r="F22" s="1340"/>
      <c r="G22" s="1340"/>
      <c r="H22" s="1340"/>
      <c r="I22" s="1340"/>
      <c r="J22" s="1340"/>
      <c r="K22" s="1340"/>
      <c r="L22" s="1337"/>
      <c r="M22" s="1340"/>
    </row>
    <row r="23" spans="2:14" ht="20.100000000000001" customHeight="1" x14ac:dyDescent="0.2">
      <c r="B23" s="1334" t="s">
        <v>2131</v>
      </c>
      <c r="C23" s="1338">
        <v>84.027000000000001</v>
      </c>
      <c r="D23" s="1339" t="s">
        <v>2092</v>
      </c>
      <c r="E23" s="1340"/>
      <c r="F23" s="1340">
        <v>619626</v>
      </c>
      <c r="G23" s="1340"/>
      <c r="H23" s="1340"/>
      <c r="I23" s="1340">
        <v>619626</v>
      </c>
      <c r="J23" s="1340"/>
      <c r="K23" s="1340"/>
      <c r="L23" s="1337">
        <f t="shared" si="0"/>
        <v>619626</v>
      </c>
      <c r="M23" s="1340">
        <v>670896</v>
      </c>
    </row>
    <row r="24" spans="2:14" ht="20.100000000000001" customHeight="1" x14ac:dyDescent="0.2">
      <c r="B24" s="1334" t="s">
        <v>2132</v>
      </c>
      <c r="C24" s="1338">
        <v>84.173000000000002</v>
      </c>
      <c r="D24" s="1339" t="s">
        <v>2093</v>
      </c>
      <c r="E24" s="1340"/>
      <c r="F24" s="1340">
        <v>20975</v>
      </c>
      <c r="G24" s="1340"/>
      <c r="H24" s="1340"/>
      <c r="I24" s="1340">
        <v>20975</v>
      </c>
      <c r="J24" s="1340"/>
      <c r="K24" s="1340"/>
      <c r="L24" s="1337">
        <f t="shared" si="0"/>
        <v>20975</v>
      </c>
      <c r="M24" s="1340">
        <v>41060</v>
      </c>
    </row>
    <row r="25" spans="2:14" ht="20.100000000000001" customHeight="1" x14ac:dyDescent="0.2">
      <c r="B25" s="1334" t="s">
        <v>2085</v>
      </c>
      <c r="C25" s="1338"/>
      <c r="D25" s="1339"/>
      <c r="E25" s="1340">
        <f>SUM(E23:E24)</f>
        <v>0</v>
      </c>
      <c r="F25" s="1340">
        <f>SUM(F23:F24)</f>
        <v>640601</v>
      </c>
      <c r="G25" s="1340">
        <f t="shared" ref="G25:K25" si="2">SUM(G23:G24)</f>
        <v>0</v>
      </c>
      <c r="H25" s="1340">
        <f t="shared" si="2"/>
        <v>0</v>
      </c>
      <c r="I25" s="1340">
        <f t="shared" si="2"/>
        <v>640601</v>
      </c>
      <c r="J25" s="1340">
        <f t="shared" si="2"/>
        <v>0</v>
      </c>
      <c r="K25" s="1340">
        <f t="shared" si="2"/>
        <v>0</v>
      </c>
      <c r="L25" s="1337">
        <f t="shared" si="0"/>
        <v>640601</v>
      </c>
      <c r="M25" s="1340"/>
    </row>
    <row r="26" spans="2:14" s="1257" customFormat="1" ht="20.100000000000001" customHeight="1" x14ac:dyDescent="0.2">
      <c r="B26" s="1937" t="s">
        <v>2086</v>
      </c>
      <c r="C26" s="1947"/>
      <c r="D26" s="1948"/>
      <c r="E26" s="1938">
        <f>+E25+E20</f>
        <v>0</v>
      </c>
      <c r="F26" s="1938">
        <f>+F25+F20</f>
        <v>1151343</v>
      </c>
      <c r="G26" s="1938">
        <f t="shared" ref="G26:K26" si="3">+G25+G20</f>
        <v>0</v>
      </c>
      <c r="H26" s="1938">
        <f t="shared" si="3"/>
        <v>0</v>
      </c>
      <c r="I26" s="1938">
        <f t="shared" si="3"/>
        <v>1151343</v>
      </c>
      <c r="J26" s="1938">
        <f t="shared" si="3"/>
        <v>0</v>
      </c>
      <c r="K26" s="1938">
        <f t="shared" si="3"/>
        <v>0</v>
      </c>
      <c r="L26" s="1939">
        <f t="shared" si="0"/>
        <v>1151343</v>
      </c>
      <c r="M26" s="1938"/>
    </row>
    <row r="27" spans="2:14" ht="20.100000000000001" customHeight="1" x14ac:dyDescent="0.2">
      <c r="B27" s="1334"/>
      <c r="C27" s="1338"/>
      <c r="D27" s="1339"/>
      <c r="E27" s="1340"/>
      <c r="F27" s="1340"/>
      <c r="G27" s="1340"/>
      <c r="H27" s="1340"/>
      <c r="I27" s="1340"/>
      <c r="J27" s="1340"/>
      <c r="K27" s="1340"/>
      <c r="L27" s="1337"/>
      <c r="M27" s="1340"/>
    </row>
    <row r="28" spans="2:14" ht="20.100000000000001" customHeight="1" x14ac:dyDescent="0.2">
      <c r="B28" s="1334"/>
      <c r="C28" s="1338"/>
      <c r="D28" s="1339"/>
      <c r="E28" s="1340"/>
      <c r="F28" s="1340"/>
      <c r="G28" s="1340"/>
      <c r="H28" s="1340"/>
      <c r="I28" s="1340"/>
      <c r="J28" s="1340"/>
      <c r="K28" s="1340"/>
      <c r="L28" s="1337"/>
      <c r="M28" s="1340"/>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1735</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1837</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1246</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1736</v>
      </c>
      <c r="C38" s="1362"/>
      <c r="D38" s="1362"/>
      <c r="E38" s="1362"/>
      <c r="F38" s="1362"/>
      <c r="G38" s="1362"/>
      <c r="H38" s="1362"/>
      <c r="I38" s="1363"/>
      <c r="J38" s="1363"/>
      <c r="K38" s="1363"/>
      <c r="L38" s="1363"/>
      <c r="M38" s="1363"/>
    </row>
    <row r="39" spans="2:13" ht="11.25" customHeight="1" x14ac:dyDescent="0.2">
      <c r="B39" s="1364" t="s">
        <v>1584</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1737</v>
      </c>
      <c r="C41" s="1363"/>
      <c r="D41" s="1363"/>
      <c r="E41" s="1363"/>
      <c r="F41" s="1363"/>
      <c r="G41" s="1363"/>
      <c r="H41" s="1363"/>
      <c r="I41" s="1363"/>
      <c r="J41" s="1363"/>
      <c r="K41" s="1363"/>
      <c r="L41" s="1363"/>
      <c r="M41" s="1363"/>
    </row>
    <row r="42" spans="2:13" ht="11.25" customHeight="1" x14ac:dyDescent="0.2">
      <c r="B42" s="1297" t="s">
        <v>1585</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1738</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1739</v>
      </c>
      <c r="C46" s="1365"/>
      <c r="D46" s="1366"/>
      <c r="E46" s="1297"/>
      <c r="F46" s="1297"/>
      <c r="G46" s="1297"/>
      <c r="H46" s="1297"/>
      <c r="I46" s="1297"/>
      <c r="J46" s="1297"/>
      <c r="K46" s="1367"/>
      <c r="L46" s="1367"/>
      <c r="M46" s="1297"/>
    </row>
    <row r="47" spans="2:13" ht="11.25" customHeight="1" x14ac:dyDescent="0.2">
      <c r="B47" s="1297" t="s">
        <v>1586</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P151"/>
  <sheetViews>
    <sheetView showGridLines="0" zoomScaleNormal="100" workbookViewId="0">
      <selection activeCell="I13" sqref="I13:I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3" t="str">
        <f>'Single Audit Cover'!A7</f>
        <v>CCSD 146</v>
      </c>
      <c r="C1" s="2446"/>
      <c r="D1" s="2446"/>
      <c r="E1" s="2446"/>
      <c r="F1" s="2446"/>
      <c r="G1" s="2446"/>
      <c r="H1" s="2446"/>
      <c r="I1" s="2446"/>
      <c r="J1" s="2446"/>
      <c r="K1" s="2446"/>
      <c r="L1" s="2446"/>
      <c r="M1" s="2446"/>
    </row>
    <row r="2" spans="2:14" ht="15" x14ac:dyDescent="0.2">
      <c r="B2" s="2447">
        <f>'Single Audit Cover'!E7</f>
        <v>7016146004</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1733</v>
      </c>
      <c r="D9" s="1311" t="s">
        <v>1734</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2069</v>
      </c>
      <c r="C11" s="1335"/>
      <c r="D11" s="1336"/>
      <c r="E11" s="1337"/>
      <c r="F11" s="1337"/>
      <c r="G11" s="1337"/>
      <c r="H11" s="1337"/>
      <c r="I11" s="1337"/>
      <c r="J11" s="1337"/>
      <c r="K11" s="1337"/>
      <c r="L11" s="1337"/>
      <c r="M11" s="1337"/>
    </row>
    <row r="12" spans="2:14" ht="20.100000000000001" customHeight="1" x14ac:dyDescent="0.2">
      <c r="B12" s="1334" t="s">
        <v>2117</v>
      </c>
      <c r="C12" s="1338"/>
      <c r="D12" s="1339"/>
      <c r="E12" s="1340"/>
      <c r="F12" s="1340"/>
      <c r="G12" s="1340"/>
      <c r="H12" s="1340"/>
      <c r="I12" s="1340"/>
      <c r="J12" s="1340"/>
      <c r="K12" s="1340"/>
      <c r="L12" s="1337"/>
      <c r="M12" s="1340"/>
    </row>
    <row r="13" spans="2:14" ht="20.100000000000001" customHeight="1" x14ac:dyDescent="0.2">
      <c r="B13" s="1334" t="s">
        <v>2118</v>
      </c>
      <c r="C13" s="1338">
        <v>10.555</v>
      </c>
      <c r="D13" s="1339" t="s">
        <v>2070</v>
      </c>
      <c r="E13" s="1340">
        <v>232960</v>
      </c>
      <c r="F13" s="1340">
        <v>30643</v>
      </c>
      <c r="G13" s="1340">
        <v>232960</v>
      </c>
      <c r="H13" s="1340"/>
      <c r="I13" s="1340">
        <v>30643</v>
      </c>
      <c r="J13" s="1340"/>
      <c r="K13" s="1340"/>
      <c r="L13" s="1337">
        <f t="shared" ref="L13:L26" si="0">+G13+I13+K13</f>
        <v>263603</v>
      </c>
      <c r="M13" s="1340" t="s">
        <v>2077</v>
      </c>
    </row>
    <row r="14" spans="2:14" ht="20.100000000000001" customHeight="1" x14ac:dyDescent="0.2">
      <c r="B14" s="1334" t="s">
        <v>2118</v>
      </c>
      <c r="C14" s="1338">
        <v>10.555</v>
      </c>
      <c r="D14" s="1339" t="s">
        <v>2071</v>
      </c>
      <c r="E14" s="1340"/>
      <c r="F14" s="1340">
        <v>282068</v>
      </c>
      <c r="G14" s="1340"/>
      <c r="H14" s="1340"/>
      <c r="I14" s="1340">
        <v>282068</v>
      </c>
      <c r="J14" s="1340"/>
      <c r="K14" s="1340"/>
      <c r="L14" s="1337">
        <f t="shared" si="0"/>
        <v>282068</v>
      </c>
      <c r="M14" s="1340" t="s">
        <v>2077</v>
      </c>
    </row>
    <row r="15" spans="2:14" ht="20.100000000000001" customHeight="1" x14ac:dyDescent="0.2">
      <c r="B15" s="1334" t="s">
        <v>2119</v>
      </c>
      <c r="C15" s="1338">
        <v>10.553000000000001</v>
      </c>
      <c r="D15" s="1339" t="s">
        <v>2072</v>
      </c>
      <c r="E15" s="1340">
        <v>77629</v>
      </c>
      <c r="F15" s="1340">
        <v>25321</v>
      </c>
      <c r="G15" s="1340">
        <v>77629</v>
      </c>
      <c r="H15" s="1340"/>
      <c r="I15" s="1340">
        <v>25321</v>
      </c>
      <c r="J15" s="1340"/>
      <c r="K15" s="1340"/>
      <c r="L15" s="1337">
        <f t="shared" si="0"/>
        <v>102950</v>
      </c>
      <c r="M15" s="1340" t="s">
        <v>2077</v>
      </c>
    </row>
    <row r="16" spans="2:14" ht="20.100000000000001" customHeight="1" x14ac:dyDescent="0.2">
      <c r="B16" s="1334" t="s">
        <v>2119</v>
      </c>
      <c r="C16" s="1338">
        <v>10.553000000000001</v>
      </c>
      <c r="D16" s="1339" t="s">
        <v>2073</v>
      </c>
      <c r="E16" s="1340"/>
      <c r="F16" s="1340">
        <v>77629</v>
      </c>
      <c r="G16" s="1340"/>
      <c r="H16" s="1340"/>
      <c r="I16" s="1340">
        <v>77629</v>
      </c>
      <c r="J16" s="1340"/>
      <c r="K16" s="1340"/>
      <c r="L16" s="1337">
        <f t="shared" si="0"/>
        <v>77629</v>
      </c>
      <c r="M16" s="1340" t="s">
        <v>2077</v>
      </c>
    </row>
    <row r="17" spans="2:16" ht="20.100000000000001" customHeight="1" x14ac:dyDescent="0.2">
      <c r="B17" s="1334" t="s">
        <v>2120</v>
      </c>
      <c r="C17" s="1338">
        <v>10.555</v>
      </c>
      <c r="D17" s="1339">
        <v>2019</v>
      </c>
      <c r="E17" s="1340"/>
      <c r="F17" s="1340">
        <v>6662</v>
      </c>
      <c r="G17" s="1340"/>
      <c r="H17" s="1340"/>
      <c r="I17" s="1340">
        <v>6662</v>
      </c>
      <c r="J17" s="1340"/>
      <c r="K17" s="1340"/>
      <c r="L17" s="1337">
        <f t="shared" si="0"/>
        <v>6662</v>
      </c>
      <c r="M17" s="1340" t="s">
        <v>2077</v>
      </c>
    </row>
    <row r="18" spans="2:16" ht="20.100000000000001" customHeight="1" x14ac:dyDescent="0.2">
      <c r="B18" s="1334" t="s">
        <v>2121</v>
      </c>
      <c r="C18" s="1338">
        <v>10.555</v>
      </c>
      <c r="D18" s="1339">
        <v>2019</v>
      </c>
      <c r="E18" s="1340"/>
      <c r="F18" s="1340">
        <v>38487</v>
      </c>
      <c r="G18" s="1340"/>
      <c r="H18" s="1340"/>
      <c r="I18" s="1340">
        <v>38487</v>
      </c>
      <c r="J18" s="1340"/>
      <c r="K18" s="1340"/>
      <c r="L18" s="1337">
        <f t="shared" si="0"/>
        <v>38487</v>
      </c>
      <c r="M18" s="1340" t="s">
        <v>2077</v>
      </c>
    </row>
    <row r="19" spans="2:16" ht="20.100000000000001" customHeight="1" x14ac:dyDescent="0.2">
      <c r="B19" s="1937" t="s">
        <v>2074</v>
      </c>
      <c r="C19" s="1338"/>
      <c r="D19" s="1339"/>
      <c r="E19" s="1938">
        <f t="shared" ref="E19:J19" si="1">SUM(E13:E18)</f>
        <v>310589</v>
      </c>
      <c r="F19" s="1938">
        <f t="shared" si="1"/>
        <v>460810</v>
      </c>
      <c r="G19" s="1938">
        <f t="shared" si="1"/>
        <v>310589</v>
      </c>
      <c r="H19" s="1938">
        <f t="shared" si="1"/>
        <v>0</v>
      </c>
      <c r="I19" s="1938">
        <f t="shared" si="1"/>
        <v>460810</v>
      </c>
      <c r="J19" s="1938">
        <f t="shared" si="1"/>
        <v>0</v>
      </c>
      <c r="K19" s="1938">
        <f>SUM(K13:K18)</f>
        <v>0</v>
      </c>
      <c r="L19" s="1939">
        <f t="shared" si="0"/>
        <v>771399</v>
      </c>
      <c r="M19" s="1938" t="s">
        <v>2077</v>
      </c>
    </row>
    <row r="20" spans="2:16" ht="20.100000000000001" customHeight="1" x14ac:dyDescent="0.2">
      <c r="B20" s="1334"/>
      <c r="C20" s="1338"/>
      <c r="D20" s="1339"/>
      <c r="E20" s="1340"/>
      <c r="F20" s="1340"/>
      <c r="G20" s="1340"/>
      <c r="H20" s="1340"/>
      <c r="I20" s="1340"/>
      <c r="J20" s="1340"/>
      <c r="K20" s="1340"/>
      <c r="L20" s="1337"/>
      <c r="M20" s="1340"/>
    </row>
    <row r="21" spans="2:16" ht="22.5" x14ac:dyDescent="0.2">
      <c r="B21" s="1334" t="s">
        <v>2075</v>
      </c>
      <c r="C21" s="1338"/>
      <c r="D21" s="1339"/>
      <c r="E21" s="1340"/>
      <c r="F21" s="1340"/>
      <c r="G21" s="1340"/>
      <c r="H21" s="1340"/>
      <c r="I21" s="1340"/>
      <c r="J21" s="1340"/>
      <c r="K21" s="1340"/>
      <c r="L21" s="1337"/>
      <c r="M21" s="1340"/>
    </row>
    <row r="22" spans="2:16" ht="20.100000000000001" customHeight="1" x14ac:dyDescent="0.2">
      <c r="B22" s="1334" t="s">
        <v>2122</v>
      </c>
      <c r="C22" s="1338"/>
      <c r="D22" s="1339"/>
      <c r="E22" s="1340"/>
      <c r="F22" s="1340"/>
      <c r="G22" s="1340"/>
      <c r="H22" s="1340"/>
      <c r="I22" s="1340"/>
      <c r="J22" s="1340"/>
      <c r="K22" s="1340"/>
      <c r="L22" s="1337"/>
      <c r="M22" s="1340"/>
    </row>
    <row r="23" spans="2:16" s="1257" customFormat="1" ht="20.100000000000001" customHeight="1" x14ac:dyDescent="0.2">
      <c r="B23" s="1937" t="s">
        <v>2076</v>
      </c>
      <c r="C23" s="1947">
        <v>93.778000000000006</v>
      </c>
      <c r="D23" s="1948">
        <v>2019</v>
      </c>
      <c r="E23" s="1938"/>
      <c r="F23" s="1938">
        <v>69217</v>
      </c>
      <c r="G23" s="1938"/>
      <c r="H23" s="1938"/>
      <c r="I23" s="1938">
        <v>69217</v>
      </c>
      <c r="J23" s="1938"/>
      <c r="K23" s="1938"/>
      <c r="L23" s="1939">
        <f t="shared" si="0"/>
        <v>69217</v>
      </c>
      <c r="M23" s="1938" t="s">
        <v>2077</v>
      </c>
    </row>
    <row r="24" spans="2:16" ht="20.100000000000001" customHeight="1" x14ac:dyDescent="0.2">
      <c r="B24" s="1940"/>
      <c r="C24" s="1338"/>
      <c r="D24" s="1339"/>
      <c r="E24" s="1340"/>
      <c r="F24" s="1340"/>
      <c r="G24" s="1340"/>
      <c r="H24" s="1340"/>
      <c r="I24" s="1340"/>
      <c r="J24" s="1340"/>
      <c r="K24" s="1340"/>
      <c r="L24" s="1939"/>
      <c r="M24" s="1340"/>
      <c r="P24" s="317">
        <f>1688052-1687969</f>
        <v>83</v>
      </c>
    </row>
    <row r="25" spans="2:16" ht="20.100000000000001" customHeight="1" x14ac:dyDescent="0.2">
      <c r="B25" s="1334"/>
      <c r="C25" s="1338"/>
      <c r="D25" s="1339"/>
      <c r="E25" s="1340"/>
      <c r="F25" s="1340"/>
      <c r="G25" s="1340"/>
      <c r="H25" s="1340"/>
      <c r="I25" s="1340"/>
      <c r="J25" s="1340"/>
      <c r="K25" s="1340"/>
      <c r="L25" s="1337"/>
      <c r="M25" s="1340"/>
    </row>
    <row r="26" spans="2:16" s="1257" customFormat="1" ht="20.100000000000001" customHeight="1" x14ac:dyDescent="0.2">
      <c r="B26" s="1937" t="s">
        <v>2123</v>
      </c>
      <c r="C26" s="1947"/>
      <c r="D26" s="1948"/>
      <c r="E26" s="1938">
        <f>+E23+E19+' SEFA'!E26</f>
        <v>310589</v>
      </c>
      <c r="F26" s="1938">
        <f>+F23+F19+' SEFA'!F26</f>
        <v>1681370</v>
      </c>
      <c r="G26" s="1938">
        <f>+G23+G19+' SEFA'!G26</f>
        <v>310589</v>
      </c>
      <c r="H26" s="1938">
        <f>+H23+H19+' SEFA'!H26</f>
        <v>0</v>
      </c>
      <c r="I26" s="1938">
        <f>+I23+I19+' SEFA'!I26</f>
        <v>1681370</v>
      </c>
      <c r="J26" s="1938">
        <f>+J23+J19+' SEFA'!J26</f>
        <v>0</v>
      </c>
      <c r="K26" s="1938">
        <f>+K23+K19+' SEFA'!K26</f>
        <v>0</v>
      </c>
      <c r="L26" s="1939">
        <f t="shared" si="0"/>
        <v>1991959</v>
      </c>
      <c r="M26" s="1938"/>
      <c r="N26" s="1949"/>
    </row>
    <row r="27" spans="2:16" ht="12.75" customHeight="1" x14ac:dyDescent="0.2">
      <c r="B27" s="1342"/>
      <c r="C27" s="1343"/>
      <c r="D27" s="1344"/>
      <c r="E27" s="1345"/>
      <c r="F27" s="1345"/>
      <c r="G27" s="1345"/>
      <c r="H27" s="1345"/>
      <c r="I27" s="1345"/>
      <c r="J27" s="1345"/>
      <c r="K27" s="1345"/>
      <c r="L27" s="1345"/>
      <c r="M27" s="1345"/>
      <c r="N27" s="1341"/>
    </row>
    <row r="28" spans="2:16" x14ac:dyDescent="0.2">
      <c r="B28" s="1254"/>
      <c r="C28" s="1346"/>
      <c r="D28" s="1347"/>
      <c r="E28" s="1254"/>
      <c r="F28" s="1254"/>
      <c r="G28" s="1247"/>
      <c r="H28" s="1247"/>
      <c r="I28" s="1247"/>
      <c r="J28" s="1247"/>
      <c r="K28" s="1247"/>
      <c r="L28" s="1247"/>
      <c r="M28" s="1254"/>
      <c r="N28" s="1341"/>
    </row>
    <row r="29" spans="2:16" ht="13.5" customHeight="1" x14ac:dyDescent="0.2">
      <c r="B29" s="1279" t="s">
        <v>1735</v>
      </c>
      <c r="C29" s="1346"/>
      <c r="D29" s="1347"/>
      <c r="E29" s="1254"/>
      <c r="F29" s="1254"/>
      <c r="G29" s="1247"/>
      <c r="H29" s="1247"/>
      <c r="I29" s="1247"/>
      <c r="J29" s="1247"/>
      <c r="K29" s="1247"/>
      <c r="L29" s="1247"/>
      <c r="M29" s="1254"/>
      <c r="N29" s="1341"/>
    </row>
    <row r="30" spans="2:16" ht="8.25" customHeight="1" x14ac:dyDescent="0.2">
      <c r="B30" s="1279"/>
      <c r="C30" s="1346"/>
      <c r="D30" s="1347"/>
      <c r="E30" s="1254"/>
      <c r="F30" s="1254"/>
      <c r="G30" s="1247"/>
      <c r="H30" s="1247"/>
      <c r="I30" s="1247"/>
      <c r="J30" s="1247"/>
      <c r="K30" s="1247"/>
      <c r="L30" s="1247"/>
      <c r="M30" s="1254"/>
      <c r="N30" s="1341"/>
    </row>
    <row r="31" spans="2:16" x14ac:dyDescent="0.2">
      <c r="B31" s="1348" t="s">
        <v>1837</v>
      </c>
      <c r="C31" s="1349"/>
      <c r="D31" s="1350"/>
      <c r="E31" s="1351"/>
      <c r="F31" s="1351"/>
      <c r="G31" s="1351"/>
      <c r="H31" s="1351"/>
      <c r="I31" s="317"/>
      <c r="J31" s="317"/>
    </row>
    <row r="32" spans="2:16" x14ac:dyDescent="0.2">
      <c r="B32" s="1274"/>
      <c r="C32" s="1352"/>
      <c r="D32" s="1353"/>
      <c r="E32" s="1275"/>
      <c r="F32" s="1275"/>
      <c r="G32" s="317"/>
      <c r="H32" s="317"/>
      <c r="I32" s="317"/>
      <c r="J32" s="317"/>
    </row>
    <row r="33" spans="2:13" ht="13.5" customHeight="1" x14ac:dyDescent="0.2">
      <c r="B33" s="1273" t="s">
        <v>1246</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1168</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1" t="s">
        <v>1633</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313</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2199</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1323</v>
      </c>
      <c r="B70" s="2084"/>
      <c r="C70" s="2084"/>
      <c r="D70" s="2084"/>
      <c r="E70" s="2085"/>
      <c r="F70" s="2085"/>
      <c r="G70" s="2085"/>
      <c r="H70" s="2085"/>
      <c r="I70" s="208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1320</v>
      </c>
      <c r="B83" s="2086"/>
      <c r="C83" s="2086"/>
      <c r="D83" s="208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v>0</v>
      </c>
      <c r="F85" s="276">
        <v>40603</v>
      </c>
      <c r="G85" s="276">
        <v>144652</v>
      </c>
      <c r="H85" s="276">
        <v>15829</v>
      </c>
      <c r="I85" s="276">
        <v>0</v>
      </c>
      <c r="J85" s="277">
        <f>SUM(E85:I85)</f>
        <v>201084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v>0</v>
      </c>
      <c r="F88" s="276">
        <v>158337</v>
      </c>
      <c r="G88" s="276">
        <v>584650</v>
      </c>
      <c r="H88" s="276">
        <v>63825</v>
      </c>
      <c r="I88" s="276">
        <v>0</v>
      </c>
      <c r="J88" s="277">
        <f>SUM(E88:I88)</f>
        <v>806812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1007896</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8" t="s">
        <v>2188</v>
      </c>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2113</v>
      </c>
      <c r="D114" s="207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1330</v>
      </c>
      <c r="D117" s="2079"/>
      <c r="E117" s="2080"/>
      <c r="F117" s="2080"/>
      <c r="G117" s="2080"/>
      <c r="H117" s="208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8" zoomScale="120" zoomScaleNormal="120" workbookViewId="0">
      <selection activeCell="A32" sqref="A32:F3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CCSD 146</v>
      </c>
      <c r="B1" s="2451"/>
      <c r="C1" s="2451"/>
      <c r="D1" s="2451"/>
      <c r="E1" s="2451"/>
      <c r="F1" s="2451"/>
    </row>
    <row r="2" spans="1:7" ht="13.5" customHeight="1" x14ac:dyDescent="0.2">
      <c r="A2" s="2447">
        <f>'Single Audit Cover'!E7</f>
        <v>7016146004</v>
      </c>
      <c r="B2" s="2447"/>
      <c r="C2" s="2447"/>
      <c r="D2" s="2447"/>
      <c r="E2" s="2447"/>
      <c r="F2" s="2447"/>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2124</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2067</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1730</v>
      </c>
      <c r="B13" s="2450"/>
      <c r="C13" s="2450"/>
      <c r="D13" s="2450"/>
      <c r="E13" s="2450"/>
      <c r="F13" s="2450"/>
    </row>
    <row r="14" spans="1:7" ht="9.75" customHeight="1" x14ac:dyDescent="0.2">
      <c r="C14" s="1257"/>
      <c r="D14" s="1257"/>
    </row>
    <row r="15" spans="1:7" ht="13.5" customHeight="1" x14ac:dyDescent="0.2">
      <c r="C15" s="1846" t="s">
        <v>1270</v>
      </c>
      <c r="D15" s="2455" t="s">
        <v>1269</v>
      </c>
      <c r="E15" s="2455"/>
      <c r="F15" s="2455"/>
    </row>
    <row r="16" spans="1:7" ht="13.5" customHeight="1" x14ac:dyDescent="0.2">
      <c r="A16" s="1279"/>
      <c r="B16" s="1273" t="s">
        <v>1268</v>
      </c>
      <c r="C16" s="1846" t="s">
        <v>1267</v>
      </c>
      <c r="D16" s="2456" t="s">
        <v>1588</v>
      </c>
      <c r="E16" s="2456"/>
      <c r="F16" s="2456"/>
    </row>
    <row r="17" spans="1:6" ht="20.45" customHeight="1" x14ac:dyDescent="0.2">
      <c r="A17" s="1280"/>
      <c r="B17" s="1281" t="s">
        <v>2125</v>
      </c>
      <c r="C17" s="1282"/>
      <c r="D17" s="2454"/>
      <c r="E17" s="2454"/>
      <c r="F17" s="2454"/>
    </row>
    <row r="18" spans="1:6" ht="20.65" customHeight="1" x14ac:dyDescent="0.2">
      <c r="A18" s="1280"/>
      <c r="B18" s="1281"/>
      <c r="C18" s="1282"/>
      <c r="D18" s="2454"/>
      <c r="E18" s="2454"/>
      <c r="F18" s="2454"/>
    </row>
    <row r="19" spans="1:6" ht="20.65" customHeight="1" x14ac:dyDescent="0.2">
      <c r="A19" s="1280"/>
      <c r="B19" s="1281"/>
      <c r="C19" s="1282"/>
      <c r="D19" s="2454"/>
      <c r="E19" s="2454"/>
      <c r="F19" s="2454"/>
    </row>
    <row r="20" spans="1:6" ht="20.65" customHeight="1" x14ac:dyDescent="0.2">
      <c r="A20" s="1280"/>
      <c r="B20" s="1281"/>
      <c r="C20" s="1282"/>
      <c r="D20" s="2454"/>
      <c r="E20" s="2454"/>
      <c r="F20" s="2454"/>
    </row>
    <row r="21" spans="1:6" ht="20.65" customHeight="1" x14ac:dyDescent="0.2">
      <c r="A21" s="1280"/>
      <c r="B21" s="1281"/>
      <c r="C21" s="1282"/>
      <c r="D21" s="2454"/>
      <c r="E21" s="2454"/>
      <c r="F21" s="2454"/>
    </row>
    <row r="22" spans="1:6" ht="20.65" customHeight="1" x14ac:dyDescent="0.2">
      <c r="A22" s="1280"/>
      <c r="B22" s="1281"/>
      <c r="C22" s="1282"/>
      <c r="D22" s="2454"/>
      <c r="E22" s="2454"/>
      <c r="F22" s="2454"/>
    </row>
    <row r="23" spans="1:6" ht="20.65" customHeight="1" x14ac:dyDescent="0.2">
      <c r="A23" s="1280"/>
      <c r="B23" s="1281"/>
      <c r="C23" s="1282"/>
      <c r="D23" s="2454"/>
      <c r="E23" s="2454"/>
      <c r="F23" s="2454"/>
    </row>
    <row r="24" spans="1:6" ht="20.65" customHeight="1" x14ac:dyDescent="0.2">
      <c r="A24" s="1280"/>
      <c r="B24" s="1281"/>
      <c r="C24" s="1282"/>
      <c r="D24" s="2454"/>
      <c r="E24" s="2454"/>
      <c r="F24" s="2454"/>
    </row>
    <row r="25" spans="1:6" ht="20.65" customHeight="1" x14ac:dyDescent="0.2">
      <c r="A25" s="1280"/>
      <c r="B25" s="1281"/>
      <c r="C25" s="1282"/>
      <c r="D25" s="2454"/>
      <c r="E25" s="2454"/>
      <c r="F25" s="2454"/>
    </row>
    <row r="26" spans="1:6" ht="20.65" customHeight="1" x14ac:dyDescent="0.2">
      <c r="A26" s="1280"/>
      <c r="B26" s="1281"/>
      <c r="C26" s="1282"/>
      <c r="D26" s="2454"/>
      <c r="E26" s="2454"/>
      <c r="F26" s="2454"/>
    </row>
    <row r="27" spans="1:6" ht="20.65" customHeight="1" x14ac:dyDescent="0.2">
      <c r="A27" s="1280"/>
      <c r="B27" s="1281"/>
      <c r="C27" s="1282"/>
      <c r="D27" s="2454"/>
      <c r="E27" s="2454"/>
      <c r="F27" s="2454"/>
    </row>
    <row r="28" spans="1:6" ht="20.65" customHeight="1" x14ac:dyDescent="0.2">
      <c r="A28" s="1280"/>
      <c r="B28" s="1281"/>
      <c r="C28" s="1282"/>
      <c r="D28" s="2454"/>
      <c r="E28" s="2454"/>
      <c r="F28" s="2454"/>
    </row>
    <row r="29" spans="1:6" ht="20.65" customHeight="1" x14ac:dyDescent="0.2">
      <c r="A29" s="1280"/>
      <c r="B29" s="1281"/>
      <c r="C29" s="1282"/>
      <c r="D29" s="2454"/>
      <c r="E29" s="2454"/>
      <c r="F29" s="245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8" t="s">
        <v>2127</v>
      </c>
      <c r="B32" s="2458"/>
      <c r="C32" s="2458"/>
      <c r="D32" s="2458"/>
      <c r="E32" s="2458"/>
      <c r="F32" s="2458"/>
    </row>
    <row r="33" spans="1:6" ht="13.5" customHeight="1" x14ac:dyDescent="0.2">
      <c r="A33" s="328" t="s">
        <v>1434</v>
      </c>
      <c r="B33" s="328"/>
      <c r="C33" s="1285">
        <f>+' SEFA (2)'!I17</f>
        <v>6662</v>
      </c>
      <c r="D33" s="1903"/>
      <c r="E33" s="1283"/>
    </row>
    <row r="34" spans="1:6" ht="13.5" customHeight="1" x14ac:dyDescent="0.2">
      <c r="A34" s="328" t="s">
        <v>1835</v>
      </c>
      <c r="B34" s="328"/>
      <c r="C34" s="1286">
        <f>+' SEFA (2)'!I18</f>
        <v>38487</v>
      </c>
      <c r="D34" s="1903" t="s">
        <v>1589</v>
      </c>
      <c r="E34" s="2459">
        <f>+C33+C34</f>
        <v>45149</v>
      </c>
      <c r="F34" s="246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1" t="s">
        <v>1590</v>
      </c>
      <c r="C49" s="2461"/>
      <c r="D49" s="2461"/>
      <c r="E49" s="1396"/>
    </row>
    <row r="50" spans="1:5" s="1297" customFormat="1" ht="3.75" customHeight="1" x14ac:dyDescent="0.2">
      <c r="A50" s="1296"/>
      <c r="B50" s="1845"/>
      <c r="C50" s="1845"/>
      <c r="D50" s="1845"/>
      <c r="E50" s="1396"/>
    </row>
    <row r="51" spans="1:5" s="1297" customFormat="1" ht="20.25" customHeight="1" x14ac:dyDescent="0.2">
      <c r="A51" s="1298">
        <v>6</v>
      </c>
      <c r="B51" s="2457" t="s">
        <v>1551</v>
      </c>
      <c r="C51" s="2457"/>
      <c r="D51" s="2457"/>
    </row>
    <row r="52" spans="1:5" ht="14.25" customHeight="1" x14ac:dyDescent="0.2">
      <c r="A52" s="1298"/>
      <c r="B52" s="2457"/>
      <c r="C52" s="2457"/>
      <c r="D52" s="245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zoomScale="110" zoomScaleNormal="110" workbookViewId="0">
      <selection activeCell="I34" sqref="I3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CCSD 146</v>
      </c>
      <c r="C1" s="2467"/>
      <c r="D1" s="2467"/>
      <c r="E1" s="2467"/>
      <c r="F1" s="2467"/>
      <c r="G1" s="2467"/>
      <c r="H1" s="2467"/>
      <c r="I1" s="2467"/>
      <c r="J1" s="1406"/>
    </row>
    <row r="2" spans="2:10" s="317" customFormat="1" ht="12.75" customHeight="1" x14ac:dyDescent="0.2">
      <c r="B2" s="2468">
        <f>'Single Audit Cover'!E7</f>
        <v>7016146004</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t="s">
        <v>2126</v>
      </c>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2067</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2067</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2067</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2067</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2067</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c r="E29" s="2473"/>
      <c r="F29" s="2473"/>
      <c r="G29" s="2473"/>
      <c r="H29" s="2473"/>
      <c r="I29" s="2473"/>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2067</v>
      </c>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4" t="s">
        <v>1749</v>
      </c>
      <c r="D37" s="2475"/>
      <c r="E37" s="2475"/>
      <c r="F37" s="2476"/>
      <c r="G37" s="2474" t="s">
        <v>1592</v>
      </c>
      <c r="H37" s="2475"/>
      <c r="I37" s="2476"/>
    </row>
    <row r="38" spans="2:9" ht="16.5" customHeight="1" x14ac:dyDescent="0.2">
      <c r="B38" s="1428"/>
      <c r="C38" s="2462" t="s">
        <v>2128</v>
      </c>
      <c r="D38" s="2463"/>
      <c r="E38" s="2463"/>
      <c r="F38" s="2464"/>
      <c r="G38" s="2477"/>
      <c r="H38" s="2478"/>
      <c r="I38" s="2479"/>
    </row>
    <row r="39" spans="2:9" ht="16.5" customHeight="1" x14ac:dyDescent="0.2">
      <c r="B39" s="1428">
        <v>84.027000000000001</v>
      </c>
      <c r="C39" s="2462" t="s">
        <v>2129</v>
      </c>
      <c r="D39" s="2463"/>
      <c r="E39" s="2463"/>
      <c r="F39" s="2464"/>
      <c r="G39" s="2465">
        <f>+' SEFA'!I23</f>
        <v>619626</v>
      </c>
      <c r="H39" s="2465"/>
      <c r="I39" s="2465"/>
    </row>
    <row r="40" spans="2:9" ht="16.5" customHeight="1" x14ac:dyDescent="0.2">
      <c r="B40" s="1428">
        <v>84.017300000000006</v>
      </c>
      <c r="C40" s="2462" t="s">
        <v>2130</v>
      </c>
      <c r="D40" s="2463"/>
      <c r="E40" s="2463"/>
      <c r="F40" s="2464"/>
      <c r="G40" s="2465">
        <f>+' SEFA'!I24</f>
        <v>20975</v>
      </c>
      <c r="H40" s="2465"/>
      <c r="I40" s="2465"/>
    </row>
    <row r="41" spans="2:9" ht="16.5" customHeight="1" x14ac:dyDescent="0.2">
      <c r="B41" s="1428"/>
      <c r="C41" s="2462"/>
      <c r="D41" s="2463"/>
      <c r="E41" s="2463"/>
      <c r="F41" s="2464"/>
      <c r="G41" s="2465"/>
      <c r="H41" s="2465"/>
      <c r="I41" s="2465"/>
    </row>
    <row r="42" spans="2:9" ht="16.5" customHeight="1" x14ac:dyDescent="0.2">
      <c r="B42" s="1428">
        <v>84.367000000000004</v>
      </c>
      <c r="C42" s="2462" t="s">
        <v>758</v>
      </c>
      <c r="D42" s="2463"/>
      <c r="E42" s="2463"/>
      <c r="F42" s="2464"/>
      <c r="G42" s="2465">
        <f>+' SEFA'!I15</f>
        <v>59474</v>
      </c>
      <c r="H42" s="2465"/>
      <c r="I42" s="2465"/>
    </row>
    <row r="43" spans="2:9" ht="16.5" customHeight="1" x14ac:dyDescent="0.2">
      <c r="B43" s="1428"/>
      <c r="C43" s="2480" t="s">
        <v>1593</v>
      </c>
      <c r="D43" s="2481"/>
      <c r="E43" s="2481"/>
      <c r="F43" s="2482"/>
      <c r="G43" s="2483">
        <f>SUM(G38:I42)</f>
        <v>700075</v>
      </c>
      <c r="H43" s="2483"/>
      <c r="I43" s="2483"/>
    </row>
    <row r="44" spans="2:9" ht="12.75" customHeight="1" x14ac:dyDescent="0.2"/>
    <row r="45" spans="2:9" ht="12.75" customHeight="1" x14ac:dyDescent="0.2">
      <c r="B45" s="1419" t="s">
        <v>1838</v>
      </c>
      <c r="D45" s="2484">
        <f>+' SEFA (2)'!I26</f>
        <v>1681370</v>
      </c>
      <c r="E45" s="2485"/>
    </row>
    <row r="46" spans="2:9" ht="5.25" customHeight="1" x14ac:dyDescent="0.2">
      <c r="B46" s="1429"/>
      <c r="D46" s="1430"/>
      <c r="E46" s="1431"/>
    </row>
    <row r="47" spans="2:9" ht="12.75" customHeight="1" x14ac:dyDescent="0.2">
      <c r="B47" s="1297" t="s">
        <v>1594</v>
      </c>
      <c r="C47" s="1297"/>
      <c r="D47" s="1432">
        <f>+G43/D45</f>
        <v>0.41637176826040667</v>
      </c>
      <c r="E47" s="1433"/>
      <c r="F47" s="1434"/>
      <c r="I47" s="1435"/>
    </row>
    <row r="48" spans="2:9" ht="9.9499999999999993" customHeight="1" x14ac:dyDescent="0.2"/>
    <row r="49" spans="1:9" x14ac:dyDescent="0.2">
      <c r="B49" s="1365" t="s">
        <v>1273</v>
      </c>
      <c r="C49" s="1279"/>
      <c r="D49" s="1279"/>
      <c r="E49" s="2486">
        <v>750000</v>
      </c>
      <c r="F49" s="2486"/>
      <c r="G49" s="2486"/>
      <c r="H49" s="322"/>
    </row>
    <row r="51" spans="1:9" ht="13.5" customHeight="1" x14ac:dyDescent="0.2">
      <c r="B51" s="1365" t="s">
        <v>1272</v>
      </c>
      <c r="C51" s="1279"/>
      <c r="E51" s="1422"/>
      <c r="F51" s="1297" t="s">
        <v>885</v>
      </c>
      <c r="G51" s="1422" t="s">
        <v>2067</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0" zoomScale="110" zoomScaleNormal="110" workbookViewId="0">
      <selection activeCell="B29" sqref="B29:K29"/>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CCSD 146</v>
      </c>
      <c r="C1" s="2466"/>
      <c r="D1" s="2466"/>
      <c r="E1" s="2466"/>
      <c r="F1" s="2466"/>
      <c r="G1" s="2466"/>
      <c r="H1" s="2466"/>
      <c r="I1" s="2466"/>
      <c r="J1" s="2466"/>
      <c r="K1" s="2466"/>
      <c r="L1" s="1371"/>
      <c r="M1" s="1371"/>
    </row>
    <row r="2" spans="1:13" ht="12" customHeight="1" x14ac:dyDescent="0.2">
      <c r="B2" s="2468">
        <f>'Single Audit Cover'!E7</f>
        <v>7016146004</v>
      </c>
      <c r="C2" s="2468"/>
      <c r="D2" s="2468"/>
      <c r="E2" s="2468"/>
      <c r="F2" s="2468"/>
      <c r="G2" s="2468"/>
      <c r="H2" s="2468"/>
      <c r="I2" s="2468"/>
      <c r="J2" s="2468"/>
      <c r="K2" s="2468"/>
      <c r="L2" s="1372"/>
      <c r="M2" s="1373"/>
    </row>
    <row r="3" spans="1:13" ht="10.35" customHeight="1" x14ac:dyDescent="0.2">
      <c r="B3" s="2489" t="s">
        <v>1285</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v>1</v>
      </c>
      <c r="E10" s="322"/>
      <c r="F10" s="1384" t="s">
        <v>1295</v>
      </c>
      <c r="G10" s="1385"/>
      <c r="H10" s="1386" t="s">
        <v>1294</v>
      </c>
      <c r="I10" s="1385" t="s">
        <v>2067</v>
      </c>
      <c r="J10" s="1387" t="s">
        <v>1293</v>
      </c>
      <c r="K10" s="322"/>
      <c r="L10" s="1378"/>
    </row>
    <row r="11" spans="1:13" ht="13.5" customHeight="1" x14ac:dyDescent="0.2">
      <c r="B11" s="322"/>
      <c r="C11" s="322"/>
      <c r="D11" s="322"/>
      <c r="E11" s="322"/>
      <c r="F11" s="322"/>
      <c r="G11" s="1380"/>
      <c r="H11" s="322"/>
      <c r="I11" s="1388" t="s">
        <v>1292</v>
      </c>
      <c r="J11" s="322"/>
      <c r="K11" s="1389">
        <v>2011</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8" t="s">
        <v>2135</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8" t="s">
        <v>2136</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92" t="s">
        <v>2137</v>
      </c>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8" t="s">
        <v>2138</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8" t="s">
        <v>2139</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7" t="s">
        <v>2140</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7" t="s">
        <v>2141</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9" zoomScale="110" zoomScaleNormal="110" workbookViewId="0">
      <selection activeCell="B32" sqref="B32:K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CCSD 146</v>
      </c>
      <c r="C1" s="2466"/>
      <c r="D1" s="2466"/>
      <c r="E1" s="2466"/>
      <c r="F1" s="2466"/>
      <c r="G1" s="2466"/>
      <c r="H1" s="2466"/>
      <c r="I1" s="2466"/>
      <c r="J1" s="2466"/>
      <c r="K1" s="2466"/>
      <c r="L1" s="1371"/>
      <c r="M1" s="1371"/>
    </row>
    <row r="2" spans="1:13" ht="12" customHeight="1" x14ac:dyDescent="0.2">
      <c r="B2" s="2468">
        <f>'Single Audit Cover'!E7</f>
        <v>7016146004</v>
      </c>
      <c r="C2" s="2468"/>
      <c r="D2" s="2468"/>
      <c r="E2" s="2468"/>
      <c r="F2" s="2468"/>
      <c r="G2" s="2468"/>
      <c r="H2" s="2468"/>
      <c r="I2" s="2468"/>
      <c r="J2" s="2468"/>
      <c r="K2" s="2468"/>
      <c r="L2" s="1372"/>
      <c r="M2" s="1373"/>
    </row>
    <row r="3" spans="1:13" ht="10.35" customHeight="1" x14ac:dyDescent="0.2">
      <c r="B3" s="2489" t="s">
        <v>1285</v>
      </c>
      <c r="C3" s="2489"/>
      <c r="D3" s="2489"/>
      <c r="E3" s="2489"/>
      <c r="F3" s="2489"/>
      <c r="G3" s="2489"/>
      <c r="H3" s="2489"/>
      <c r="I3" s="2489"/>
      <c r="J3" s="2489"/>
      <c r="K3" s="2489"/>
      <c r="L3" s="1945"/>
      <c r="M3" s="1945"/>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v>2</v>
      </c>
      <c r="E10" s="322"/>
      <c r="F10" s="1384" t="s">
        <v>1295</v>
      </c>
      <c r="G10" s="1385"/>
      <c r="H10" s="1386" t="s">
        <v>1294</v>
      </c>
      <c r="I10" s="1385" t="s">
        <v>2067</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8" t="s">
        <v>2142</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8" t="s">
        <v>2143</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92" t="s">
        <v>2144</v>
      </c>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8" t="s">
        <v>2145</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8" t="s">
        <v>2146</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7" t="s">
        <v>2147</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7" t="s">
        <v>2141</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34" zoomScale="110" zoomScaleNormal="110" workbookViewId="0">
      <selection activeCell="F22" sqref="F22"/>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CCSD 146</v>
      </c>
      <c r="C1" s="2493"/>
      <c r="D1" s="2493"/>
      <c r="E1" s="2493"/>
      <c r="F1" s="2493"/>
      <c r="G1" s="2493"/>
      <c r="H1" s="2493"/>
      <c r="I1" s="2493"/>
      <c r="J1" s="2493"/>
      <c r="K1" s="2493"/>
      <c r="L1" s="1449"/>
    </row>
    <row r="2" spans="1:12" ht="12.75" customHeight="1" x14ac:dyDescent="0.2">
      <c r="B2" s="2494">
        <f>'Single Audit Cover'!E7</f>
        <v>7016146004</v>
      </c>
      <c r="C2" s="2494"/>
      <c r="D2" s="2494"/>
      <c r="E2" s="2494"/>
      <c r="F2" s="2494"/>
      <c r="G2" s="2494"/>
      <c r="H2" s="2494"/>
      <c r="I2" s="2494"/>
      <c r="J2" s="2494"/>
      <c r="K2" s="2494"/>
      <c r="L2" s="1450"/>
    </row>
    <row r="3" spans="1:12" ht="12.75" customHeight="1" x14ac:dyDescent="0.2">
      <c r="B3" s="2489" t="s">
        <v>1285</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3</v>
      </c>
      <c r="E8" s="322"/>
      <c r="F8" s="1381" t="s">
        <v>1295</v>
      </c>
      <c r="G8" s="1453"/>
      <c r="H8" s="1454" t="s">
        <v>1307</v>
      </c>
      <c r="I8" s="1453" t="s">
        <v>2067</v>
      </c>
      <c r="J8" s="1455" t="s">
        <v>1306</v>
      </c>
      <c r="L8" s="322"/>
    </row>
    <row r="9" spans="1:12" ht="13.5" customHeight="1" x14ac:dyDescent="0.2">
      <c r="D9" s="322"/>
      <c r="E9" s="322"/>
      <c r="F9" s="322"/>
      <c r="G9" s="1380"/>
      <c r="H9" s="322"/>
      <c r="I9" s="1456" t="s">
        <v>1292</v>
      </c>
      <c r="J9" s="322"/>
      <c r="K9" s="1457">
        <v>2011</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t="s">
        <v>2148</v>
      </c>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6"/>
      <c r="E14" s="2496"/>
      <c r="F14" s="2496"/>
      <c r="H14" s="1459" t="s">
        <v>1303</v>
      </c>
      <c r="I14" s="2497"/>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7"/>
      <c r="E16" s="2497"/>
      <c r="F16" s="2497"/>
      <c r="G16" s="2497"/>
      <c r="H16" s="2497"/>
      <c r="I16" s="2497"/>
      <c r="J16" s="2497"/>
      <c r="K16" s="2497"/>
      <c r="L16" s="322"/>
    </row>
    <row r="17" spans="2:12" ht="13.5" customHeight="1" x14ac:dyDescent="0.2">
      <c r="B17" s="1384" t="s">
        <v>1301</v>
      </c>
      <c r="C17" s="1384"/>
      <c r="D17" s="2498"/>
      <c r="E17" s="2498"/>
      <c r="F17" s="2498"/>
      <c r="G17" s="2498"/>
      <c r="H17" s="2498"/>
      <c r="I17" s="2498"/>
      <c r="J17" s="2498"/>
      <c r="K17" s="249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t="s">
        <v>2149</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8" t="s">
        <v>2125</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28" zoomScale="110" zoomScaleNormal="110" workbookViewId="0">
      <selection activeCell="B20" sqref="B20:K2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CCSD 146</v>
      </c>
      <c r="C1" s="2493"/>
      <c r="D1" s="2493"/>
      <c r="E1" s="2493"/>
      <c r="F1" s="2493"/>
      <c r="G1" s="2493"/>
      <c r="H1" s="2493"/>
      <c r="I1" s="2493"/>
      <c r="J1" s="2493"/>
      <c r="K1" s="2493"/>
      <c r="L1" s="1449"/>
    </row>
    <row r="2" spans="1:12" ht="12.75" customHeight="1" x14ac:dyDescent="0.2">
      <c r="B2" s="2494">
        <f>'Single Audit Cover'!E7</f>
        <v>7016146004</v>
      </c>
      <c r="C2" s="2494"/>
      <c r="D2" s="2494"/>
      <c r="E2" s="2494"/>
      <c r="F2" s="2494"/>
      <c r="G2" s="2494"/>
      <c r="H2" s="2494"/>
      <c r="I2" s="2494"/>
      <c r="J2" s="2494"/>
      <c r="K2" s="2494"/>
      <c r="L2" s="1450"/>
    </row>
    <row r="3" spans="1:12" ht="12.75" customHeight="1" x14ac:dyDescent="0.2">
      <c r="B3" s="2489" t="s">
        <v>1285</v>
      </c>
      <c r="C3" s="2489"/>
      <c r="D3" s="2489"/>
      <c r="E3" s="2489"/>
      <c r="F3" s="2489"/>
      <c r="G3" s="2489"/>
      <c r="H3" s="2489"/>
      <c r="I3" s="2489"/>
      <c r="J3" s="2489"/>
      <c r="K3" s="2489"/>
      <c r="L3" s="1945"/>
    </row>
    <row r="4" spans="1:12" ht="12.75" customHeight="1" x14ac:dyDescent="0.2">
      <c r="B4" s="2489" t="str">
        <f>'Single Audit Cover'!A4</f>
        <v>Year Ending June 30, 2019</v>
      </c>
      <c r="C4" s="2489"/>
      <c r="D4" s="2489"/>
      <c r="E4" s="2489"/>
      <c r="F4" s="2489"/>
      <c r="G4" s="2489"/>
      <c r="H4" s="2489"/>
      <c r="I4" s="2489"/>
      <c r="J4" s="2489"/>
      <c r="K4" s="2489"/>
      <c r="L4" s="1945"/>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4</v>
      </c>
      <c r="E8" s="322"/>
      <c r="F8" s="1381" t="s">
        <v>1295</v>
      </c>
      <c r="G8" s="1453"/>
      <c r="H8" s="1454" t="s">
        <v>1307</v>
      </c>
      <c r="I8" s="1453" t="s">
        <v>2067</v>
      </c>
      <c r="J8" s="1455" t="s">
        <v>1306</v>
      </c>
      <c r="L8" s="322"/>
    </row>
    <row r="9" spans="1:12" ht="13.5" customHeight="1" x14ac:dyDescent="0.2">
      <c r="D9" s="322"/>
      <c r="E9" s="322"/>
      <c r="F9" s="322"/>
      <c r="G9" s="1380"/>
      <c r="H9" s="322"/>
      <c r="I9" s="1456" t="s">
        <v>1292</v>
      </c>
      <c r="J9" s="322"/>
      <c r="K9" s="1457">
        <v>2008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t="s">
        <v>2148</v>
      </c>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6"/>
      <c r="E14" s="2496"/>
      <c r="F14" s="2496"/>
      <c r="H14" s="1459" t="s">
        <v>1303</v>
      </c>
      <c r="I14" s="2497"/>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7"/>
      <c r="E16" s="2497"/>
      <c r="F16" s="2497"/>
      <c r="G16" s="2497"/>
      <c r="H16" s="2497"/>
      <c r="I16" s="2497"/>
      <c r="J16" s="2497"/>
      <c r="K16" s="2497"/>
      <c r="L16" s="322"/>
    </row>
    <row r="17" spans="2:12" ht="13.5" customHeight="1" x14ac:dyDescent="0.2">
      <c r="B17" s="1384" t="s">
        <v>1301</v>
      </c>
      <c r="C17" s="1384"/>
      <c r="D17" s="2498"/>
      <c r="E17" s="2498"/>
      <c r="F17" s="2498"/>
      <c r="G17" s="2498"/>
      <c r="H17" s="2498"/>
      <c r="I17" s="2498"/>
      <c r="J17" s="2498"/>
      <c r="K17" s="249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t="s">
        <v>2150</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8" t="s">
        <v>2125</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topLeftCell="A7" zoomScale="110" zoomScaleNormal="110" workbookViewId="0">
      <selection activeCell="B35" sqref="B35:K35"/>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CCSD 146</v>
      </c>
      <c r="C1" s="2493"/>
      <c r="D1" s="2493"/>
      <c r="E1" s="2493"/>
      <c r="F1" s="2493"/>
      <c r="G1" s="2493"/>
      <c r="H1" s="2493"/>
      <c r="I1" s="2493"/>
      <c r="J1" s="2493"/>
      <c r="K1" s="2493"/>
      <c r="L1" s="1449"/>
    </row>
    <row r="2" spans="1:12" ht="12.75" customHeight="1" x14ac:dyDescent="0.2">
      <c r="B2" s="2494">
        <f>'Single Audit Cover'!E7</f>
        <v>7016146004</v>
      </c>
      <c r="C2" s="2494"/>
      <c r="D2" s="2494"/>
      <c r="E2" s="2494"/>
      <c r="F2" s="2494"/>
      <c r="G2" s="2494"/>
      <c r="H2" s="2494"/>
      <c r="I2" s="2494"/>
      <c r="J2" s="2494"/>
      <c r="K2" s="2494"/>
      <c r="L2" s="1450"/>
    </row>
    <row r="3" spans="1:12" ht="12.75" customHeight="1" x14ac:dyDescent="0.2">
      <c r="B3" s="2489" t="s">
        <v>1285</v>
      </c>
      <c r="C3" s="2489"/>
      <c r="D3" s="2489"/>
      <c r="E3" s="2489"/>
      <c r="F3" s="2489"/>
      <c r="G3" s="2489"/>
      <c r="H3" s="2489"/>
      <c r="I3" s="2489"/>
      <c r="J3" s="2489"/>
      <c r="K3" s="2489"/>
      <c r="L3" s="1946"/>
    </row>
    <row r="4" spans="1:12" ht="12.75" customHeight="1" x14ac:dyDescent="0.2">
      <c r="B4" s="2489" t="str">
        <f>'Single Audit Cover'!A4</f>
        <v>Year Ending June 30, 2019</v>
      </c>
      <c r="C4" s="2489"/>
      <c r="D4" s="2489"/>
      <c r="E4" s="2489"/>
      <c r="F4" s="2489"/>
      <c r="G4" s="2489"/>
      <c r="H4" s="2489"/>
      <c r="I4" s="2489"/>
      <c r="J4" s="2489"/>
      <c r="K4" s="2489"/>
      <c r="L4" s="1946"/>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5</v>
      </c>
      <c r="E8" s="322"/>
      <c r="F8" s="1381" t="s">
        <v>1295</v>
      </c>
      <c r="G8" s="1453" t="s">
        <v>2067</v>
      </c>
      <c r="H8" s="1454" t="s">
        <v>1307</v>
      </c>
      <c r="I8" s="1453"/>
      <c r="J8" s="1455" t="s">
        <v>1306</v>
      </c>
      <c r="L8" s="322"/>
    </row>
    <row r="9" spans="1:12" ht="13.5" customHeight="1" x14ac:dyDescent="0.2">
      <c r="D9" s="322"/>
      <c r="E9" s="322"/>
      <c r="F9" s="322"/>
      <c r="G9" s="1380"/>
      <c r="H9" s="322"/>
      <c r="I9" s="1456" t="s">
        <v>1292</v>
      </c>
      <c r="J9" s="322"/>
      <c r="K9" s="1457">
        <v>0</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t="s">
        <v>2148</v>
      </c>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6"/>
      <c r="E14" s="2496"/>
      <c r="F14" s="2496"/>
      <c r="H14" s="1459" t="s">
        <v>1303</v>
      </c>
      <c r="I14" s="2497"/>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7"/>
      <c r="E16" s="2497"/>
      <c r="F16" s="2497"/>
      <c r="G16" s="2497"/>
      <c r="H16" s="2497"/>
      <c r="I16" s="2497"/>
      <c r="J16" s="2497"/>
      <c r="K16" s="2497"/>
      <c r="L16" s="322"/>
    </row>
    <row r="17" spans="2:12" ht="13.5" customHeight="1" x14ac:dyDescent="0.2">
      <c r="B17" s="1384" t="s">
        <v>1301</v>
      </c>
      <c r="C17" s="1384"/>
      <c r="D17" s="2498"/>
      <c r="E17" s="2498"/>
      <c r="F17" s="2498"/>
      <c r="G17" s="2498"/>
      <c r="H17" s="2498"/>
      <c r="I17" s="2498"/>
      <c r="J17" s="2498"/>
      <c r="K17" s="249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3.5" customHeight="1" x14ac:dyDescent="0.2">
      <c r="B20" s="2488" t="s">
        <v>2189</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8" t="s">
        <v>2151</v>
      </c>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0.75" customHeight="1" x14ac:dyDescent="0.2">
      <c r="B26" s="2488" t="s">
        <v>2125</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8" t="s">
        <v>2152</v>
      </c>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t="s">
        <v>2153</v>
      </c>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t="s">
        <v>2206</v>
      </c>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t="s">
        <v>2205</v>
      </c>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8" t="s">
        <v>2154</v>
      </c>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F73"/>
  <sheetViews>
    <sheetView showGridLines="0" topLeftCell="A4" zoomScale="110" zoomScaleNormal="110" workbookViewId="0">
      <selection activeCell="Q25" sqref="Q25"/>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66" t="str">
        <f>'Single Audit Cover'!A7</f>
        <v>CCSD 146</v>
      </c>
      <c r="C1" s="2466"/>
      <c r="D1" s="2466"/>
      <c r="E1" s="2466"/>
      <c r="F1" s="1469"/>
    </row>
    <row r="2" spans="2:6" s="1279" customFormat="1" ht="12.75" customHeight="1" x14ac:dyDescent="0.2">
      <c r="B2" s="2468">
        <f>'Single Audit Cover'!E7</f>
        <v>7016146004</v>
      </c>
      <c r="C2" s="2468"/>
      <c r="D2" s="2468"/>
      <c r="E2" s="2468"/>
      <c r="F2" s="1470"/>
    </row>
    <row r="3" spans="2:6" ht="12.75" customHeight="1" x14ac:dyDescent="0.2">
      <c r="B3" s="2489" t="s">
        <v>1764</v>
      </c>
      <c r="C3" s="2489"/>
      <c r="D3" s="2489"/>
      <c r="E3" s="2489"/>
      <c r="F3" s="1271"/>
    </row>
    <row r="4" spans="2:6" s="1279" customFormat="1" ht="12.75" customHeight="1" x14ac:dyDescent="0.2">
      <c r="B4" s="2499" t="str">
        <f>'Single Audit Cover'!A4</f>
        <v>Year Ending June 30, 2019</v>
      </c>
      <c r="C4" s="2499"/>
      <c r="D4" s="2499"/>
      <c r="E4" s="2499"/>
      <c r="F4" s="1471"/>
    </row>
    <row r="5" spans="2:6" s="1279" customFormat="1" ht="40.15" customHeight="1" x14ac:dyDescent="0.2">
      <c r="B5" s="1472"/>
      <c r="C5" s="328"/>
      <c r="D5" s="328"/>
      <c r="E5" s="328"/>
      <c r="F5" s="328"/>
    </row>
    <row r="6" spans="2:6" s="1279" customFormat="1" ht="13.5" customHeight="1" x14ac:dyDescent="0.2">
      <c r="B6" s="1473" t="s">
        <v>1315</v>
      </c>
      <c r="C6" s="1473" t="s">
        <v>1314</v>
      </c>
      <c r="D6" s="1473"/>
      <c r="E6" s="1473" t="s">
        <v>1765</v>
      </c>
    </row>
    <row r="7" spans="2:6" ht="13.5" customHeight="1" x14ac:dyDescent="0.2">
      <c r="B7" s="1474"/>
      <c r="C7" s="324"/>
      <c r="D7" s="324"/>
      <c r="E7" s="324"/>
      <c r="F7" s="324"/>
    </row>
    <row r="8" spans="2:6" ht="13.5" customHeight="1" x14ac:dyDescent="0.2">
      <c r="B8" s="1474" t="s">
        <v>2155</v>
      </c>
      <c r="C8" s="2487" t="s">
        <v>2136</v>
      </c>
      <c r="D8" s="324"/>
      <c r="E8" s="324" t="s">
        <v>2156</v>
      </c>
      <c r="F8" s="324"/>
    </row>
    <row r="9" spans="2:6" ht="13.5" customHeight="1" x14ac:dyDescent="0.2">
      <c r="B9" s="1475"/>
      <c r="C9" s="2487"/>
      <c r="D9" s="323"/>
      <c r="E9" s="323"/>
      <c r="F9" s="323"/>
    </row>
    <row r="10" spans="2:6" ht="13.5" customHeight="1" x14ac:dyDescent="0.2">
      <c r="B10" s="1474"/>
      <c r="C10" s="323"/>
      <c r="D10" s="323"/>
      <c r="E10" s="323"/>
      <c r="F10" s="323"/>
    </row>
    <row r="11" spans="2:6" ht="13.5" customHeight="1" x14ac:dyDescent="0.2">
      <c r="B11" s="1474" t="s">
        <v>2157</v>
      </c>
      <c r="C11" s="2488" t="s">
        <v>2143</v>
      </c>
      <c r="D11" s="323"/>
      <c r="E11" s="323" t="s">
        <v>2158</v>
      </c>
      <c r="F11" s="323"/>
    </row>
    <row r="12" spans="2:6" ht="13.5" customHeight="1" x14ac:dyDescent="0.2">
      <c r="B12" s="1474"/>
      <c r="C12" s="2488"/>
      <c r="D12" s="323"/>
      <c r="E12" s="323"/>
      <c r="F12" s="323"/>
    </row>
    <row r="13" spans="2:6" ht="13.5" customHeight="1" x14ac:dyDescent="0.2">
      <c r="B13" s="1474"/>
      <c r="C13" s="2488"/>
      <c r="D13" s="323"/>
      <c r="E13" s="323"/>
      <c r="F13" s="323"/>
    </row>
    <row r="14" spans="2:6" ht="13.5" customHeight="1" x14ac:dyDescent="0.2">
      <c r="B14" s="1474"/>
      <c r="C14" s="323"/>
      <c r="D14" s="323"/>
      <c r="E14" s="323"/>
      <c r="F14" s="323"/>
    </row>
    <row r="15" spans="2:6" ht="13.5" customHeight="1" x14ac:dyDescent="0.2">
      <c r="B15" s="1474" t="s">
        <v>2159</v>
      </c>
      <c r="C15" s="2487" t="s">
        <v>2136</v>
      </c>
      <c r="D15" s="323"/>
      <c r="E15" s="323" t="s">
        <v>2160</v>
      </c>
      <c r="F15" s="323"/>
    </row>
    <row r="16" spans="2:6" ht="13.5" customHeight="1" x14ac:dyDescent="0.2">
      <c r="B16" s="1474"/>
      <c r="C16" s="2487"/>
      <c r="D16" s="323"/>
      <c r="E16" s="323"/>
      <c r="F16" s="323"/>
    </row>
    <row r="17" spans="2:6" ht="13.5" customHeight="1" x14ac:dyDescent="0.2">
      <c r="B17" s="1474"/>
      <c r="C17" s="323"/>
      <c r="D17" s="323"/>
      <c r="E17" s="323"/>
      <c r="F17" s="323"/>
    </row>
    <row r="18" spans="2:6" ht="13.5" customHeight="1" x14ac:dyDescent="0.2">
      <c r="B18" s="1474" t="s">
        <v>2161</v>
      </c>
      <c r="C18" s="2488" t="s">
        <v>2143</v>
      </c>
      <c r="D18" s="323"/>
      <c r="E18" s="323" t="s">
        <v>2162</v>
      </c>
      <c r="F18" s="323"/>
    </row>
    <row r="19" spans="2:6" ht="13.5" customHeight="1" x14ac:dyDescent="0.2">
      <c r="B19" s="1474"/>
      <c r="C19" s="2488"/>
      <c r="D19" s="323"/>
      <c r="E19" s="323"/>
      <c r="F19" s="323"/>
    </row>
    <row r="20" spans="2:6" ht="13.5" customHeight="1" x14ac:dyDescent="0.2">
      <c r="B20" s="1474"/>
      <c r="C20" s="2488"/>
      <c r="D20" s="323"/>
      <c r="E20" s="323"/>
      <c r="F20" s="323"/>
    </row>
    <row r="21" spans="2:6" ht="13.5" customHeight="1" x14ac:dyDescent="0.2">
      <c r="B21" s="1474"/>
      <c r="C21" s="323"/>
      <c r="D21" s="323"/>
      <c r="E21" s="323"/>
      <c r="F21" s="323"/>
    </row>
    <row r="22" spans="2:6" ht="13.5" customHeight="1" x14ac:dyDescent="0.2">
      <c r="B22" s="1474"/>
      <c r="C22" s="323"/>
      <c r="D22" s="323"/>
      <c r="E22" s="323"/>
      <c r="F22" s="323"/>
    </row>
    <row r="23" spans="2:6" ht="13.5" customHeight="1" x14ac:dyDescent="0.2">
      <c r="B23" s="1474"/>
      <c r="C23" s="323"/>
      <c r="D23" s="323"/>
      <c r="E23" s="323"/>
      <c r="F23" s="323"/>
    </row>
    <row r="24" spans="2:6" ht="13.5" customHeight="1" x14ac:dyDescent="0.2">
      <c r="B24" s="1474"/>
      <c r="C24" s="323"/>
      <c r="D24" s="323"/>
      <c r="E24" s="323"/>
      <c r="F24" s="323"/>
    </row>
    <row r="25" spans="2:6" ht="13.5" customHeight="1" x14ac:dyDescent="0.2">
      <c r="B25" s="1474"/>
      <c r="C25" s="323"/>
      <c r="D25" s="323"/>
      <c r="E25" s="323"/>
      <c r="F25" s="323"/>
    </row>
    <row r="26" spans="2:6" ht="13.5" customHeight="1" x14ac:dyDescent="0.2">
      <c r="B26" s="1474"/>
      <c r="C26" s="323"/>
      <c r="D26" s="323"/>
      <c r="E26" s="323"/>
      <c r="F26" s="323"/>
    </row>
    <row r="27" spans="2:6" ht="13.5" customHeight="1" x14ac:dyDescent="0.2">
      <c r="B27" s="1474"/>
      <c r="C27" s="323"/>
      <c r="D27" s="323"/>
      <c r="E27" s="323"/>
      <c r="F27" s="323"/>
    </row>
    <row r="28" spans="2:6" ht="13.5" customHeight="1" x14ac:dyDescent="0.2">
      <c r="B28" s="1474"/>
      <c r="C28" s="323"/>
      <c r="D28" s="323"/>
      <c r="E28" s="323"/>
      <c r="F28" s="323"/>
    </row>
    <row r="29" spans="2:6" ht="13.5" customHeight="1" x14ac:dyDescent="0.2">
      <c r="B29" s="1474"/>
      <c r="C29" s="323"/>
      <c r="D29" s="323"/>
      <c r="E29" s="323"/>
      <c r="F29" s="323"/>
    </row>
    <row r="30" spans="2:6" ht="13.5" customHeight="1" x14ac:dyDescent="0.2">
      <c r="B30" s="1474"/>
      <c r="C30" s="323"/>
      <c r="D30" s="323"/>
      <c r="E30" s="323"/>
      <c r="F30" s="323"/>
    </row>
    <row r="31" spans="2:6" ht="13.5" customHeight="1" x14ac:dyDescent="0.2">
      <c r="B31" s="1474"/>
      <c r="C31" s="323"/>
      <c r="D31" s="323"/>
      <c r="E31" s="323"/>
      <c r="F31" s="323"/>
    </row>
    <row r="32" spans="2:6" ht="13.5" customHeight="1" x14ac:dyDescent="0.2">
      <c r="B32" s="1476"/>
      <c r="C32" s="323"/>
      <c r="D32" s="323"/>
      <c r="E32" s="323"/>
      <c r="F32" s="323"/>
    </row>
    <row r="33" spans="2:6" ht="13.5" customHeight="1" x14ac:dyDescent="0.2">
      <c r="B33" s="1477"/>
      <c r="C33" s="323"/>
      <c r="D33" s="323"/>
      <c r="E33" s="323"/>
      <c r="F33" s="323"/>
    </row>
    <row r="34" spans="2:6" ht="13.5" customHeight="1" x14ac:dyDescent="0.2">
      <c r="B34" s="1478"/>
      <c r="C34" s="323"/>
      <c r="D34" s="323"/>
      <c r="E34" s="323"/>
      <c r="F34" s="323"/>
    </row>
    <row r="35" spans="2:6" ht="13.5" customHeight="1" x14ac:dyDescent="0.2">
      <c r="B35" s="1477"/>
      <c r="C35" s="323"/>
      <c r="D35" s="323"/>
      <c r="E35" s="323"/>
      <c r="F35" s="323"/>
    </row>
    <row r="36" spans="2:6" ht="13.5" customHeight="1" x14ac:dyDescent="0.2">
      <c r="B36" s="1478"/>
      <c r="C36" s="323"/>
      <c r="D36" s="323"/>
      <c r="E36" s="323"/>
      <c r="F36" s="323"/>
    </row>
    <row r="37" spans="2:6" ht="13.5" customHeight="1" x14ac:dyDescent="0.2">
      <c r="B37" s="1478"/>
      <c r="C37" s="323"/>
      <c r="D37" s="323"/>
      <c r="E37" s="323"/>
      <c r="F37" s="323"/>
    </row>
    <row r="38" spans="2:6" ht="13.5" customHeight="1" x14ac:dyDescent="0.2">
      <c r="B38" s="1477"/>
      <c r="C38" s="323"/>
      <c r="D38" s="323"/>
      <c r="E38" s="323"/>
      <c r="F38" s="323"/>
    </row>
    <row r="39" spans="2:6" ht="13.5" customHeight="1" x14ac:dyDescent="0.2">
      <c r="B39" s="1478"/>
      <c r="C39" s="323"/>
      <c r="D39" s="323"/>
      <c r="E39" s="323"/>
      <c r="F39" s="323"/>
    </row>
    <row r="40" spans="2:6" ht="13.5" customHeight="1" x14ac:dyDescent="0.2">
      <c r="B40" s="1477"/>
      <c r="C40" s="323"/>
      <c r="D40" s="323"/>
      <c r="E40" s="323"/>
      <c r="F40" s="323"/>
    </row>
    <row r="41" spans="2:6" ht="13.5" customHeight="1" x14ac:dyDescent="0.2">
      <c r="B41" s="1479"/>
      <c r="C41" s="323"/>
      <c r="D41" s="323"/>
      <c r="E41" s="323"/>
      <c r="F41" s="323"/>
    </row>
    <row r="42" spans="2:6" ht="13.5" customHeight="1" x14ac:dyDescent="0.2">
      <c r="B42" s="1480"/>
      <c r="C42" s="323"/>
      <c r="D42" s="323"/>
      <c r="E42" s="323"/>
      <c r="F42" s="323"/>
    </row>
    <row r="43" spans="2:6" ht="12.75" customHeight="1" x14ac:dyDescent="0.2">
      <c r="B43" s="1481"/>
      <c r="C43" s="1482"/>
      <c r="D43" s="1482"/>
      <c r="E43" s="1482"/>
      <c r="F43" s="323"/>
    </row>
    <row r="44" spans="2:6" ht="12.2" customHeight="1" x14ac:dyDescent="0.2">
      <c r="B44" s="1254" t="s">
        <v>1313</v>
      </c>
      <c r="C44" s="322"/>
      <c r="D44" s="322"/>
    </row>
    <row r="45" spans="2:6" ht="12.2" customHeight="1" x14ac:dyDescent="0.2">
      <c r="B45" s="1483" t="s">
        <v>1766</v>
      </c>
    </row>
    <row r="46" spans="2:6" ht="12.2" customHeight="1" x14ac:dyDescent="0.2">
      <c r="B46" s="1483" t="s">
        <v>1767</v>
      </c>
    </row>
    <row r="47" spans="2:6" ht="12.2" customHeight="1" x14ac:dyDescent="0.2">
      <c r="B47" s="1484" t="s">
        <v>1312</v>
      </c>
    </row>
    <row r="48" spans="2:6" ht="12.2" customHeight="1" x14ac:dyDescent="0.2">
      <c r="B48" s="1484" t="s">
        <v>1311</v>
      </c>
    </row>
    <row r="49" spans="2:6" ht="12.2" customHeight="1" x14ac:dyDescent="0.2">
      <c r="B49" s="1484" t="s">
        <v>1310</v>
      </c>
    </row>
    <row r="50" spans="2:6" ht="12.2" customHeight="1" x14ac:dyDescent="0.2">
      <c r="B50" s="1484"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8">
    <mergeCell ref="C11:C13"/>
    <mergeCell ref="C15:C16"/>
    <mergeCell ref="C18:C20"/>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S36" sqref="S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386</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638572244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4.2049000000000003E-2</v>
      </c>
      <c r="E10" s="356" t="s">
        <v>1005</v>
      </c>
      <c r="F10" s="355">
        <v>5.0489999999999997E-3</v>
      </c>
      <c r="G10" s="356" t="s">
        <v>1005</v>
      </c>
      <c r="H10" s="355">
        <v>2.9359999999999998E-3</v>
      </c>
      <c r="I10" s="356" t="s">
        <v>1006</v>
      </c>
      <c r="J10" s="1732">
        <f>ROUND(D10+F10+H10,5)</f>
        <v>5.0029999999999998E-2</v>
      </c>
      <c r="K10" s="222"/>
      <c r="L10" s="355">
        <v>4.6000000000000001E-4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37841085</v>
      </c>
      <c r="E16" s="356"/>
      <c r="F16" s="1733">
        <f>SUM('Acct Summary 7-8'!C17,'Acct Summary 7-8'!D17,'Acct Summary 7-8'!F17)</f>
        <v>36340361</v>
      </c>
      <c r="G16" s="356"/>
      <c r="H16" s="1733">
        <f>SUM(D16-F16)</f>
        <v>1500724</v>
      </c>
      <c r="I16" s="222"/>
      <c r="J16" s="1733">
        <f>SUM('Acct Summary 7-8'!C81,'Acct Summary 7-8'!D81,'Acct Summary 7-8'!F81,'Acct Summary 7-8'!I81)</f>
        <v>30317362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44061484.836000003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24620000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C13" sqref="C13:D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556</v>
      </c>
      <c r="B2" s="2116"/>
      <c r="C2" s="2116"/>
      <c r="D2" s="2116"/>
      <c r="E2" s="2116"/>
      <c r="F2" s="2116"/>
      <c r="G2" s="2116"/>
      <c r="H2" s="2116"/>
      <c r="I2" s="2116"/>
      <c r="J2" s="2116"/>
      <c r="K2" s="2116"/>
      <c r="L2" s="2116"/>
      <c r="M2" s="2116"/>
      <c r="N2" s="2116"/>
      <c r="O2" s="2116"/>
      <c r="P2" s="2116"/>
      <c r="Q2" s="2116"/>
      <c r="R2" s="2116"/>
    </row>
    <row r="3" spans="1:18" ht="12.75" x14ac:dyDescent="0.2">
      <c r="A3" s="2117" t="s">
        <v>1413</v>
      </c>
      <c r="B3" s="2117"/>
      <c r="C3" s="2117"/>
      <c r="D3" s="2117"/>
      <c r="E3" s="2117"/>
      <c r="F3" s="2117"/>
      <c r="G3" s="2117"/>
      <c r="H3" s="2117"/>
      <c r="I3" s="2117"/>
      <c r="J3" s="2117"/>
      <c r="K3" s="2117"/>
      <c r="L3" s="2117"/>
      <c r="M3" s="2117"/>
      <c r="N3" s="2117"/>
      <c r="O3" s="2117"/>
      <c r="P3" s="2117"/>
      <c r="Q3" s="2117"/>
      <c r="R3" s="2117"/>
    </row>
    <row r="4" spans="1:18" x14ac:dyDescent="0.2">
      <c r="A4" s="2118" t="s">
        <v>1554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CCSD 146</v>
      </c>
      <c r="E7" s="391"/>
      <c r="G7" s="252"/>
      <c r="H7" s="387"/>
      <c r="I7" s="387"/>
      <c r="J7" s="387"/>
      <c r="K7" s="387"/>
      <c r="L7" s="329"/>
      <c r="M7" s="329"/>
      <c r="N7" s="329"/>
      <c r="O7" s="329"/>
      <c r="P7" s="329"/>
    </row>
    <row r="8" spans="1:18" ht="12.75" x14ac:dyDescent="0.2">
      <c r="A8" s="329"/>
      <c r="B8" s="329"/>
      <c r="C8" s="389" t="s">
        <v>1125</v>
      </c>
      <c r="D8" s="392">
        <f>COVER!A13</f>
        <v>7016146004</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30317362</v>
      </c>
      <c r="I12" s="404"/>
      <c r="J12" s="404"/>
      <c r="K12" s="405">
        <f>TRUNC((H12/H13*100000),5)/100000</f>
        <v>0.80117581189999998</v>
      </c>
      <c r="L12" s="406"/>
      <c r="M12" s="360" t="s">
        <v>1144</v>
      </c>
      <c r="N12" s="360"/>
      <c r="O12" s="407">
        <v>0.35</v>
      </c>
      <c r="P12" s="218"/>
      <c r="Q12" s="218"/>
    </row>
    <row r="13" spans="1:18" s="408" customFormat="1" ht="12.75" x14ac:dyDescent="0.2">
      <c r="A13" s="218"/>
      <c r="B13" s="401"/>
      <c r="C13" s="2114" t="s">
        <v>1324</v>
      </c>
      <c r="D13" s="2115"/>
      <c r="E13" s="218"/>
      <c r="F13" s="409" t="s">
        <v>793</v>
      </c>
      <c r="G13" s="402"/>
      <c r="H13" s="403">
        <f>SUM('Acct Summary 7-8'!C8+'Acct Summary 7-8'!D8+'Acct Summary 7-8'!F8+'Acct Summary 7-8'!I8)+H14</f>
        <v>37841085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36340361</v>
      </c>
      <c r="I17" s="404"/>
      <c r="J17" s="416"/>
      <c r="K17" s="405">
        <f>TRUNC((H17/H18*100000),5)/100000</f>
        <v>0.9603414119</v>
      </c>
      <c r="L17" s="406"/>
      <c r="M17" s="417" t="s">
        <v>1171</v>
      </c>
      <c r="O17" s="418" t="str">
        <f>IF(AND(O16="2", J20 &gt; 2),"1",IF(AND(O16 = "1", J20 &gt; 2),"2",IF(AND(O16="1", J20 &gt;1),"1","0")))</f>
        <v>0</v>
      </c>
      <c r="P17" s="218"/>
    </row>
    <row r="18" spans="1:18" s="408" customFormat="1" ht="11.25" x14ac:dyDescent="0.2">
      <c r="A18" s="218"/>
      <c r="B18" s="401"/>
      <c r="C18" s="2114" t="s">
        <v>1317</v>
      </c>
      <c r="D18" s="2115"/>
      <c r="E18" s="218"/>
      <c r="F18" s="419" t="s">
        <v>794</v>
      </c>
      <c r="G18" s="402"/>
      <c r="H18" s="403">
        <f>SUM('Acct Summary 7-8'!C8+'Acct Summary 7-8'!D8+'Acct Summary 7-8'!F8+'Acct Summary 7-8'!I8)+H19</f>
        <v>37841085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1" t="s">
        <v>1412</v>
      </c>
      <c r="D24" s="2111"/>
      <c r="E24" s="218"/>
      <c r="F24" s="218" t="s">
        <v>445</v>
      </c>
      <c r="G24" s="402"/>
      <c r="H24" s="403">
        <f>SUM('Assets-Liab 5-6'!C4+'Assets-Liab 5-6'!D4+'Assets-Liab 5-6'!F4+'Assets-Liab 5-6'!I4+'Assets-Liab 5-6'!C5+'Assets-Liab 5-6'!D5+'Assets-Liab 5-6'!F5+'Assets-Liab 5-6'!I5)</f>
        <v>30292441</v>
      </c>
      <c r="I24" s="422"/>
      <c r="J24" s="422"/>
      <c r="K24" s="423">
        <f>TRUNC(((H24/H25*100000)/100000),2)</f>
        <v>300.08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100945.44722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27155603.962219998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24620000</v>
      </c>
      <c r="I32" s="420"/>
      <c r="J32" s="420"/>
      <c r="K32" s="423">
        <f>TRUNC(100-((((H32/H33*100))*100)/100),2)</f>
        <v>44.12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44061484.836000003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5" sqref="C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1" t="s">
        <v>973</v>
      </c>
      <c r="B3" s="2122"/>
      <c r="C3" s="1559"/>
      <c r="D3" s="1560"/>
      <c r="E3" s="1560"/>
      <c r="F3" s="1560"/>
      <c r="G3" s="1560"/>
      <c r="H3" s="1560"/>
      <c r="I3" s="1560"/>
      <c r="J3" s="1560"/>
      <c r="K3" s="1560"/>
      <c r="L3" s="1560"/>
      <c r="M3" s="1561"/>
      <c r="N3" s="1562"/>
    </row>
    <row r="4" spans="1:14" ht="13.5" customHeight="1" x14ac:dyDescent="0.2">
      <c r="A4" s="463" t="s">
        <v>1651</v>
      </c>
      <c r="B4" s="464"/>
      <c r="C4" s="465">
        <f>22949824+1664093</f>
        <v>24613917</v>
      </c>
      <c r="D4" s="466">
        <v>3080613</v>
      </c>
      <c r="E4" s="466">
        <v>2347829</v>
      </c>
      <c r="F4" s="466">
        <v>2036106</v>
      </c>
      <c r="G4" s="466">
        <v>730331</v>
      </c>
      <c r="H4" s="466">
        <v>5349696</v>
      </c>
      <c r="I4" s="466">
        <v>561805</v>
      </c>
      <c r="J4" s="467">
        <v>617139</v>
      </c>
      <c r="K4" s="466">
        <v>353237</v>
      </c>
      <c r="L4" s="466">
        <v>92891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f>12694916+2455</f>
        <v>12697371</v>
      </c>
      <c r="D6" s="466">
        <v>1523795</v>
      </c>
      <c r="E6" s="466">
        <v>494432</v>
      </c>
      <c r="F6" s="466">
        <v>885990</v>
      </c>
      <c r="G6" s="471">
        <v>513872</v>
      </c>
      <c r="H6" s="471"/>
      <c r="I6" s="466">
        <v>138664</v>
      </c>
      <c r="J6" s="474">
        <v>99701</v>
      </c>
      <c r="K6" s="471">
        <v>2455</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621246</v>
      </c>
      <c r="D8" s="467"/>
      <c r="E8" s="467"/>
      <c r="F8" s="467">
        <v>185255</v>
      </c>
      <c r="G8" s="478"/>
      <c r="H8" s="467"/>
      <c r="I8" s="474"/>
      <c r="J8" s="474"/>
      <c r="K8" s="479"/>
      <c r="L8" s="480"/>
      <c r="M8" s="468"/>
      <c r="N8" s="469"/>
    </row>
    <row r="9" spans="1:14" ht="13.5" customHeight="1" x14ac:dyDescent="0.2">
      <c r="A9" s="473" t="s">
        <v>270</v>
      </c>
      <c r="B9" s="470">
        <v>160</v>
      </c>
      <c r="C9" s="476">
        <f>137513+9362</f>
        <v>146875</v>
      </c>
      <c r="D9" s="467">
        <v>17587</v>
      </c>
      <c r="E9" s="467">
        <v>16517</v>
      </c>
      <c r="F9" s="467">
        <v>9004</v>
      </c>
      <c r="G9" s="467">
        <v>4328</v>
      </c>
      <c r="H9" s="478">
        <v>29918</v>
      </c>
      <c r="I9" s="467">
        <v>1891</v>
      </c>
      <c r="J9" s="467">
        <v>3408</v>
      </c>
      <c r="K9" s="467">
        <v>2010</v>
      </c>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v>52349</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38079409</v>
      </c>
      <c r="D13" s="1737">
        <f t="shared" ref="D13:L13" si="0">SUM(D4:D12)</f>
        <v>4621995</v>
      </c>
      <c r="E13" s="1737">
        <f t="shared" si="0"/>
        <v>2858778</v>
      </c>
      <c r="F13" s="1737">
        <f t="shared" si="0"/>
        <v>3116355</v>
      </c>
      <c r="G13" s="1737">
        <f t="shared" si="0"/>
        <v>1248531</v>
      </c>
      <c r="H13" s="1737">
        <f t="shared" si="0"/>
        <v>5379614</v>
      </c>
      <c r="I13" s="1737">
        <f t="shared" si="0"/>
        <v>702360</v>
      </c>
      <c r="J13" s="1737">
        <f t="shared" si="0"/>
        <v>772597</v>
      </c>
      <c r="K13" s="1737">
        <f t="shared" si="0"/>
        <v>357702</v>
      </c>
      <c r="L13" s="1737">
        <f t="shared" si="0"/>
        <v>92891</v>
      </c>
      <c r="M13" s="468"/>
      <c r="N13" s="469"/>
    </row>
    <row r="14" spans="1:14" ht="18" customHeight="1" thickTop="1" x14ac:dyDescent="0.2">
      <c r="A14" s="2123" t="s">
        <v>147</v>
      </c>
      <c r="B14" s="212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5311469</v>
      </c>
      <c r="N16" s="484"/>
    </row>
    <row r="17" spans="1:14" s="485" customFormat="1" ht="12.75" customHeight="1" x14ac:dyDescent="0.2">
      <c r="A17" s="482" t="s">
        <v>1403</v>
      </c>
      <c r="B17" s="483">
        <v>230</v>
      </c>
      <c r="C17" s="477"/>
      <c r="D17" s="477"/>
      <c r="E17" s="477"/>
      <c r="F17" s="477"/>
      <c r="G17" s="477"/>
      <c r="H17" s="477"/>
      <c r="I17" s="477"/>
      <c r="J17" s="477"/>
      <c r="K17" s="477"/>
      <c r="L17" s="477"/>
      <c r="M17" s="467">
        <v>45754550</v>
      </c>
      <c r="N17" s="484"/>
    </row>
    <row r="18" spans="1:14" s="485" customFormat="1" ht="12.75" customHeight="1" x14ac:dyDescent="0.2">
      <c r="A18" s="482" t="s">
        <v>1404</v>
      </c>
      <c r="B18" s="483">
        <v>240</v>
      </c>
      <c r="C18" s="477"/>
      <c r="D18" s="477"/>
      <c r="E18" s="477"/>
      <c r="F18" s="477"/>
      <c r="G18" s="477"/>
      <c r="H18" s="477"/>
      <c r="I18" s="477"/>
      <c r="J18" s="477"/>
      <c r="K18" s="477"/>
      <c r="L18" s="477"/>
      <c r="M18" s="467">
        <v>8251004</v>
      </c>
      <c r="N18" s="484"/>
    </row>
    <row r="19" spans="1:14" s="485" customFormat="1" ht="12.75" customHeight="1" x14ac:dyDescent="0.2">
      <c r="A19" s="482" t="s">
        <v>1405</v>
      </c>
      <c r="B19" s="483">
        <v>250</v>
      </c>
      <c r="C19" s="477"/>
      <c r="D19" s="477"/>
      <c r="E19" s="477"/>
      <c r="F19" s="477"/>
      <c r="G19" s="477"/>
      <c r="H19" s="477"/>
      <c r="I19" s="477"/>
      <c r="J19" s="477"/>
      <c r="K19" s="477"/>
      <c r="L19" s="477"/>
      <c r="M19" s="467">
        <v>14432048</v>
      </c>
      <c r="N19" s="484"/>
    </row>
    <row r="20" spans="1:14" s="485" customFormat="1" ht="12.75" customHeight="1" x14ac:dyDescent="0.2">
      <c r="A20" s="482" t="s">
        <v>1406</v>
      </c>
      <c r="B20" s="483">
        <v>260</v>
      </c>
      <c r="C20" s="477"/>
      <c r="D20" s="477"/>
      <c r="E20" s="477"/>
      <c r="F20" s="477"/>
      <c r="G20" s="477"/>
      <c r="H20" s="477"/>
      <c r="I20" s="477"/>
      <c r="J20" s="477"/>
      <c r="K20" s="477"/>
      <c r="L20" s="477"/>
      <c r="M20" s="467">
        <v>17040471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1828445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22791555</v>
      </c>
    </row>
    <row r="23" spans="1:14" ht="13.5" customHeight="1" thickBot="1" x14ac:dyDescent="0.25">
      <c r="A23" s="1736" t="s">
        <v>643</v>
      </c>
      <c r="B23" s="1741"/>
      <c r="C23" s="468"/>
      <c r="D23" s="468"/>
      <c r="E23" s="468"/>
      <c r="F23" s="468"/>
      <c r="G23" s="468"/>
      <c r="H23" s="468"/>
      <c r="I23" s="468"/>
      <c r="J23" s="468"/>
      <c r="K23" s="468"/>
      <c r="L23" s="468"/>
      <c r="M23" s="1688">
        <f>SUM(M15:M22)</f>
        <v>90789542</v>
      </c>
      <c r="N23" s="1688">
        <f>SUM(N21:N22)</f>
        <v>24620000</v>
      </c>
    </row>
    <row r="24" spans="1:14" ht="18" customHeight="1" thickTop="1" x14ac:dyDescent="0.2">
      <c r="A24" s="2125" t="s">
        <v>598</v>
      </c>
      <c r="B24" s="212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266828</v>
      </c>
      <c r="D27" s="467">
        <v>249392</v>
      </c>
      <c r="E27" s="467"/>
      <c r="F27" s="467">
        <v>17921</v>
      </c>
      <c r="G27" s="467"/>
      <c r="H27" s="467">
        <v>1972252</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13025385+2498+25588</f>
        <v>13053471</v>
      </c>
      <c r="D32" s="492">
        <v>1563592</v>
      </c>
      <c r="E32" s="474">
        <v>1030333</v>
      </c>
      <c r="F32" s="474">
        <v>909181</v>
      </c>
      <c r="G32" s="474">
        <v>527025</v>
      </c>
      <c r="H32" s="474"/>
      <c r="I32" s="474">
        <v>142372</v>
      </c>
      <c r="J32" s="474">
        <v>102408</v>
      </c>
      <c r="K32" s="479">
        <v>2498</v>
      </c>
      <c r="L32" s="468"/>
      <c r="M32" s="468"/>
      <c r="N32" s="468"/>
    </row>
    <row r="33" spans="1:14" ht="13.5" customHeight="1" x14ac:dyDescent="0.2">
      <c r="A33" s="493" t="s">
        <v>303</v>
      </c>
      <c r="B33" s="491">
        <v>493</v>
      </c>
      <c r="C33" s="467"/>
      <c r="D33" s="467"/>
      <c r="E33" s="467"/>
      <c r="F33" s="467"/>
      <c r="G33" s="467"/>
      <c r="H33" s="467"/>
      <c r="I33" s="467"/>
      <c r="J33" s="467"/>
      <c r="K33" s="467"/>
      <c r="L33" s="467">
        <v>92891</v>
      </c>
      <c r="M33" s="468"/>
      <c r="N33" s="469"/>
    </row>
    <row r="34" spans="1:14" ht="13.5" customHeight="1" thickBot="1" x14ac:dyDescent="0.25">
      <c r="A34" s="1738" t="s">
        <v>654</v>
      </c>
      <c r="B34" s="1739"/>
      <c r="C34" s="1740">
        <f>SUM(C25:C33)</f>
        <v>13320299</v>
      </c>
      <c r="D34" s="1740">
        <f t="shared" ref="D34:K34" si="1">SUM(D25:D33)</f>
        <v>1812984</v>
      </c>
      <c r="E34" s="1740">
        <f t="shared" si="1"/>
        <v>1030333</v>
      </c>
      <c r="F34" s="1740">
        <f t="shared" si="1"/>
        <v>927102</v>
      </c>
      <c r="G34" s="1740">
        <f t="shared" si="1"/>
        <v>527025</v>
      </c>
      <c r="H34" s="1740">
        <f t="shared" si="1"/>
        <v>1972252</v>
      </c>
      <c r="I34" s="1740">
        <f t="shared" si="1"/>
        <v>142372</v>
      </c>
      <c r="J34" s="1740">
        <f t="shared" si="1"/>
        <v>102408</v>
      </c>
      <c r="K34" s="1740">
        <f t="shared" si="1"/>
        <v>2498</v>
      </c>
      <c r="L34" s="1721">
        <f>SUM(L33)</f>
        <v>92891</v>
      </c>
      <c r="M34" s="468"/>
      <c r="N34" s="480"/>
    </row>
    <row r="35" spans="1:14" ht="18" customHeight="1" thickTop="1" x14ac:dyDescent="0.2">
      <c r="A35" s="2127" t="s">
        <v>529</v>
      </c>
      <c r="B35" s="212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24620000</v>
      </c>
    </row>
    <row r="37" spans="1:14" ht="13.5" thickBot="1" x14ac:dyDescent="0.25">
      <c r="A37" s="1736" t="s">
        <v>653</v>
      </c>
      <c r="B37" s="1741"/>
      <c r="C37" s="477"/>
      <c r="D37" s="477"/>
      <c r="E37" s="477"/>
      <c r="F37" s="477"/>
      <c r="G37" s="477"/>
      <c r="H37" s="477"/>
      <c r="I37" s="477"/>
      <c r="J37" s="477"/>
      <c r="K37" s="477"/>
      <c r="L37" s="480"/>
      <c r="M37" s="468"/>
      <c r="N37" s="1688">
        <f>SUM(N36:N36)</f>
        <v>24620000</v>
      </c>
    </row>
    <row r="38" spans="1:14" s="329" customFormat="1" ht="13.5" customHeight="1" thickTop="1" x14ac:dyDescent="0.2">
      <c r="A38" s="496" t="s">
        <v>420</v>
      </c>
      <c r="B38" s="483">
        <v>714</v>
      </c>
      <c r="C38" s="466"/>
      <c r="D38" s="466">
        <v>2809011</v>
      </c>
      <c r="E38" s="466">
        <v>1828445</v>
      </c>
      <c r="F38" s="466">
        <v>2189253</v>
      </c>
      <c r="G38" s="466">
        <f>717266+4240</f>
        <v>721506</v>
      </c>
      <c r="H38" s="466">
        <v>3407362</v>
      </c>
      <c r="I38" s="466"/>
      <c r="J38" s="467">
        <v>670189</v>
      </c>
      <c r="K38" s="466">
        <v>355204</v>
      </c>
      <c r="L38" s="481"/>
      <c r="M38" s="497"/>
      <c r="N38" s="497"/>
    </row>
    <row r="39" spans="1:14" s="329" customFormat="1" ht="13.5" customHeight="1" x14ac:dyDescent="0.2">
      <c r="A39" s="496" t="s">
        <v>342</v>
      </c>
      <c r="B39" s="483">
        <v>730</v>
      </c>
      <c r="C39" s="466">
        <f>23085698+1673412</f>
        <v>24759110</v>
      </c>
      <c r="D39" s="466"/>
      <c r="E39" s="466"/>
      <c r="F39" s="466"/>
      <c r="G39" s="466"/>
      <c r="H39" s="466"/>
      <c r="I39" s="466">
        <v>559988</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90789542</v>
      </c>
      <c r="N40" s="497"/>
    </row>
    <row r="41" spans="1:14" ht="13.5" customHeight="1" thickBot="1" x14ac:dyDescent="0.25">
      <c r="A41" s="1736" t="s">
        <v>655</v>
      </c>
      <c r="B41" s="1706"/>
      <c r="C41" s="1688">
        <f>(SUM(C34,C37,C38,C39))</f>
        <v>38079409</v>
      </c>
      <c r="D41" s="1688">
        <f t="shared" ref="D41:L41" si="2">SUM(D34,D37,D38:D39)</f>
        <v>4621995</v>
      </c>
      <c r="E41" s="1688">
        <f t="shared" si="2"/>
        <v>2858778</v>
      </c>
      <c r="F41" s="1688">
        <f t="shared" si="2"/>
        <v>3116355</v>
      </c>
      <c r="G41" s="1688">
        <f t="shared" si="2"/>
        <v>1248531</v>
      </c>
      <c r="H41" s="1688">
        <f t="shared" si="2"/>
        <v>5379614</v>
      </c>
      <c r="I41" s="1688">
        <f t="shared" si="2"/>
        <v>702360</v>
      </c>
      <c r="J41" s="1688">
        <f t="shared" si="2"/>
        <v>772597</v>
      </c>
      <c r="K41" s="1688">
        <f t="shared" si="2"/>
        <v>357702</v>
      </c>
      <c r="L41" s="1688">
        <f t="shared" si="2"/>
        <v>92891</v>
      </c>
      <c r="M41" s="1688">
        <f>SUM(M40)</f>
        <v>90789542</v>
      </c>
      <c r="N41" s="1688">
        <f>SUM(N37)</f>
        <v>24620000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5" activePane="bottomLeft" state="frozen"/>
      <selection pane="bottomLeft" activeCell="H43" sqref="H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9" t="s">
        <v>1175</v>
      </c>
      <c r="B3" s="2150"/>
      <c r="C3" s="1573"/>
      <c r="D3" s="1574"/>
      <c r="E3" s="1574"/>
      <c r="F3" s="1574"/>
      <c r="G3" s="1574"/>
      <c r="H3" s="1574"/>
      <c r="I3" s="1574"/>
      <c r="J3" s="1574"/>
      <c r="K3" s="1575"/>
      <c r="L3" s="506"/>
    </row>
    <row r="4" spans="1:13" ht="15.75" customHeight="1" x14ac:dyDescent="0.2">
      <c r="A4" s="1928" t="s">
        <v>1499</v>
      </c>
      <c r="B4" s="1929">
        <v>1000</v>
      </c>
      <c r="C4" s="1742">
        <f>'Revenues 9-14'!C109</f>
        <v>26615842</v>
      </c>
      <c r="D4" s="1742">
        <f>'Revenues 9-14'!D109</f>
        <v>3211842</v>
      </c>
      <c r="E4" s="1742">
        <f>'Revenues 9-14'!E109</f>
        <v>2625250</v>
      </c>
      <c r="F4" s="1742">
        <f>'Revenues 9-14'!F109</f>
        <v>1767919</v>
      </c>
      <c r="G4" s="1742">
        <f>'Revenues 9-14'!G109</f>
        <v>1105927</v>
      </c>
      <c r="H4" s="1742">
        <f>'Revenues 9-14'!H109</f>
        <v>186695</v>
      </c>
      <c r="I4" s="1742">
        <f>'Revenues 9-14'!I109</f>
        <v>291133</v>
      </c>
      <c r="J4" s="1742">
        <f>'Revenues 9-14'!J109</f>
        <v>270470</v>
      </c>
      <c r="K4" s="1742">
        <f>'Revenues 9-14'!K109</f>
        <v>17448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3331751</v>
      </c>
      <c r="D6" s="1743">
        <f>'Revenues 9-14'!D170</f>
        <v>0</v>
      </c>
      <c r="E6" s="1743">
        <f>'Revenues 9-14'!E170</f>
        <v>0</v>
      </c>
      <c r="F6" s="1743">
        <f>'Revenues 9-14'!F170</f>
        <v>742987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1879611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31827204</v>
      </c>
      <c r="D8" s="1688">
        <f t="shared" ref="D8:K8" si="0">SUM(D4:D7)</f>
        <v>3211842</v>
      </c>
      <c r="E8" s="1688">
        <f t="shared" si="0"/>
        <v>2625250</v>
      </c>
      <c r="F8" s="1688">
        <f t="shared" si="0"/>
        <v>2510906</v>
      </c>
      <c r="G8" s="1688">
        <f t="shared" si="0"/>
        <v>1105927</v>
      </c>
      <c r="H8" s="1688">
        <f t="shared" si="0"/>
        <v>186695</v>
      </c>
      <c r="I8" s="1688">
        <f t="shared" si="0"/>
        <v>291133</v>
      </c>
      <c r="J8" s="1688">
        <f t="shared" si="0"/>
        <v>270470</v>
      </c>
      <c r="K8" s="1688">
        <f t="shared" si="0"/>
        <v>17448</v>
      </c>
      <c r="L8" s="347"/>
    </row>
    <row r="9" spans="1:13" ht="15.75" thickTop="1" x14ac:dyDescent="0.2">
      <c r="A9" s="514" t="s">
        <v>1653</v>
      </c>
      <c r="B9" s="515">
        <v>3998</v>
      </c>
      <c r="C9" s="481">
        <v>12317225</v>
      </c>
      <c r="D9" s="516"/>
      <c r="E9" s="481"/>
      <c r="F9" s="481"/>
      <c r="G9" s="517"/>
      <c r="H9" s="481"/>
      <c r="I9" s="509" t="s">
        <v>1169</v>
      </c>
      <c r="J9" s="478"/>
      <c r="K9" s="481"/>
      <c r="L9" s="347"/>
    </row>
    <row r="10" spans="1:13" s="519" customFormat="1" ht="13.5" thickBot="1" x14ac:dyDescent="0.25">
      <c r="A10" s="1736" t="s">
        <v>1173</v>
      </c>
      <c r="B10" s="1709"/>
      <c r="C10" s="1688">
        <f>SUM(C8:C9)</f>
        <v>44144429</v>
      </c>
      <c r="D10" s="1688">
        <f t="shared" ref="D10:K10" si="1">SUM(D8:D9)</f>
        <v>3211842</v>
      </c>
      <c r="E10" s="1688">
        <f t="shared" si="1"/>
        <v>2625250</v>
      </c>
      <c r="F10" s="1688">
        <f t="shared" si="1"/>
        <v>2510906</v>
      </c>
      <c r="G10" s="1688">
        <f t="shared" si="1"/>
        <v>1105927</v>
      </c>
      <c r="H10" s="1688">
        <f t="shared" si="1"/>
        <v>186695</v>
      </c>
      <c r="I10" s="1688">
        <f t="shared" si="1"/>
        <v>291133</v>
      </c>
      <c r="J10" s="1688">
        <f t="shared" si="1"/>
        <v>270470</v>
      </c>
      <c r="K10" s="1688">
        <f t="shared" si="1"/>
        <v>17448</v>
      </c>
      <c r="L10" s="518"/>
    </row>
    <row r="11" spans="1:13" s="519" customFormat="1" ht="16.7" customHeight="1" thickTop="1" x14ac:dyDescent="0.2">
      <c r="A11" s="2123" t="s">
        <v>1176</v>
      </c>
      <c r="B11" s="2124"/>
      <c r="C11" s="1570"/>
      <c r="D11" s="1571"/>
      <c r="E11" s="1571"/>
      <c r="F11" s="1571"/>
      <c r="G11" s="1571"/>
      <c r="H11" s="1571"/>
      <c r="I11" s="1571"/>
      <c r="J11" s="1571"/>
      <c r="K11" s="1572"/>
      <c r="L11" s="518"/>
    </row>
    <row r="12" spans="1:13" ht="15.75" customHeight="1" x14ac:dyDescent="0.2">
      <c r="A12" s="1576" t="s">
        <v>456</v>
      </c>
      <c r="B12" s="1578">
        <v>1000</v>
      </c>
      <c r="C12" s="1742">
        <f>'Expenditures 15-22'!K33</f>
        <v>22433676</v>
      </c>
      <c r="D12" s="520" t="s">
        <v>1169</v>
      </c>
      <c r="E12" s="468" t="s">
        <v>1169</v>
      </c>
      <c r="F12" s="468" t="s">
        <v>1169</v>
      </c>
      <c r="G12" s="1742">
        <f>'Expenditures 15-22'!K229</f>
        <v>585926</v>
      </c>
      <c r="H12" s="521"/>
      <c r="I12" s="468" t="s">
        <v>1169</v>
      </c>
      <c r="J12" s="468" t="s">
        <v>1169</v>
      </c>
      <c r="K12" s="521" t="s">
        <v>1169</v>
      </c>
      <c r="L12" s="347"/>
    </row>
    <row r="13" spans="1:13" ht="15.75" customHeight="1" x14ac:dyDescent="0.2">
      <c r="A13" s="1576" t="s">
        <v>457</v>
      </c>
      <c r="B13" s="1578">
        <v>2000</v>
      </c>
      <c r="C13" s="1743">
        <f>'Expenditures 15-22'!K74</f>
        <v>8058411</v>
      </c>
      <c r="D13" s="1743">
        <f>'Expenditures 15-22'!K129</f>
        <v>3331364</v>
      </c>
      <c r="E13" s="469" t="s">
        <v>1169</v>
      </c>
      <c r="F13" s="1743">
        <f>'Expenditures 15-22'!K184</f>
        <v>1556616</v>
      </c>
      <c r="G13" s="1743">
        <f>'Expenditures 15-22'!K279</f>
        <v>515761</v>
      </c>
      <c r="H13" s="1743">
        <f>'Expenditures 15-22'!K303</f>
        <v>15631356</v>
      </c>
      <c r="I13" s="468" t="s">
        <v>1169</v>
      </c>
      <c r="J13" s="1743">
        <f>'Expenditures 15-22'!K330</f>
        <v>199211</v>
      </c>
      <c r="K13" s="1747">
        <f>'Expenditures 15-22'!K352</f>
        <v>0</v>
      </c>
      <c r="L13" s="347"/>
    </row>
    <row r="14" spans="1:13" ht="15.75" customHeight="1" x14ac:dyDescent="0.2">
      <c r="A14" s="1576" t="s">
        <v>449</v>
      </c>
      <c r="B14" s="1578">
        <v>3000</v>
      </c>
      <c r="C14" s="1743">
        <f>'Expenditures 15-22'!K75</f>
        <v>314933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645361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3984235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31452381</v>
      </c>
      <c r="D17" s="1688">
        <f t="shared" si="2"/>
        <v>3331364</v>
      </c>
      <c r="E17" s="1688">
        <f t="shared" si="2"/>
        <v>3984235</v>
      </c>
      <c r="F17" s="1688">
        <f t="shared" si="2"/>
        <v>1556616</v>
      </c>
      <c r="G17" s="1688">
        <f t="shared" si="2"/>
        <v>1101687</v>
      </c>
      <c r="H17" s="1688">
        <f t="shared" si="2"/>
        <v>15631356</v>
      </c>
      <c r="I17" s="468"/>
      <c r="J17" s="1688">
        <f>SUM(J12:J16)</f>
        <v>199211</v>
      </c>
      <c r="K17" s="1688">
        <f>SUM(K12:K16)</f>
        <v>0</v>
      </c>
      <c r="L17" s="347"/>
    </row>
    <row r="18" spans="1:12" ht="15" customHeight="1" thickTop="1" x14ac:dyDescent="0.2">
      <c r="A18" s="1744" t="s">
        <v>1654</v>
      </c>
      <c r="B18" s="1745">
        <v>4180</v>
      </c>
      <c r="C18" s="1742">
        <f t="shared" ref="C18:H18" si="3">C9</f>
        <v>12317225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43769606</v>
      </c>
      <c r="D19" s="1688">
        <f t="shared" si="4"/>
        <v>3331364</v>
      </c>
      <c r="E19" s="1688">
        <f t="shared" si="4"/>
        <v>3984235</v>
      </c>
      <c r="F19" s="1688">
        <f t="shared" si="4"/>
        <v>1556616</v>
      </c>
      <c r="G19" s="1688">
        <f t="shared" si="4"/>
        <v>1101687</v>
      </c>
      <c r="H19" s="1688">
        <f t="shared" si="4"/>
        <v>15631356</v>
      </c>
      <c r="I19" s="468"/>
      <c r="J19" s="1688">
        <f>SUM(J17:J18)</f>
        <v>199211</v>
      </c>
      <c r="K19" s="1688">
        <f>SUM(K17:K18)</f>
        <v>0</v>
      </c>
      <c r="L19" s="347"/>
    </row>
    <row r="20" spans="1:12" ht="16.5" thickTop="1" thickBot="1" x14ac:dyDescent="0.25">
      <c r="A20" s="2139" t="s">
        <v>1655</v>
      </c>
      <c r="B20" s="2140"/>
      <c r="C20" s="1746">
        <f>C8-C17</f>
        <v>374823</v>
      </c>
      <c r="D20" s="1746">
        <f t="shared" ref="D20:K20" si="5">D8-D17</f>
        <v>-119522</v>
      </c>
      <c r="E20" s="1746">
        <f t="shared" si="5"/>
        <v>-1358985</v>
      </c>
      <c r="F20" s="1746">
        <f t="shared" si="5"/>
        <v>954290</v>
      </c>
      <c r="G20" s="1746">
        <f t="shared" si="5"/>
        <v>4240</v>
      </c>
      <c r="H20" s="1746">
        <f t="shared" si="5"/>
        <v>-15444661</v>
      </c>
      <c r="I20" s="1746">
        <f t="shared" si="5"/>
        <v>291133</v>
      </c>
      <c r="J20" s="1746">
        <f t="shared" si="5"/>
        <v>71259</v>
      </c>
      <c r="K20" s="1746">
        <f t="shared" si="5"/>
        <v>17448</v>
      </c>
      <c r="L20" s="347"/>
    </row>
    <row r="21" spans="1:12" ht="16.7" customHeight="1" thickTop="1" x14ac:dyDescent="0.2">
      <c r="A21" s="2151" t="s">
        <v>595</v>
      </c>
      <c r="B21" s="2152"/>
      <c r="C21" s="1570"/>
      <c r="D21" s="1571"/>
      <c r="E21" s="1571"/>
      <c r="F21" s="1571"/>
      <c r="G21" s="1571"/>
      <c r="H21" s="1571"/>
      <c r="I21" s="1571"/>
      <c r="J21" s="1571"/>
      <c r="K21" s="1572"/>
      <c r="L21" s="524"/>
    </row>
    <row r="22" spans="1:12" ht="15.75" customHeight="1" collapsed="1" x14ac:dyDescent="0.2">
      <c r="A22" s="2147" t="s">
        <v>596</v>
      </c>
      <c r="B22" s="2148"/>
      <c r="C22" s="477"/>
      <c r="D22" s="477"/>
      <c r="E22" s="477"/>
      <c r="F22" s="477"/>
      <c r="G22" s="477"/>
      <c r="H22" s="477"/>
      <c r="I22" s="477"/>
      <c r="J22" s="477"/>
      <c r="K22" s="477"/>
      <c r="L22" s="347"/>
    </row>
    <row r="23" spans="1:12" s="485" customFormat="1" ht="15.75" customHeight="1" x14ac:dyDescent="0.2">
      <c r="A23" s="2143" t="s">
        <v>293</v>
      </c>
      <c r="B23" s="214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14000000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0</v>
      </c>
      <c r="D27" s="467">
        <v>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5" t="s">
        <v>981</v>
      </c>
      <c r="B32" s="214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14000000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v>14000000</v>
      </c>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3" t="s">
        <v>374</v>
      </c>
      <c r="B44" s="2154"/>
      <c r="C44" s="1703">
        <f>SUM(C24:C43)</f>
        <v>0</v>
      </c>
      <c r="D44" s="1703">
        <f t="shared" ref="D44:K44" si="6">SUM(D24:D43)</f>
        <v>14000000</v>
      </c>
      <c r="E44" s="1703">
        <f t="shared" si="6"/>
        <v>0</v>
      </c>
      <c r="F44" s="1703">
        <f t="shared" si="6"/>
        <v>0</v>
      </c>
      <c r="G44" s="1703">
        <f t="shared" si="6"/>
        <v>0</v>
      </c>
      <c r="H44" s="1703">
        <f t="shared" si="6"/>
        <v>14000000</v>
      </c>
      <c r="I44" s="1703">
        <f t="shared" si="6"/>
        <v>14000000</v>
      </c>
      <c r="J44" s="1703">
        <f t="shared" si="6"/>
        <v>0</v>
      </c>
      <c r="K44" s="1703">
        <f t="shared" si="6"/>
        <v>0</v>
      </c>
      <c r="L44" s="524"/>
    </row>
    <row r="45" spans="1:12" ht="15.75" customHeight="1" thickTop="1" x14ac:dyDescent="0.2">
      <c r="A45" s="2147" t="s">
        <v>108</v>
      </c>
      <c r="B45" s="2148"/>
      <c r="C45" s="528"/>
      <c r="D45" s="528"/>
      <c r="E45" s="528"/>
      <c r="F45" s="528"/>
      <c r="G45" s="528"/>
      <c r="H45" s="528"/>
      <c r="I45" s="528"/>
      <c r="J45" s="528"/>
      <c r="K45" s="528"/>
      <c r="L45" s="347"/>
    </row>
    <row r="46" spans="1:12" s="485" customFormat="1" ht="15.75" customHeight="1" x14ac:dyDescent="0.2">
      <c r="A46" s="2155" t="s">
        <v>109</v>
      </c>
      <c r="B46" s="215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14000000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1943">
        <v>0</v>
      </c>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14000000</v>
      </c>
      <c r="E75" s="530"/>
      <c r="F75" s="532"/>
      <c r="G75" s="532"/>
      <c r="H75" s="532"/>
      <c r="I75" s="530"/>
      <c r="J75" s="530"/>
      <c r="K75" s="532"/>
      <c r="L75" s="524"/>
    </row>
    <row r="76" spans="1:12" s="485" customFormat="1" ht="14.25" thickTop="1" thickBot="1" x14ac:dyDescent="0.25">
      <c r="A76" s="2129" t="s">
        <v>440</v>
      </c>
      <c r="B76" s="2130"/>
      <c r="C76" s="1703">
        <f t="shared" ref="C76:K76" si="7">SUM(C47:C75)</f>
        <v>0</v>
      </c>
      <c r="D76" s="1703">
        <f t="shared" si="7"/>
        <v>14000000</v>
      </c>
      <c r="E76" s="1703">
        <f t="shared" si="7"/>
        <v>0</v>
      </c>
      <c r="F76" s="1703">
        <f t="shared" si="7"/>
        <v>0</v>
      </c>
      <c r="G76" s="1703">
        <f t="shared" si="7"/>
        <v>0</v>
      </c>
      <c r="H76" s="1703">
        <f t="shared" si="7"/>
        <v>0</v>
      </c>
      <c r="I76" s="1703">
        <f t="shared" si="7"/>
        <v>14000000</v>
      </c>
      <c r="J76" s="1703">
        <f t="shared" si="7"/>
        <v>0</v>
      </c>
      <c r="K76" s="1703">
        <f t="shared" si="7"/>
        <v>0</v>
      </c>
      <c r="L76" s="524"/>
    </row>
    <row r="77" spans="1:12" ht="14.25" thickTop="1" thickBot="1" x14ac:dyDescent="0.25">
      <c r="A77" s="2131" t="s">
        <v>1177</v>
      </c>
      <c r="B77" s="2132"/>
      <c r="C77" s="1703">
        <f t="shared" ref="C77:K77" si="8">C44-C76</f>
        <v>0</v>
      </c>
      <c r="D77" s="1703">
        <f t="shared" si="8"/>
        <v>0</v>
      </c>
      <c r="E77" s="1703">
        <f t="shared" si="8"/>
        <v>0</v>
      </c>
      <c r="F77" s="1703">
        <f t="shared" si="8"/>
        <v>0</v>
      </c>
      <c r="G77" s="1703">
        <f t="shared" si="8"/>
        <v>0</v>
      </c>
      <c r="H77" s="1703">
        <f t="shared" si="8"/>
        <v>14000000</v>
      </c>
      <c r="I77" s="1703">
        <f t="shared" si="8"/>
        <v>0</v>
      </c>
      <c r="J77" s="1703">
        <f t="shared" si="8"/>
        <v>0</v>
      </c>
      <c r="K77" s="1703">
        <f t="shared" si="8"/>
        <v>0</v>
      </c>
      <c r="L77" s="347"/>
    </row>
    <row r="78" spans="1:12" ht="21.75" customHeight="1" thickTop="1" thickBot="1" x14ac:dyDescent="0.25">
      <c r="A78" s="2135" t="s">
        <v>597</v>
      </c>
      <c r="B78" s="2136"/>
      <c r="C78" s="1702">
        <f t="shared" ref="C78:K78" si="9">C20+C77</f>
        <v>374823</v>
      </c>
      <c r="D78" s="1702">
        <f t="shared" si="9"/>
        <v>-119522</v>
      </c>
      <c r="E78" s="1702">
        <f t="shared" si="9"/>
        <v>-1358985</v>
      </c>
      <c r="F78" s="1702">
        <f t="shared" si="9"/>
        <v>954290</v>
      </c>
      <c r="G78" s="1702">
        <f t="shared" si="9"/>
        <v>4240</v>
      </c>
      <c r="H78" s="1702">
        <f t="shared" si="9"/>
        <v>-1444661</v>
      </c>
      <c r="I78" s="1702">
        <f t="shared" si="9"/>
        <v>291133</v>
      </c>
      <c r="J78" s="1702">
        <f t="shared" si="9"/>
        <v>71259</v>
      </c>
      <c r="K78" s="1702">
        <f t="shared" si="9"/>
        <v>17448</v>
      </c>
      <c r="L78" s="533"/>
    </row>
    <row r="79" spans="1:12" ht="13.5" thickTop="1" x14ac:dyDescent="0.2">
      <c r="A79" s="1494" t="s">
        <v>1946</v>
      </c>
      <c r="B79" s="534"/>
      <c r="C79" s="478">
        <f>22774203+1610084</f>
        <v>24384287</v>
      </c>
      <c r="D79" s="535">
        <v>2928533</v>
      </c>
      <c r="E79" s="535">
        <v>3187430</v>
      </c>
      <c r="F79" s="535">
        <v>1234963</v>
      </c>
      <c r="G79" s="535">
        <f>109599+607667</f>
        <v>717266</v>
      </c>
      <c r="H79" s="535">
        <v>4852023</v>
      </c>
      <c r="I79" s="535">
        <v>268855</v>
      </c>
      <c r="J79" s="535">
        <v>598930</v>
      </c>
      <c r="K79" s="535">
        <v>337756</v>
      </c>
      <c r="L79" s="347"/>
    </row>
    <row r="80" spans="1:12" x14ac:dyDescent="0.2">
      <c r="A80" s="2141" t="s">
        <v>1792</v>
      </c>
      <c r="B80" s="2142"/>
      <c r="C80" s="467"/>
      <c r="D80" s="467"/>
      <c r="E80" s="467"/>
      <c r="F80" s="467"/>
      <c r="G80" s="467"/>
      <c r="H80" s="467"/>
      <c r="I80" s="467"/>
      <c r="J80" s="467"/>
      <c r="K80" s="467"/>
      <c r="L80" s="347"/>
    </row>
    <row r="81" spans="1:12" ht="13.5" thickBot="1" x14ac:dyDescent="0.25">
      <c r="A81" s="2133" t="s">
        <v>1947</v>
      </c>
      <c r="B81" s="2134"/>
      <c r="C81" s="1688">
        <f>(SUM(C78:C80))</f>
        <v>24759110</v>
      </c>
      <c r="D81" s="1688">
        <f>SUM(D78:D80)</f>
        <v>2809011</v>
      </c>
      <c r="E81" s="1688">
        <f t="shared" ref="E81:K81" si="10">SUM(E78:E80)</f>
        <v>1828445</v>
      </c>
      <c r="F81" s="1688">
        <f t="shared" si="10"/>
        <v>2189253</v>
      </c>
      <c r="G81" s="1688">
        <f t="shared" si="10"/>
        <v>721506</v>
      </c>
      <c r="H81" s="1688">
        <f t="shared" si="10"/>
        <v>3407362</v>
      </c>
      <c r="I81" s="1688">
        <f t="shared" si="10"/>
        <v>559988</v>
      </c>
      <c r="J81" s="1688">
        <f t="shared" si="10"/>
        <v>670189</v>
      </c>
      <c r="K81" s="1688">
        <f t="shared" si="10"/>
        <v>355204</v>
      </c>
      <c r="L81" s="347"/>
    </row>
    <row r="82" spans="1:12" ht="0.75" customHeight="1" thickTop="1" thickBot="1" x14ac:dyDescent="0.25">
      <c r="A82" s="536" t="s">
        <v>343</v>
      </c>
      <c r="B82" s="537"/>
      <c r="C82" s="538">
        <f>(C81-C79)</f>
        <v>374823</v>
      </c>
      <c r="D82" s="538">
        <f t="shared" ref="D82:K82" si="11">(D81-D79)</f>
        <v>-119522</v>
      </c>
      <c r="E82" s="538">
        <f t="shared" si="11"/>
        <v>-1358985</v>
      </c>
      <c r="F82" s="538">
        <f t="shared" si="11"/>
        <v>954290</v>
      </c>
      <c r="G82" s="538">
        <f t="shared" si="11"/>
        <v>4240</v>
      </c>
      <c r="H82" s="538">
        <f t="shared" si="11"/>
        <v>-1444661</v>
      </c>
      <c r="I82" s="538">
        <f t="shared" si="11"/>
        <v>291133</v>
      </c>
      <c r="J82" s="538">
        <f t="shared" si="11"/>
        <v>71259</v>
      </c>
      <c r="K82" s="538">
        <f t="shared" si="11"/>
        <v>17448</v>
      </c>
    </row>
    <row r="83" spans="1:12" ht="14.25" hidden="1" thickTop="1" thickBot="1" x14ac:dyDescent="0.25">
      <c r="A83" s="539" t="s">
        <v>344</v>
      </c>
      <c r="B83" s="464"/>
      <c r="C83" s="540">
        <f>C82/C81</f>
        <v>1.5138791337814646E-2</v>
      </c>
      <c r="D83" s="540">
        <f t="shared" ref="D83:K83" si="12">D82/D81</f>
        <v>-4.2549495178196173E-2</v>
      </c>
      <c r="E83" s="540">
        <f t="shared" si="12"/>
        <v>-0.74324631038942923</v>
      </c>
      <c r="F83" s="540">
        <f t="shared" si="12"/>
        <v>0.43589754130746883</v>
      </c>
      <c r="G83" s="540">
        <f t="shared" si="12"/>
        <v>5.8765970068162983E-3</v>
      </c>
      <c r="H83" s="540">
        <f t="shared" si="12"/>
        <v>-0.42398224785038985</v>
      </c>
      <c r="I83" s="540">
        <f t="shared" si="12"/>
        <v>0.51989149767495013</v>
      </c>
      <c r="J83" s="540">
        <f t="shared" si="12"/>
        <v>0.10632672276029598</v>
      </c>
      <c r="K83" s="540">
        <f t="shared" si="12"/>
        <v>4.9121068456436302E-2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7" t="s">
        <v>1799</v>
      </c>
      <c r="B1" s="452"/>
      <c r="C1" s="453" t="s">
        <v>425</v>
      </c>
      <c r="D1" s="453" t="s">
        <v>426</v>
      </c>
      <c r="E1" s="453" t="s">
        <v>427</v>
      </c>
      <c r="F1" s="453" t="s">
        <v>428</v>
      </c>
      <c r="G1" s="453" t="s">
        <v>429</v>
      </c>
      <c r="H1" s="453" t="s">
        <v>430</v>
      </c>
      <c r="I1" s="453" t="s">
        <v>431</v>
      </c>
      <c r="J1" s="453" t="s">
        <v>432</v>
      </c>
      <c r="K1" s="453" t="s">
        <v>756</v>
      </c>
    </row>
    <row r="2" spans="1:12" ht="36" x14ac:dyDescent="0.2">
      <c r="A2" s="213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24978414</v>
      </c>
      <c r="D5" s="481">
        <v>3070134</v>
      </c>
      <c r="E5" s="466">
        <v>2522180</v>
      </c>
      <c r="F5" s="548">
        <v>1690662</v>
      </c>
      <c r="G5" s="466">
        <v>473308</v>
      </c>
      <c r="H5" s="466"/>
      <c r="I5" s="466">
        <v>279330</v>
      </c>
      <c r="J5" s="467">
        <v>249202</v>
      </c>
      <c r="K5" s="466">
        <v>4904</v>
      </c>
    </row>
    <row r="6" spans="1:12" ht="15" x14ac:dyDescent="0.2">
      <c r="A6" s="463" t="s">
        <v>1662</v>
      </c>
      <c r="B6" s="470">
        <v>1130</v>
      </c>
      <c r="C6" s="466">
        <v>4904</v>
      </c>
      <c r="D6" s="466"/>
      <c r="E6" s="475"/>
      <c r="F6" s="475"/>
      <c r="G6" s="468"/>
      <c r="H6" s="468"/>
      <c r="I6" s="468"/>
      <c r="J6" s="468"/>
      <c r="K6" s="468"/>
    </row>
    <row r="7" spans="1:12" x14ac:dyDescent="0.2">
      <c r="A7" s="463" t="s">
        <v>110</v>
      </c>
      <c r="B7" s="549">
        <v>1140</v>
      </c>
      <c r="C7" s="466">
        <v>4790</v>
      </c>
      <c r="D7" s="466"/>
      <c r="E7" s="468"/>
      <c r="F7" s="467"/>
      <c r="G7" s="467"/>
      <c r="H7" s="467"/>
      <c r="I7" s="468"/>
      <c r="J7" s="468"/>
      <c r="K7" s="468"/>
    </row>
    <row r="8" spans="1:12" x14ac:dyDescent="0.2">
      <c r="A8" s="463" t="s">
        <v>413</v>
      </c>
      <c r="B8" s="470">
        <v>1150</v>
      </c>
      <c r="C8" s="475"/>
      <c r="D8" s="475"/>
      <c r="E8" s="477"/>
      <c r="F8" s="477"/>
      <c r="G8" s="481">
        <v>605611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24988108</v>
      </c>
      <c r="D12" s="1707">
        <f t="shared" si="0"/>
        <v>3070134</v>
      </c>
      <c r="E12" s="1707">
        <f t="shared" si="0"/>
        <v>2522180</v>
      </c>
      <c r="F12" s="1707">
        <f t="shared" si="0"/>
        <v>1690662</v>
      </c>
      <c r="G12" s="1707">
        <f t="shared" si="0"/>
        <v>1078919</v>
      </c>
      <c r="H12" s="1707">
        <f t="shared" si="0"/>
        <v>0</v>
      </c>
      <c r="I12" s="1707">
        <f t="shared" si="0"/>
        <v>279330</v>
      </c>
      <c r="J12" s="1707">
        <f t="shared" si="0"/>
        <v>249202</v>
      </c>
      <c r="K12" s="1688">
        <f t="shared" si="0"/>
        <v>4904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236804</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236804</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5485</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5593</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11078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21070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21070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916548</v>
      </c>
      <c r="D65" s="466">
        <v>109750</v>
      </c>
      <c r="E65" s="466">
        <v>103070</v>
      </c>
      <c r="F65" s="467">
        <v>56187</v>
      </c>
      <c r="G65" s="466">
        <v>27008</v>
      </c>
      <c r="H65" s="466">
        <v>186695</v>
      </c>
      <c r="I65" s="466">
        <v>11803</v>
      </c>
      <c r="J65" s="467">
        <v>21268</v>
      </c>
      <c r="K65" s="466">
        <v>12544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916548</v>
      </c>
      <c r="D67" s="1688">
        <f t="shared" ref="D67:K67" si="2">SUM(D65:D66)</f>
        <v>109750</v>
      </c>
      <c r="E67" s="1688">
        <f t="shared" si="2"/>
        <v>103070</v>
      </c>
      <c r="F67" s="1688">
        <f t="shared" si="2"/>
        <v>56187</v>
      </c>
      <c r="G67" s="1688">
        <f t="shared" si="2"/>
        <v>27008</v>
      </c>
      <c r="H67" s="1688">
        <f t="shared" si="2"/>
        <v>186695</v>
      </c>
      <c r="I67" s="1688">
        <f t="shared" si="2"/>
        <v>11803</v>
      </c>
      <c r="J67" s="1688">
        <f t="shared" si="2"/>
        <v>21268</v>
      </c>
      <c r="K67" s="1688">
        <f t="shared" si="2"/>
        <v>12544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204267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204267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0</v>
      </c>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171425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171425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100</v>
      </c>
      <c r="D95" s="551">
        <v>30503</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844</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22+86646</f>
        <v>86668</v>
      </c>
      <c r="D107" s="466">
        <v>1455</v>
      </c>
      <c r="E107" s="466"/>
      <c r="F107" s="466"/>
      <c r="G107" s="466"/>
      <c r="H107" s="466"/>
      <c r="I107" s="466"/>
      <c r="J107" s="467"/>
      <c r="K107" s="466"/>
    </row>
    <row r="108" spans="1:12" ht="12.75" customHeight="1" thickBot="1" x14ac:dyDescent="0.25">
      <c r="A108" s="1708" t="s">
        <v>487</v>
      </c>
      <c r="B108" s="1712"/>
      <c r="C108" s="1707">
        <f>SUM(C95:C107)</f>
        <v>87612</v>
      </c>
      <c r="D108" s="1707">
        <f t="shared" ref="D108:K108" si="3">SUM(D95:D107)</f>
        <v>31958</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26615842</v>
      </c>
      <c r="D109" s="1715">
        <f t="shared" si="4"/>
        <v>3211842</v>
      </c>
      <c r="E109" s="1715">
        <f t="shared" si="4"/>
        <v>2625250</v>
      </c>
      <c r="F109" s="1715">
        <f t="shared" si="4"/>
        <v>1767919</v>
      </c>
      <c r="G109" s="1715">
        <f t="shared" si="4"/>
        <v>1105927</v>
      </c>
      <c r="H109" s="1715">
        <f t="shared" si="4"/>
        <v>186695</v>
      </c>
      <c r="I109" s="1715">
        <f t="shared" si="4"/>
        <v>291133</v>
      </c>
      <c r="J109" s="1715">
        <f t="shared" si="4"/>
        <v>270470</v>
      </c>
      <c r="K109" s="1702">
        <f t="shared" si="4"/>
        <v>17448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2565598</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2565598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63825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0</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63825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1683</v>
      </c>
      <c r="D140" s="466"/>
      <c r="E140" s="561"/>
      <c r="F140" s="477"/>
      <c r="G140" s="467"/>
      <c r="H140" s="468"/>
      <c r="I140" s="468"/>
      <c r="J140" s="468"/>
      <c r="K140" s="468"/>
    </row>
    <row r="141" spans="1:11" ht="12.75" customHeight="1" thickBot="1" x14ac:dyDescent="0.25">
      <c r="A141" s="1708" t="s">
        <v>603</v>
      </c>
      <c r="B141" s="1720"/>
      <c r="C141" s="1707">
        <f>SUM(C134:C140)</f>
        <v>1683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5575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158337</v>
      </c>
      <c r="G152" s="467"/>
      <c r="H152" s="468"/>
      <c r="I152" s="468"/>
      <c r="J152" s="468"/>
      <c r="K152" s="468"/>
    </row>
    <row r="153" spans="1:11" ht="12.75" customHeight="1" x14ac:dyDescent="0.2">
      <c r="A153" s="463" t="s">
        <v>1057</v>
      </c>
      <c r="B153" s="562">
        <v>3510</v>
      </c>
      <c r="C153" s="551"/>
      <c r="D153" s="466"/>
      <c r="E153" s="561"/>
      <c r="F153" s="466">
        <v>584650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742987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695070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7" t="s">
        <v>398</v>
      </c>
      <c r="B169" s="2158"/>
      <c r="C169" s="1722">
        <f t="shared" ref="C169:K169" si="6">SUM(C132,C141,C145,C146:C150,C155,C156:C167,C168)</f>
        <v>766153</v>
      </c>
      <c r="D169" s="1722">
        <f t="shared" si="6"/>
        <v>0</v>
      </c>
      <c r="E169" s="1722">
        <f t="shared" si="6"/>
        <v>0</v>
      </c>
      <c r="F169" s="1722">
        <f t="shared" si="6"/>
        <v>742987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3331751</v>
      </c>
      <c r="D170" s="1715">
        <f t="shared" si="7"/>
        <v>0</v>
      </c>
      <c r="E170" s="1715">
        <f t="shared" si="7"/>
        <v>0</v>
      </c>
      <c r="F170" s="1715">
        <f t="shared" si="7"/>
        <v>742987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9" t="s">
        <v>1492</v>
      </c>
      <c r="B172" s="216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3" t="s">
        <v>1665</v>
      </c>
      <c r="B175" s="216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7" t="s">
        <v>1664</v>
      </c>
      <c r="B176" s="216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5" t="s">
        <v>785</v>
      </c>
      <c r="B181" s="216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1" t="s">
        <v>1800</v>
      </c>
      <c r="B182" s="216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312711</v>
      </c>
      <c r="D191" s="468"/>
      <c r="E191" s="561"/>
      <c r="F191" s="468"/>
      <c r="G191" s="585"/>
      <c r="H191" s="468"/>
      <c r="I191" s="468"/>
      <c r="J191" s="468"/>
      <c r="K191" s="468"/>
    </row>
    <row r="192" spans="1:11" ht="12.75" customHeight="1" x14ac:dyDescent="0.2">
      <c r="A192" s="463" t="s">
        <v>1047</v>
      </c>
      <c r="B192" s="470">
        <v>4215</v>
      </c>
      <c r="C192" s="551">
        <v>0</v>
      </c>
      <c r="D192" s="468"/>
      <c r="E192" s="561"/>
      <c r="F192" s="468"/>
      <c r="G192" s="585"/>
      <c r="H192" s="468"/>
      <c r="I192" s="468"/>
      <c r="J192" s="468"/>
      <c r="K192" s="468"/>
    </row>
    <row r="193" spans="1:11" ht="12.75" customHeight="1" x14ac:dyDescent="0.2">
      <c r="A193" s="463" t="s">
        <v>1059</v>
      </c>
      <c r="B193" s="470">
        <v>4220</v>
      </c>
      <c r="C193" s="551">
        <v>102950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415661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387239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14844</v>
      </c>
      <c r="D203" s="466"/>
      <c r="E203" s="468"/>
      <c r="F203" s="466"/>
      <c r="G203" s="466"/>
      <c r="H203" s="468"/>
      <c r="I203" s="468"/>
      <c r="J203" s="468"/>
      <c r="K203" s="468"/>
    </row>
    <row r="204" spans="1:11" ht="12.75" customHeight="1" thickBot="1" x14ac:dyDescent="0.25">
      <c r="A204" s="1708" t="s">
        <v>400</v>
      </c>
      <c r="B204" s="1709"/>
      <c r="C204" s="1707">
        <f>SUM(C200:C203)</f>
        <v>402083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23960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23960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77497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563104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640601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2347</v>
      </c>
      <c r="D255" s="468"/>
      <c r="E255" s="468"/>
      <c r="F255" s="578"/>
      <c r="G255" s="573"/>
      <c r="H255" s="468"/>
      <c r="I255" s="468"/>
      <c r="J255" s="468"/>
      <c r="K255" s="468"/>
    </row>
    <row r="256" spans="1:11" ht="12.75" customHeight="1" thickTop="1" thickBot="1" x14ac:dyDescent="0.25">
      <c r="A256" s="463" t="s">
        <v>1457</v>
      </c>
      <c r="B256" s="470">
        <v>4909</v>
      </c>
      <c r="C256" s="576">
        <v>22878</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59474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69217</v>
      </c>
      <c r="D263" s="576"/>
      <c r="E263" s="468"/>
      <c r="F263" s="576"/>
      <c r="G263" s="576"/>
      <c r="H263" s="468"/>
      <c r="I263" s="468"/>
      <c r="J263" s="468"/>
      <c r="K263" s="468"/>
    </row>
    <row r="264" spans="1:11" ht="12.75" customHeight="1" thickTop="1" thickBot="1" x14ac:dyDescent="0.25">
      <c r="A264" s="463" t="s">
        <v>377</v>
      </c>
      <c r="B264" s="470">
        <v>4992</v>
      </c>
      <c r="C264" s="575">
        <v>243390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1879611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1879611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31827204</v>
      </c>
      <c r="D268" s="1715">
        <f t="shared" si="12"/>
        <v>3211842</v>
      </c>
      <c r="E268" s="1715">
        <f t="shared" si="12"/>
        <v>2625250</v>
      </c>
      <c r="F268" s="1715">
        <f t="shared" si="12"/>
        <v>2510906</v>
      </c>
      <c r="G268" s="1715">
        <f t="shared" si="12"/>
        <v>1105927</v>
      </c>
      <c r="H268" s="1715">
        <f t="shared" si="12"/>
        <v>186695</v>
      </c>
      <c r="I268" s="1715">
        <f t="shared" si="12"/>
        <v>291133</v>
      </c>
      <c r="J268" s="1715">
        <f t="shared" si="12"/>
        <v>270470</v>
      </c>
      <c r="K268" s="1702">
        <f t="shared" si="12"/>
        <v>17448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pane="bottomLeft" activeCell="H166" sqref="H16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7" t="s">
        <v>297</v>
      </c>
      <c r="B3" s="217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10246564</v>
      </c>
      <c r="D5" s="466">
        <v>2454331</v>
      </c>
      <c r="E5" s="466">
        <v>273321</v>
      </c>
      <c r="F5" s="466">
        <v>877522</v>
      </c>
      <c r="G5" s="466">
        <v>138227</v>
      </c>
      <c r="H5" s="466"/>
      <c r="I5" s="467">
        <v>502826</v>
      </c>
      <c r="J5" s="467"/>
      <c r="K5" s="1671">
        <f>SUM(C5:J5)</f>
        <v>14492791</v>
      </c>
      <c r="L5" s="466">
        <v>14422657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3281453</v>
      </c>
      <c r="D8" s="466">
        <v>896080</v>
      </c>
      <c r="E8" s="466">
        <v>23984</v>
      </c>
      <c r="F8" s="466">
        <v>27720</v>
      </c>
      <c r="G8" s="466"/>
      <c r="H8" s="466"/>
      <c r="I8" s="467"/>
      <c r="J8" s="467"/>
      <c r="K8" s="1671">
        <f t="shared" si="0"/>
        <v>4229237</v>
      </c>
      <c r="L8" s="466">
        <v>4182026</v>
      </c>
    </row>
    <row r="9" spans="1:14" x14ac:dyDescent="0.2">
      <c r="A9" s="1504" t="s">
        <v>721</v>
      </c>
      <c r="B9" s="614" t="s">
        <v>968</v>
      </c>
      <c r="C9" s="467">
        <v>217545</v>
      </c>
      <c r="D9" s="467">
        <v>45365</v>
      </c>
      <c r="E9" s="467"/>
      <c r="F9" s="467"/>
      <c r="G9" s="467"/>
      <c r="H9" s="467"/>
      <c r="I9" s="467"/>
      <c r="J9" s="467"/>
      <c r="K9" s="1671">
        <f t="shared" si="0"/>
        <v>262910</v>
      </c>
      <c r="L9" s="466">
        <v>144641</v>
      </c>
    </row>
    <row r="10" spans="1:14" x14ac:dyDescent="0.2">
      <c r="A10" s="1504" t="s">
        <v>722</v>
      </c>
      <c r="B10" s="614">
        <v>1250</v>
      </c>
      <c r="C10" s="466">
        <v>565336</v>
      </c>
      <c r="D10" s="466">
        <v>119747</v>
      </c>
      <c r="E10" s="466"/>
      <c r="F10" s="466"/>
      <c r="G10" s="466"/>
      <c r="H10" s="466"/>
      <c r="I10" s="467"/>
      <c r="J10" s="467"/>
      <c r="K10" s="1671">
        <f t="shared" si="0"/>
        <v>685083</v>
      </c>
      <c r="L10" s="466">
        <v>604773</v>
      </c>
    </row>
    <row r="11" spans="1:14" x14ac:dyDescent="0.2">
      <c r="A11" s="1504" t="s">
        <v>1130</v>
      </c>
      <c r="B11" s="614" t="s">
        <v>161</v>
      </c>
      <c r="C11" s="467">
        <v>310344</v>
      </c>
      <c r="D11" s="467">
        <v>40675</v>
      </c>
      <c r="E11" s="467">
        <v>6743</v>
      </c>
      <c r="F11" s="467">
        <v>10118</v>
      </c>
      <c r="G11" s="467"/>
      <c r="H11" s="467"/>
      <c r="I11" s="467"/>
      <c r="J11" s="467"/>
      <c r="K11" s="1671">
        <f t="shared" si="0"/>
        <v>367880</v>
      </c>
      <c r="L11" s="466">
        <v>456486</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264328</v>
      </c>
      <c r="D14" s="466">
        <v>3780</v>
      </c>
      <c r="E14" s="466">
        <v>6071</v>
      </c>
      <c r="F14" s="466">
        <v>23639</v>
      </c>
      <c r="G14" s="466"/>
      <c r="H14" s="466"/>
      <c r="I14" s="467">
        <v>2748</v>
      </c>
      <c r="J14" s="467"/>
      <c r="K14" s="1671">
        <f t="shared" si="0"/>
        <v>300566</v>
      </c>
      <c r="L14" s="466">
        <v>302150</v>
      </c>
    </row>
    <row r="15" spans="1:14" x14ac:dyDescent="0.2">
      <c r="A15" s="1504" t="s">
        <v>964</v>
      </c>
      <c r="B15" s="614">
        <v>1600</v>
      </c>
      <c r="C15" s="466">
        <v>174342</v>
      </c>
      <c r="D15" s="466">
        <v>1738</v>
      </c>
      <c r="E15" s="466"/>
      <c r="F15" s="466">
        <v>-394</v>
      </c>
      <c r="G15" s="466"/>
      <c r="H15" s="466"/>
      <c r="I15" s="467"/>
      <c r="J15" s="467"/>
      <c r="K15" s="1671">
        <f t="shared" si="0"/>
        <v>175686</v>
      </c>
      <c r="L15" s="466">
        <v>174850</v>
      </c>
    </row>
    <row r="16" spans="1:14" x14ac:dyDescent="0.2">
      <c r="A16" s="1504" t="s">
        <v>987</v>
      </c>
      <c r="B16" s="614" t="s">
        <v>424</v>
      </c>
      <c r="C16" s="466">
        <v>274877</v>
      </c>
      <c r="D16" s="466">
        <v>36794</v>
      </c>
      <c r="E16" s="466">
        <v>4708</v>
      </c>
      <c r="F16" s="466">
        <v>1349</v>
      </c>
      <c r="G16" s="466"/>
      <c r="H16" s="466"/>
      <c r="I16" s="467"/>
      <c r="J16" s="467"/>
      <c r="K16" s="1671">
        <f t="shared" si="0"/>
        <v>317728</v>
      </c>
      <c r="L16" s="466">
        <v>350157</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7">
        <v>798875</v>
      </c>
      <c r="D18" s="467">
        <v>209463</v>
      </c>
      <c r="E18" s="467">
        <v>2452</v>
      </c>
      <c r="F18" s="467">
        <v>10188</v>
      </c>
      <c r="G18" s="466"/>
      <c r="H18" s="466"/>
      <c r="I18" s="467"/>
      <c r="J18" s="467"/>
      <c r="K18" s="1671">
        <f t="shared" si="0"/>
        <v>1020978</v>
      </c>
      <c r="L18" s="466">
        <v>1027328</v>
      </c>
    </row>
    <row r="19" spans="1:12" x14ac:dyDescent="0.2">
      <c r="A19" s="1504" t="s">
        <v>134</v>
      </c>
      <c r="B19" s="614">
        <v>1900</v>
      </c>
      <c r="C19" s="466">
        <v>5273</v>
      </c>
      <c r="D19" s="466">
        <v>72</v>
      </c>
      <c r="E19" s="466"/>
      <c r="F19" s="466"/>
      <c r="G19" s="466"/>
      <c r="H19" s="466"/>
      <c r="I19" s="467"/>
      <c r="J19" s="467"/>
      <c r="K19" s="1671">
        <f t="shared" si="0"/>
        <v>5345</v>
      </c>
      <c r="L19" s="466">
        <v>5100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575472</v>
      </c>
      <c r="I22" s="616"/>
      <c r="J22" s="477"/>
      <c r="K22" s="1671">
        <f t="shared" si="0"/>
        <v>575472</v>
      </c>
      <c r="L22" s="471">
        <v>500000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16138937</v>
      </c>
      <c r="D33" s="1670">
        <f t="shared" ref="D33:L33" si="1">SUM(D5:D32)</f>
        <v>3808045</v>
      </c>
      <c r="E33" s="1670">
        <f t="shared" si="1"/>
        <v>317279</v>
      </c>
      <c r="F33" s="1670">
        <f t="shared" si="1"/>
        <v>950142</v>
      </c>
      <c r="G33" s="1670">
        <f t="shared" si="1"/>
        <v>138227</v>
      </c>
      <c r="H33" s="1670">
        <f t="shared" si="1"/>
        <v>575472</v>
      </c>
      <c r="I33" s="1670">
        <f t="shared" si="1"/>
        <v>505574</v>
      </c>
      <c r="J33" s="1670">
        <f t="shared" si="1"/>
        <v>0</v>
      </c>
      <c r="K33" s="1670">
        <f t="shared" si="1"/>
        <v>22433676</v>
      </c>
      <c r="L33" s="1670">
        <f t="shared" si="1"/>
        <v>22170168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613631</v>
      </c>
      <c r="D36" s="481">
        <v>106836</v>
      </c>
      <c r="E36" s="481">
        <v>77</v>
      </c>
      <c r="F36" s="481"/>
      <c r="G36" s="481"/>
      <c r="H36" s="481"/>
      <c r="I36" s="467"/>
      <c r="J36" s="467"/>
      <c r="K36" s="1671">
        <f t="shared" ref="K36:K41" si="2">SUM(C36:J36)</f>
        <v>720544</v>
      </c>
      <c r="L36" s="466">
        <v>721881</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486060</v>
      </c>
      <c r="D38" s="466">
        <v>124280</v>
      </c>
      <c r="E38" s="466">
        <v>56169</v>
      </c>
      <c r="F38" s="466">
        <v>6861</v>
      </c>
      <c r="G38" s="466"/>
      <c r="H38" s="466"/>
      <c r="I38" s="467">
        <v>18168</v>
      </c>
      <c r="J38" s="467"/>
      <c r="K38" s="1671">
        <f t="shared" si="2"/>
        <v>691538</v>
      </c>
      <c r="L38" s="466">
        <v>673687</v>
      </c>
    </row>
    <row r="39" spans="1:14" x14ac:dyDescent="0.2">
      <c r="A39" s="1504" t="s">
        <v>199</v>
      </c>
      <c r="B39" s="614">
        <v>2140</v>
      </c>
      <c r="C39" s="466">
        <v>200495</v>
      </c>
      <c r="D39" s="466">
        <v>44242</v>
      </c>
      <c r="E39" s="466">
        <v>30244</v>
      </c>
      <c r="F39" s="466"/>
      <c r="G39" s="466"/>
      <c r="H39" s="466"/>
      <c r="I39" s="467"/>
      <c r="J39" s="467"/>
      <c r="K39" s="1671">
        <f t="shared" si="2"/>
        <v>274981</v>
      </c>
      <c r="L39" s="466">
        <v>292443</v>
      </c>
    </row>
    <row r="40" spans="1:14" x14ac:dyDescent="0.2">
      <c r="A40" s="1504" t="s">
        <v>200</v>
      </c>
      <c r="B40" s="614">
        <v>2150</v>
      </c>
      <c r="C40" s="466">
        <v>796408</v>
      </c>
      <c r="D40" s="466">
        <v>186170</v>
      </c>
      <c r="E40" s="466">
        <v>26634</v>
      </c>
      <c r="F40" s="466">
        <v>261</v>
      </c>
      <c r="G40" s="466"/>
      <c r="H40" s="466"/>
      <c r="I40" s="467"/>
      <c r="J40" s="467"/>
      <c r="K40" s="1671">
        <f t="shared" si="2"/>
        <v>1009473</v>
      </c>
      <c r="L40" s="466">
        <v>922901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2096594</v>
      </c>
      <c r="D42" s="1670">
        <f t="shared" ref="D42:L42" si="3">SUM(D36:D41)</f>
        <v>461528</v>
      </c>
      <c r="E42" s="1670">
        <f t="shared" si="3"/>
        <v>113124</v>
      </c>
      <c r="F42" s="1670">
        <f t="shared" si="3"/>
        <v>7122</v>
      </c>
      <c r="G42" s="1670">
        <f t="shared" si="3"/>
        <v>0</v>
      </c>
      <c r="H42" s="1670">
        <f t="shared" si="3"/>
        <v>0</v>
      </c>
      <c r="I42" s="1670">
        <f t="shared" si="3"/>
        <v>18168</v>
      </c>
      <c r="J42" s="1670">
        <f t="shared" si="3"/>
        <v>0</v>
      </c>
      <c r="K42" s="1670">
        <f t="shared" si="3"/>
        <v>2696536</v>
      </c>
      <c r="L42" s="1670">
        <f t="shared" si="3"/>
        <v>2610912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345267</v>
      </c>
      <c r="D44" s="481">
        <v>51078</v>
      </c>
      <c r="E44" s="481">
        <v>127618</v>
      </c>
      <c r="F44" s="481">
        <v>14601</v>
      </c>
      <c r="G44" s="481"/>
      <c r="H44" s="481">
        <v>731</v>
      </c>
      <c r="I44" s="467"/>
      <c r="J44" s="467"/>
      <c r="K44" s="1672">
        <f>SUM(C44:J44)</f>
        <v>539295</v>
      </c>
      <c r="L44" s="481">
        <v>698502</v>
      </c>
    </row>
    <row r="45" spans="1:14" x14ac:dyDescent="0.2">
      <c r="A45" s="1504" t="s">
        <v>815</v>
      </c>
      <c r="B45" s="614">
        <v>2220</v>
      </c>
      <c r="C45" s="466">
        <v>402475</v>
      </c>
      <c r="D45" s="466">
        <v>76878</v>
      </c>
      <c r="E45" s="466">
        <v>1563</v>
      </c>
      <c r="F45" s="466">
        <v>137651</v>
      </c>
      <c r="G45" s="466"/>
      <c r="H45" s="466"/>
      <c r="I45" s="467"/>
      <c r="J45" s="467"/>
      <c r="K45" s="1672">
        <f>SUM(C45:J45)</f>
        <v>618567</v>
      </c>
      <c r="L45" s="466">
        <v>677541</v>
      </c>
    </row>
    <row r="46" spans="1:14" x14ac:dyDescent="0.2">
      <c r="A46" s="1504" t="s">
        <v>816</v>
      </c>
      <c r="B46" s="614">
        <v>2230</v>
      </c>
      <c r="C46" s="466"/>
      <c r="D46" s="466"/>
      <c r="E46" s="466">
        <v>35625</v>
      </c>
      <c r="F46" s="466">
        <v>16071</v>
      </c>
      <c r="G46" s="466"/>
      <c r="H46" s="466"/>
      <c r="I46" s="467"/>
      <c r="J46" s="467"/>
      <c r="K46" s="1672">
        <f>SUM(C46:J46)</f>
        <v>51696</v>
      </c>
      <c r="L46" s="466">
        <v>68382</v>
      </c>
    </row>
    <row r="47" spans="1:14" ht="12.75" customHeight="1" thickBot="1" x14ac:dyDescent="0.25">
      <c r="A47" s="1668" t="s">
        <v>561</v>
      </c>
      <c r="B47" s="1669" t="s">
        <v>32</v>
      </c>
      <c r="C47" s="1670">
        <f>SUM(C44:C46)</f>
        <v>747742</v>
      </c>
      <c r="D47" s="1670">
        <f t="shared" ref="D47:K47" si="4">SUM(D44:D46)</f>
        <v>127956</v>
      </c>
      <c r="E47" s="1670">
        <f t="shared" si="4"/>
        <v>164806</v>
      </c>
      <c r="F47" s="1670">
        <f t="shared" si="4"/>
        <v>168323</v>
      </c>
      <c r="G47" s="1670">
        <f t="shared" si="4"/>
        <v>0</v>
      </c>
      <c r="H47" s="1670">
        <f t="shared" si="4"/>
        <v>731</v>
      </c>
      <c r="I47" s="1670">
        <f t="shared" si="4"/>
        <v>0</v>
      </c>
      <c r="J47" s="1670">
        <f t="shared" si="4"/>
        <v>0</v>
      </c>
      <c r="K47" s="1670">
        <f t="shared" si="4"/>
        <v>1209558</v>
      </c>
      <c r="L47" s="1670">
        <f>SUM(L44:L46)</f>
        <v>1444425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73818</v>
      </c>
      <c r="E49" s="481">
        <v>231670</v>
      </c>
      <c r="F49" s="481">
        <v>35230</v>
      </c>
      <c r="G49" s="481"/>
      <c r="H49" s="481">
        <v>71141</v>
      </c>
      <c r="I49" s="467"/>
      <c r="J49" s="467"/>
      <c r="K49" s="1672">
        <f>SUM(C49:J49)</f>
        <v>411859</v>
      </c>
      <c r="L49" s="481">
        <v>427315</v>
      </c>
    </row>
    <row r="50" spans="1:14" x14ac:dyDescent="0.2">
      <c r="A50" s="1504" t="s">
        <v>818</v>
      </c>
      <c r="B50" s="614">
        <v>2320</v>
      </c>
      <c r="C50" s="466">
        <v>335422</v>
      </c>
      <c r="D50" s="466">
        <v>89051</v>
      </c>
      <c r="E50" s="466">
        <v>0</v>
      </c>
      <c r="F50" s="466">
        <v>2384</v>
      </c>
      <c r="G50" s="466"/>
      <c r="H50" s="466">
        <v>4389</v>
      </c>
      <c r="I50" s="467"/>
      <c r="J50" s="467"/>
      <c r="K50" s="1672">
        <f>SUM(C50:J50)</f>
        <v>431246</v>
      </c>
      <c r="L50" s="466">
        <v>427628</v>
      </c>
    </row>
    <row r="51" spans="1:14" x14ac:dyDescent="0.2">
      <c r="A51" s="1504" t="s">
        <v>42</v>
      </c>
      <c r="B51" s="614">
        <v>2330</v>
      </c>
      <c r="C51" s="466">
        <v>266631</v>
      </c>
      <c r="D51" s="466">
        <v>64157</v>
      </c>
      <c r="E51" s="466">
        <v>1785</v>
      </c>
      <c r="F51" s="466">
        <v>1427</v>
      </c>
      <c r="G51" s="466"/>
      <c r="H51" s="466">
        <v>250</v>
      </c>
      <c r="I51" s="467"/>
      <c r="J51" s="467"/>
      <c r="K51" s="1672">
        <f>SUM(C51:J51)</f>
        <v>334250</v>
      </c>
      <c r="L51" s="466">
        <v>328775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602053</v>
      </c>
      <c r="D53" s="1670">
        <f t="shared" ref="D53:L53" si="5">SUM(D49:D52)</f>
        <v>227026</v>
      </c>
      <c r="E53" s="1670">
        <f t="shared" si="5"/>
        <v>233455</v>
      </c>
      <c r="F53" s="1670">
        <f t="shared" si="5"/>
        <v>39041</v>
      </c>
      <c r="G53" s="1670">
        <f t="shared" si="5"/>
        <v>0</v>
      </c>
      <c r="H53" s="1670">
        <f t="shared" si="5"/>
        <v>75780</v>
      </c>
      <c r="I53" s="1670">
        <f t="shared" si="5"/>
        <v>0</v>
      </c>
      <c r="J53" s="1670">
        <f t="shared" si="5"/>
        <v>0</v>
      </c>
      <c r="K53" s="1670">
        <f t="shared" si="5"/>
        <v>1177355</v>
      </c>
      <c r="L53" s="1670">
        <f t="shared" si="5"/>
        <v>1183718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1168563</v>
      </c>
      <c r="D55" s="481">
        <v>406142</v>
      </c>
      <c r="E55" s="481">
        <v>1246</v>
      </c>
      <c r="F55" s="481">
        <v>13280</v>
      </c>
      <c r="G55" s="481"/>
      <c r="H55" s="481">
        <v>4655</v>
      </c>
      <c r="I55" s="467"/>
      <c r="J55" s="467"/>
      <c r="K55" s="1672">
        <f>SUM(C55:J55)</f>
        <v>1593886</v>
      </c>
      <c r="L55" s="481">
        <v>1532211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1168563</v>
      </c>
      <c r="D57" s="1674">
        <f t="shared" ref="D57:K57" si="6">SUM(D55:D56)</f>
        <v>406142</v>
      </c>
      <c r="E57" s="1674">
        <f t="shared" si="6"/>
        <v>1246</v>
      </c>
      <c r="F57" s="1674">
        <f t="shared" si="6"/>
        <v>13280</v>
      </c>
      <c r="G57" s="1674">
        <f t="shared" si="6"/>
        <v>0</v>
      </c>
      <c r="H57" s="1674">
        <f t="shared" si="6"/>
        <v>4655</v>
      </c>
      <c r="I57" s="1674">
        <f t="shared" si="6"/>
        <v>0</v>
      </c>
      <c r="J57" s="1674">
        <f t="shared" si="6"/>
        <v>0</v>
      </c>
      <c r="K57" s="1674">
        <f t="shared" si="6"/>
        <v>1593886</v>
      </c>
      <c r="L57" s="1670">
        <f>SUM(L55:L56)</f>
        <v>1532211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112709</v>
      </c>
      <c r="D59" s="481">
        <v>36208</v>
      </c>
      <c r="E59" s="481">
        <v>2927</v>
      </c>
      <c r="F59" s="481">
        <v>0</v>
      </c>
      <c r="G59" s="481"/>
      <c r="H59" s="481">
        <v>2022</v>
      </c>
      <c r="I59" s="467"/>
      <c r="J59" s="467"/>
      <c r="K59" s="1672">
        <f t="shared" ref="K59:K64" si="7">SUM(C59:J59)</f>
        <v>153866</v>
      </c>
      <c r="L59" s="481">
        <v>161152</v>
      </c>
      <c r="M59" s="609"/>
      <c r="N59" s="609"/>
    </row>
    <row r="60" spans="1:14" s="343" customFormat="1" x14ac:dyDescent="0.2">
      <c r="A60" s="1504" t="s">
        <v>463</v>
      </c>
      <c r="B60" s="614">
        <v>2520</v>
      </c>
      <c r="C60" s="466">
        <v>182556</v>
      </c>
      <c r="D60" s="466">
        <v>32483</v>
      </c>
      <c r="E60" s="466">
        <v>5089</v>
      </c>
      <c r="F60" s="466">
        <v>3351</v>
      </c>
      <c r="G60" s="466"/>
      <c r="H60" s="466"/>
      <c r="I60" s="467"/>
      <c r="J60" s="467"/>
      <c r="K60" s="1672">
        <f t="shared" si="7"/>
        <v>223479</v>
      </c>
      <c r="L60" s="466">
        <v>236371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48784</v>
      </c>
      <c r="F62" s="466"/>
      <c r="G62" s="466"/>
      <c r="H62" s="466"/>
      <c r="I62" s="467"/>
      <c r="J62" s="467"/>
      <c r="K62" s="1672">
        <f t="shared" si="7"/>
        <v>48784</v>
      </c>
      <c r="L62" s="466">
        <v>30250</v>
      </c>
      <c r="M62" s="609"/>
      <c r="N62" s="609"/>
    </row>
    <row r="63" spans="1:14" s="609" customFormat="1" x14ac:dyDescent="0.2">
      <c r="A63" s="1504" t="s">
        <v>100</v>
      </c>
      <c r="B63" s="614">
        <v>2560</v>
      </c>
      <c r="C63" s="466">
        <v>148258</v>
      </c>
      <c r="D63" s="466">
        <v>463</v>
      </c>
      <c r="E63" s="466"/>
      <c r="F63" s="466">
        <v>549800</v>
      </c>
      <c r="G63" s="466"/>
      <c r="H63" s="466"/>
      <c r="I63" s="467"/>
      <c r="J63" s="467"/>
      <c r="K63" s="1672">
        <f t="shared" si="7"/>
        <v>698521</v>
      </c>
      <c r="L63" s="466">
        <v>782516</v>
      </c>
    </row>
    <row r="64" spans="1:14" s="609" customFormat="1" x14ac:dyDescent="0.2">
      <c r="A64" s="1509" t="s">
        <v>101</v>
      </c>
      <c r="B64" s="630">
        <v>2570</v>
      </c>
      <c r="C64" s="481"/>
      <c r="D64" s="481"/>
      <c r="E64" s="481"/>
      <c r="F64" s="481">
        <v>2115</v>
      </c>
      <c r="G64" s="481"/>
      <c r="H64" s="481"/>
      <c r="I64" s="467"/>
      <c r="J64" s="467"/>
      <c r="K64" s="1672">
        <f t="shared" si="7"/>
        <v>2115</v>
      </c>
      <c r="L64" s="481">
        <v>4000</v>
      </c>
    </row>
    <row r="65" spans="1:14" s="343" customFormat="1" ht="12.75" customHeight="1" thickBot="1" x14ac:dyDescent="0.25">
      <c r="A65" s="1668" t="s">
        <v>719</v>
      </c>
      <c r="B65" s="1669" t="s">
        <v>35</v>
      </c>
      <c r="C65" s="1670">
        <f>SUM(C59:C64)</f>
        <v>443523</v>
      </c>
      <c r="D65" s="1670">
        <f t="shared" ref="D65:L65" si="8">SUM(D59:D64)</f>
        <v>69154</v>
      </c>
      <c r="E65" s="1670">
        <f t="shared" si="8"/>
        <v>56800</v>
      </c>
      <c r="F65" s="1670">
        <f t="shared" si="8"/>
        <v>555266</v>
      </c>
      <c r="G65" s="1670">
        <f t="shared" si="8"/>
        <v>0</v>
      </c>
      <c r="H65" s="1670">
        <f t="shared" si="8"/>
        <v>2022</v>
      </c>
      <c r="I65" s="1670">
        <f t="shared" si="8"/>
        <v>0</v>
      </c>
      <c r="J65" s="1670">
        <f t="shared" si="8"/>
        <v>0</v>
      </c>
      <c r="K65" s="1670">
        <f t="shared" si="8"/>
        <v>1126765</v>
      </c>
      <c r="L65" s="1670">
        <f t="shared" si="8"/>
        <v>1214289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1565</v>
      </c>
      <c r="D69" s="466">
        <v>21</v>
      </c>
      <c r="E69" s="466"/>
      <c r="F69" s="466"/>
      <c r="G69" s="466"/>
      <c r="H69" s="466"/>
      <c r="I69" s="467"/>
      <c r="J69" s="467"/>
      <c r="K69" s="1672">
        <f>SUM(C69:J69)</f>
        <v>1586</v>
      </c>
      <c r="L69" s="466">
        <v>5050</v>
      </c>
      <c r="M69" s="609"/>
      <c r="N69" s="609"/>
    </row>
    <row r="70" spans="1:14" s="343" customFormat="1" x14ac:dyDescent="0.2">
      <c r="A70" s="1504" t="s">
        <v>403</v>
      </c>
      <c r="B70" s="614">
        <v>2640</v>
      </c>
      <c r="C70" s="466">
        <v>71640</v>
      </c>
      <c r="D70" s="466">
        <v>20576</v>
      </c>
      <c r="E70" s="466">
        <v>67966</v>
      </c>
      <c r="F70" s="466">
        <v>174</v>
      </c>
      <c r="G70" s="466"/>
      <c r="H70" s="466">
        <v>829</v>
      </c>
      <c r="I70" s="467"/>
      <c r="J70" s="467"/>
      <c r="K70" s="1672">
        <f>SUM(C70:J70)</f>
        <v>161185</v>
      </c>
      <c r="L70" s="466">
        <v>208150</v>
      </c>
      <c r="M70" s="609"/>
      <c r="N70" s="609"/>
    </row>
    <row r="71" spans="1:14" s="343" customFormat="1" x14ac:dyDescent="0.2">
      <c r="A71" s="1504" t="s">
        <v>404</v>
      </c>
      <c r="B71" s="614">
        <v>2660</v>
      </c>
      <c r="C71" s="466"/>
      <c r="D71" s="466"/>
      <c r="E71" s="466"/>
      <c r="F71" s="466">
        <v>63949</v>
      </c>
      <c r="G71" s="466"/>
      <c r="H71" s="466"/>
      <c r="I71" s="467">
        <v>27293</v>
      </c>
      <c r="J71" s="467"/>
      <c r="K71" s="1672">
        <f>SUM(C71:J71)</f>
        <v>91242</v>
      </c>
      <c r="L71" s="466">
        <v>68100</v>
      </c>
      <c r="M71" s="609"/>
      <c r="N71" s="609"/>
    </row>
    <row r="72" spans="1:14" s="343" customFormat="1" ht="12.75" customHeight="1" thickBot="1" x14ac:dyDescent="0.25">
      <c r="A72" s="1668" t="s">
        <v>37</v>
      </c>
      <c r="B72" s="1675" t="s">
        <v>36</v>
      </c>
      <c r="C72" s="1670">
        <f>SUM(C67:C71)</f>
        <v>73205</v>
      </c>
      <c r="D72" s="1670">
        <f t="shared" ref="D72:K72" si="9">SUM(D67:D71)</f>
        <v>20597</v>
      </c>
      <c r="E72" s="1670">
        <f t="shared" si="9"/>
        <v>67966</v>
      </c>
      <c r="F72" s="1670">
        <f t="shared" si="9"/>
        <v>64123</v>
      </c>
      <c r="G72" s="1670">
        <f t="shared" si="9"/>
        <v>0</v>
      </c>
      <c r="H72" s="1670">
        <f t="shared" si="9"/>
        <v>829</v>
      </c>
      <c r="I72" s="1670">
        <f t="shared" si="9"/>
        <v>27293</v>
      </c>
      <c r="J72" s="1670">
        <f t="shared" si="9"/>
        <v>0</v>
      </c>
      <c r="K72" s="1670">
        <f t="shared" si="9"/>
        <v>254013</v>
      </c>
      <c r="L72" s="1670">
        <f>SUM(L67:L71)</f>
        <v>281300</v>
      </c>
      <c r="M72" s="609"/>
      <c r="N72" s="609"/>
    </row>
    <row r="73" spans="1:14" s="343" customFormat="1" ht="14.25" thickTop="1" thickBot="1" x14ac:dyDescent="0.25">
      <c r="A73" s="1510" t="s">
        <v>980</v>
      </c>
      <c r="B73" s="632" t="s">
        <v>574</v>
      </c>
      <c r="C73" s="573"/>
      <c r="D73" s="573"/>
      <c r="E73" s="573"/>
      <c r="F73" s="573">
        <v>298</v>
      </c>
      <c r="G73" s="573"/>
      <c r="H73" s="573"/>
      <c r="I73" s="531"/>
      <c r="J73" s="531"/>
      <c r="K73" s="1670">
        <f>SUM(C73:J73)</f>
        <v>298</v>
      </c>
      <c r="L73" s="576">
        <v>300</v>
      </c>
      <c r="M73" s="609"/>
      <c r="N73" s="609"/>
    </row>
    <row r="74" spans="1:14" ht="12.75" customHeight="1" thickTop="1" thickBot="1" x14ac:dyDescent="0.25">
      <c r="A74" s="1668" t="s">
        <v>811</v>
      </c>
      <c r="B74" s="1676">
        <v>2000</v>
      </c>
      <c r="C74" s="1677">
        <f>SUM(C42,C47,C53,C57,C65,C72,C73)</f>
        <v>5131680</v>
      </c>
      <c r="D74" s="1677">
        <f t="shared" ref="D74:K74" si="10">SUM(D42,D47,D53,D57,D65,D72,D73)</f>
        <v>1312403</v>
      </c>
      <c r="E74" s="1677">
        <f t="shared" si="10"/>
        <v>637397</v>
      </c>
      <c r="F74" s="1677">
        <f t="shared" si="10"/>
        <v>847453</v>
      </c>
      <c r="G74" s="1677">
        <f t="shared" si="10"/>
        <v>0</v>
      </c>
      <c r="H74" s="1677">
        <f t="shared" si="10"/>
        <v>84017</v>
      </c>
      <c r="I74" s="1677">
        <f t="shared" si="10"/>
        <v>45461</v>
      </c>
      <c r="J74" s="1677">
        <f t="shared" si="10"/>
        <v>0</v>
      </c>
      <c r="K74" s="1677">
        <f t="shared" si="10"/>
        <v>8058411</v>
      </c>
      <c r="L74" s="1677">
        <f>SUM(L42,L47,L53,L57,L65,L72,L73)</f>
        <v>8267155</v>
      </c>
    </row>
    <row r="75" spans="1:14" s="259" customFormat="1" ht="15.75" customHeight="1" thickTop="1" thickBot="1" x14ac:dyDescent="0.25">
      <c r="A75" s="1610" t="s">
        <v>47</v>
      </c>
      <c r="B75" s="1611" t="s">
        <v>575</v>
      </c>
      <c r="C75" s="573">
        <v>218063</v>
      </c>
      <c r="D75" s="573">
        <v>47979</v>
      </c>
      <c r="E75" s="573">
        <v>14454</v>
      </c>
      <c r="F75" s="573">
        <v>34437</v>
      </c>
      <c r="G75" s="573"/>
      <c r="H75" s="573"/>
      <c r="I75" s="531"/>
      <c r="J75" s="531"/>
      <c r="K75" s="1670">
        <f>SUM(C75:J75)</f>
        <v>314933</v>
      </c>
      <c r="L75" s="576">
        <v>386220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340</v>
      </c>
      <c r="F78" s="616"/>
      <c r="G78" s="616"/>
      <c r="H78" s="634"/>
      <c r="I78" s="477"/>
      <c r="J78" s="477"/>
      <c r="K78" s="1671">
        <f t="shared" ref="K78:K83" si="11">SUM(C78:J78)</f>
        <v>340</v>
      </c>
      <c r="L78" s="481">
        <v>3084</v>
      </c>
    </row>
    <row r="79" spans="1:14" x14ac:dyDescent="0.2">
      <c r="A79" s="1504" t="s">
        <v>304</v>
      </c>
      <c r="B79" s="614">
        <v>4120</v>
      </c>
      <c r="C79" s="616"/>
      <c r="D79" s="616"/>
      <c r="E79" s="466"/>
      <c r="F79" s="616"/>
      <c r="G79" s="616"/>
      <c r="H79" s="466">
        <v>645021</v>
      </c>
      <c r="I79" s="477"/>
      <c r="J79" s="477"/>
      <c r="K79" s="1671">
        <f t="shared" si="11"/>
        <v>645021</v>
      </c>
      <c r="L79" s="466">
        <v>900000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340</v>
      </c>
      <c r="F84" s="616"/>
      <c r="G84" s="616"/>
      <c r="H84" s="1670">
        <f>SUM(H78:H83)</f>
        <v>645021</v>
      </c>
      <c r="I84" s="477"/>
      <c r="J84" s="477"/>
      <c r="K84" s="1670">
        <f>SUM(K78:K83)</f>
        <v>645361</v>
      </c>
      <c r="L84" s="1670">
        <f>SUM(L78:L83)</f>
        <v>903084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340</v>
      </c>
      <c r="F102" s="616"/>
      <c r="G102" s="616"/>
      <c r="H102" s="1677">
        <f>SUM(H84,H92,H100,H101)</f>
        <v>645021</v>
      </c>
      <c r="I102" s="477"/>
      <c r="J102" s="477"/>
      <c r="K102" s="1677">
        <f>SUM(K84,K92,K100,K101)</f>
        <v>645361</v>
      </c>
      <c r="L102" s="1677">
        <f>SUM(L84,L92,L100,L101)</f>
        <v>903084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21488680</v>
      </c>
      <c r="D114" s="1670">
        <f t="shared" ref="D114:K114" si="13">SUM(D33,D74,D75,D102,D112,D113)</f>
        <v>5168427</v>
      </c>
      <c r="E114" s="1670">
        <f t="shared" si="13"/>
        <v>969470</v>
      </c>
      <c r="F114" s="1670">
        <f t="shared" si="13"/>
        <v>1832032</v>
      </c>
      <c r="G114" s="1670">
        <f t="shared" si="13"/>
        <v>138227</v>
      </c>
      <c r="H114" s="1670">
        <f>SUM(H33,H74,H75,H102,H112,H113)</f>
        <v>1304510</v>
      </c>
      <c r="I114" s="1670">
        <f t="shared" si="13"/>
        <v>551035</v>
      </c>
      <c r="J114" s="1670">
        <f t="shared" si="13"/>
        <v>0</v>
      </c>
      <c r="K114" s="1670">
        <f t="shared" si="13"/>
        <v>31452381</v>
      </c>
      <c r="L114" s="1670">
        <f>SUM(L33,L74,L75,L102,L112,L113)</f>
        <v>31726627</v>
      </c>
    </row>
    <row r="115" spans="1:14" ht="13.5" thickTop="1" x14ac:dyDescent="0.2">
      <c r="A115" s="2169" t="s">
        <v>996</v>
      </c>
      <c r="B115" s="2170"/>
      <c r="C115" s="618"/>
      <c r="D115" s="618"/>
      <c r="E115" s="618"/>
      <c r="F115" s="618"/>
      <c r="G115" s="618"/>
      <c r="H115" s="618"/>
      <c r="I115" s="618"/>
      <c r="J115" s="618"/>
      <c r="K115" s="1684">
        <f>'Revenues 9-14'!C268-'Expenditures 15-22'!K114</f>
        <v>374823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296</v>
      </c>
      <c r="B117" s="217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26438</v>
      </c>
      <c r="D122" s="466">
        <v>8493</v>
      </c>
      <c r="E122" s="466"/>
      <c r="F122" s="466"/>
      <c r="G122" s="466"/>
      <c r="H122" s="466"/>
      <c r="I122" s="467"/>
      <c r="J122" s="467"/>
      <c r="K122" s="1670">
        <f>SUM(C122:J122)</f>
        <v>34931</v>
      </c>
      <c r="L122" s="466">
        <v>38912</v>
      </c>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1356775</v>
      </c>
      <c r="D124" s="466">
        <v>225528</v>
      </c>
      <c r="E124" s="466">
        <v>598025</v>
      </c>
      <c r="F124" s="466">
        <v>766763</v>
      </c>
      <c r="G124" s="466">
        <v>78093</v>
      </c>
      <c r="H124" s="466"/>
      <c r="I124" s="467">
        <v>271249</v>
      </c>
      <c r="J124" s="467"/>
      <c r="K124" s="1670">
        <f>SUM(C124:J124)</f>
        <v>3296433</v>
      </c>
      <c r="L124" s="466">
        <v>3619446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1383213</v>
      </c>
      <c r="D127" s="1670">
        <f t="shared" ref="D127:L127" si="14">SUM(D122:D126)</f>
        <v>234021</v>
      </c>
      <c r="E127" s="1670">
        <f t="shared" si="14"/>
        <v>598025</v>
      </c>
      <c r="F127" s="1670">
        <f t="shared" si="14"/>
        <v>766763</v>
      </c>
      <c r="G127" s="1670">
        <f t="shared" si="14"/>
        <v>78093</v>
      </c>
      <c r="H127" s="1670">
        <f t="shared" si="14"/>
        <v>0</v>
      </c>
      <c r="I127" s="1670">
        <f t="shared" si="14"/>
        <v>271249</v>
      </c>
      <c r="J127" s="1670">
        <f t="shared" si="14"/>
        <v>0</v>
      </c>
      <c r="K127" s="1670">
        <f t="shared" si="14"/>
        <v>3331364</v>
      </c>
      <c r="L127" s="1670">
        <f t="shared" si="14"/>
        <v>3658358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1383213</v>
      </c>
      <c r="D129" s="1677">
        <f t="shared" ref="D129:L129" si="15">SUM(D120,D127,D128)</f>
        <v>234021</v>
      </c>
      <c r="E129" s="1677">
        <f t="shared" si="15"/>
        <v>598025</v>
      </c>
      <c r="F129" s="1677">
        <f t="shared" si="15"/>
        <v>766763</v>
      </c>
      <c r="G129" s="1677">
        <f t="shared" si="15"/>
        <v>78093</v>
      </c>
      <c r="H129" s="1677">
        <f t="shared" si="15"/>
        <v>0</v>
      </c>
      <c r="I129" s="1677">
        <f t="shared" si="15"/>
        <v>271249</v>
      </c>
      <c r="J129" s="1677">
        <f t="shared" si="15"/>
        <v>0</v>
      </c>
      <c r="K129" s="1677">
        <f t="shared" si="15"/>
        <v>3331364</v>
      </c>
      <c r="L129" s="1677">
        <f t="shared" si="15"/>
        <v>3658358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6" t="s">
        <v>620</v>
      </c>
      <c r="B151" s="2166"/>
      <c r="C151" s="1670">
        <f>SUM(C129,C130,C139,C149,C150)</f>
        <v>1383213</v>
      </c>
      <c r="D151" s="1670">
        <f t="shared" ref="D151:K151" si="16">SUM(D129,D130,D139,D149,D150)</f>
        <v>234021</v>
      </c>
      <c r="E151" s="1670">
        <f t="shared" si="16"/>
        <v>598025</v>
      </c>
      <c r="F151" s="1670">
        <f t="shared" si="16"/>
        <v>766763</v>
      </c>
      <c r="G151" s="1670">
        <f t="shared" si="16"/>
        <v>78093</v>
      </c>
      <c r="H151" s="1670">
        <f t="shared" si="16"/>
        <v>0</v>
      </c>
      <c r="I151" s="1670">
        <f t="shared" si="16"/>
        <v>271249</v>
      </c>
      <c r="J151" s="1670">
        <f t="shared" si="16"/>
        <v>0</v>
      </c>
      <c r="K151" s="1670">
        <f t="shared" si="16"/>
        <v>3331364</v>
      </c>
      <c r="L151" s="1670">
        <f>SUM(L129,L130,L139,L149,L150)</f>
        <v>3658358</v>
      </c>
    </row>
    <row r="152" spans="1:14" ht="12.75" customHeight="1" thickTop="1" x14ac:dyDescent="0.2">
      <c r="A152" s="2189" t="s">
        <v>1178</v>
      </c>
      <c r="B152" s="2190"/>
      <c r="C152" s="618"/>
      <c r="D152" s="618"/>
      <c r="E152" s="618"/>
      <c r="F152" s="618"/>
      <c r="G152" s="618"/>
      <c r="H152" s="618"/>
      <c r="I152" s="618"/>
      <c r="J152" s="616"/>
      <c r="K152" s="1684">
        <f>'Revenues 9-14'!D268-'Expenditures 15-22'!K151</f>
        <v>-119522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621</v>
      </c>
      <c r="B154" s="217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864235</v>
      </c>
      <c r="I169" s="616"/>
      <c r="J169" s="616"/>
      <c r="K169" s="1671">
        <f>SUM(C169:H169)</f>
        <v>864235</v>
      </c>
      <c r="L169" s="656">
        <v>867435</v>
      </c>
    </row>
    <row r="170" spans="1:14" ht="33.75" customHeight="1" x14ac:dyDescent="0.2">
      <c r="A170" s="669" t="s">
        <v>1670</v>
      </c>
      <c r="B170" s="671" t="s">
        <v>31</v>
      </c>
      <c r="C170" s="616"/>
      <c r="D170" s="616"/>
      <c r="E170" s="616"/>
      <c r="F170" s="616"/>
      <c r="G170" s="616"/>
      <c r="H170" s="569">
        <v>3120000</v>
      </c>
      <c r="I170" s="616"/>
      <c r="J170" s="616"/>
      <c r="K170" s="1671">
        <f>SUM(C170:J170)</f>
        <v>3120000</v>
      </c>
      <c r="L170" s="569">
        <v>3120000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3984235</v>
      </c>
      <c r="I172" s="638"/>
      <c r="J172" s="616"/>
      <c r="K172" s="1677">
        <f>SUM(K168,K169,K170,K171)</f>
        <v>3984235</v>
      </c>
      <c r="L172" s="1677">
        <f>SUM(L168,L169,L170,L171)</f>
        <v>3987435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3984235</v>
      </c>
      <c r="I174" s="638"/>
      <c r="J174" s="616"/>
      <c r="K174" s="1677">
        <f>SUM(K160,K172,K173)</f>
        <v>3984235</v>
      </c>
      <c r="L174" s="1677">
        <f>SUM(L160,L172,L173)</f>
        <v>3987435</v>
      </c>
    </row>
    <row r="175" spans="1:14" ht="13.5" thickTop="1" x14ac:dyDescent="0.2">
      <c r="A175" s="2169" t="s">
        <v>996</v>
      </c>
      <c r="B175" s="2170"/>
      <c r="C175" s="616"/>
      <c r="D175" s="616"/>
      <c r="E175" s="616"/>
      <c r="F175" s="616"/>
      <c r="G175" s="616"/>
      <c r="H175" s="618"/>
      <c r="I175" s="616"/>
      <c r="J175" s="616"/>
      <c r="K175" s="1684">
        <f>'Revenues 9-14'!E268-'Expenditures 15-22'!K174</f>
        <v>-1358985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8997</v>
      </c>
      <c r="D182" s="466"/>
      <c r="E182" s="466">
        <v>1547619</v>
      </c>
      <c r="F182" s="466"/>
      <c r="G182" s="466"/>
      <c r="H182" s="466"/>
      <c r="I182" s="467"/>
      <c r="J182" s="467"/>
      <c r="K182" s="1671">
        <f>SUM(C182:J182)</f>
        <v>1556616</v>
      </c>
      <c r="L182" s="466">
        <v>1680500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8997</v>
      </c>
      <c r="D184" s="1677">
        <f t="shared" ref="D184:J184" si="17">SUM(D180,D182,D183)</f>
        <v>0</v>
      </c>
      <c r="E184" s="1677">
        <f t="shared" si="17"/>
        <v>1547619</v>
      </c>
      <c r="F184" s="1677">
        <f t="shared" si="17"/>
        <v>0</v>
      </c>
      <c r="G184" s="1677">
        <f t="shared" si="17"/>
        <v>0</v>
      </c>
      <c r="H184" s="1677">
        <f t="shared" si="17"/>
        <v>0</v>
      </c>
      <c r="I184" s="1677">
        <f t="shared" si="17"/>
        <v>0</v>
      </c>
      <c r="J184" s="1677">
        <f t="shared" si="17"/>
        <v>0</v>
      </c>
      <c r="K184" s="1677">
        <f>SUM(K180,K182,K183)</f>
        <v>1556616</v>
      </c>
      <c r="L184" s="1677">
        <f>SUM(L180, L182:L183)</f>
        <v>1680500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8997</v>
      </c>
      <c r="D210" s="1670">
        <f>SUM(D184,D185)</f>
        <v>0</v>
      </c>
      <c r="E210" s="1670">
        <f>SUM(E184,E185,E196)</f>
        <v>1547619</v>
      </c>
      <c r="F210" s="1670">
        <f>SUM(F184,F185)</f>
        <v>0</v>
      </c>
      <c r="G210" s="1670">
        <f>SUM(G184,G185)</f>
        <v>0</v>
      </c>
      <c r="H210" s="1670">
        <f>SUM(H184,H185,H196,H208,H209)</f>
        <v>0</v>
      </c>
      <c r="I210" s="1670">
        <f>SUM(I184,I185)</f>
        <v>0</v>
      </c>
      <c r="J210" s="1670">
        <f>SUM(J184,J185)</f>
        <v>0</v>
      </c>
      <c r="K210" s="1671">
        <f>SUM(K184,K185,K196,K208,K209)</f>
        <v>1556616</v>
      </c>
      <c r="L210" s="1670">
        <f>SUM(L184,L185,L196,L208,L209)</f>
        <v>1680500</v>
      </c>
    </row>
    <row r="211" spans="1:14" ht="13.5" thickTop="1" x14ac:dyDescent="0.2">
      <c r="A211" s="2169" t="s">
        <v>996</v>
      </c>
      <c r="B211" s="2170"/>
      <c r="C211" s="618"/>
      <c r="D211" s="618"/>
      <c r="E211" s="618"/>
      <c r="F211" s="618"/>
      <c r="G211" s="618"/>
      <c r="H211" s="618"/>
      <c r="I211" s="616"/>
      <c r="J211" s="616"/>
      <c r="K211" s="1684">
        <f>'Revenues 9-14'!F268-'Expenditures 15-22'!K210</f>
        <v>954290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965</v>
      </c>
      <c r="B213" s="219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45359+170278</f>
        <v>215637</v>
      </c>
      <c r="E215" s="616"/>
      <c r="F215" s="616"/>
      <c r="G215" s="616"/>
      <c r="H215" s="616"/>
      <c r="I215" s="616"/>
      <c r="J215" s="616"/>
      <c r="K215" s="1671">
        <f>D215</f>
        <v>215637</v>
      </c>
      <c r="L215" s="466">
        <v>218100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147422+151396</f>
        <v>298818</v>
      </c>
      <c r="E217" s="616"/>
      <c r="F217" s="616"/>
      <c r="G217" s="616"/>
      <c r="H217" s="616"/>
      <c r="I217" s="616"/>
      <c r="J217" s="616"/>
      <c r="K217" s="1671">
        <f t="shared" si="19"/>
        <v>298818</v>
      </c>
      <c r="L217" s="466">
        <v>250700</v>
      </c>
    </row>
    <row r="218" spans="1:14" x14ac:dyDescent="0.2">
      <c r="A218" s="1504" t="s">
        <v>278</v>
      </c>
      <c r="B218" s="614" t="s">
        <v>968</v>
      </c>
      <c r="C218" s="616"/>
      <c r="D218" s="467">
        <f>14986+17907</f>
        <v>32893</v>
      </c>
      <c r="E218" s="616"/>
      <c r="F218" s="616"/>
      <c r="G218" s="616"/>
      <c r="H218" s="616"/>
      <c r="I218" s="616"/>
      <c r="J218" s="616"/>
      <c r="K218" s="1671">
        <f t="shared" si="19"/>
        <v>32893</v>
      </c>
      <c r="L218" s="466">
        <v>33200</v>
      </c>
    </row>
    <row r="219" spans="1:14" x14ac:dyDescent="0.2">
      <c r="A219" s="1504" t="s">
        <v>279</v>
      </c>
      <c r="B219" s="614">
        <v>1250</v>
      </c>
      <c r="C219" s="616"/>
      <c r="D219" s="466">
        <v>7049</v>
      </c>
      <c r="E219" s="616"/>
      <c r="F219" s="616"/>
      <c r="G219" s="616"/>
      <c r="H219" s="616"/>
      <c r="I219" s="616"/>
      <c r="J219" s="616"/>
      <c r="K219" s="1671">
        <f t="shared" si="19"/>
        <v>7049</v>
      </c>
      <c r="L219" s="466">
        <v>3400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4363</v>
      </c>
      <c r="E223" s="616"/>
      <c r="F223" s="616"/>
      <c r="G223" s="616"/>
      <c r="H223" s="616"/>
      <c r="I223" s="616"/>
      <c r="J223" s="616"/>
      <c r="K223" s="1671">
        <f t="shared" si="19"/>
        <v>4363</v>
      </c>
      <c r="L223" s="466">
        <v>0</v>
      </c>
    </row>
    <row r="224" spans="1:14" x14ac:dyDescent="0.2">
      <c r="A224" s="1504" t="s">
        <v>964</v>
      </c>
      <c r="B224" s="614">
        <v>1600</v>
      </c>
      <c r="C224" s="616"/>
      <c r="D224" s="466">
        <f>5548+5727</f>
        <v>11275</v>
      </c>
      <c r="E224" s="616"/>
      <c r="F224" s="616"/>
      <c r="G224" s="616"/>
      <c r="H224" s="616"/>
      <c r="I224" s="616"/>
      <c r="J224" s="616"/>
      <c r="K224" s="1671">
        <f t="shared" si="19"/>
        <v>11275</v>
      </c>
      <c r="L224" s="466">
        <v>14900</v>
      </c>
    </row>
    <row r="225" spans="1:12" x14ac:dyDescent="0.2">
      <c r="A225" s="1504" t="s">
        <v>987</v>
      </c>
      <c r="B225" s="614">
        <v>1650</v>
      </c>
      <c r="C225" s="616"/>
      <c r="D225" s="466">
        <v>3958</v>
      </c>
      <c r="E225" s="616"/>
      <c r="F225" s="616"/>
      <c r="G225" s="616"/>
      <c r="H225" s="616"/>
      <c r="I225" s="616"/>
      <c r="J225" s="616"/>
      <c r="K225" s="1671">
        <f t="shared" si="19"/>
        <v>3958</v>
      </c>
      <c r="L225" s="466">
        <v>3900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f>104+11763</f>
        <v>11867</v>
      </c>
      <c r="E227" s="616"/>
      <c r="F227" s="616"/>
      <c r="G227" s="616"/>
      <c r="H227" s="616"/>
      <c r="I227" s="616"/>
      <c r="J227" s="616"/>
      <c r="K227" s="1671">
        <f t="shared" si="19"/>
        <v>11867</v>
      </c>
      <c r="L227" s="466">
        <v>19900</v>
      </c>
    </row>
    <row r="228" spans="1:12" x14ac:dyDescent="0.2">
      <c r="A228" s="1504" t="s">
        <v>1088</v>
      </c>
      <c r="B228" s="614">
        <v>1900</v>
      </c>
      <c r="C228" s="616"/>
      <c r="D228" s="466">
        <v>66</v>
      </c>
      <c r="E228" s="616"/>
      <c r="F228" s="616"/>
      <c r="G228" s="616"/>
      <c r="H228" s="616"/>
      <c r="I228" s="616"/>
      <c r="J228" s="616"/>
      <c r="K228" s="1671">
        <f t="shared" si="19"/>
        <v>66</v>
      </c>
      <c r="L228" s="466">
        <v>100</v>
      </c>
    </row>
    <row r="229" spans="1:12" ht="12.75" customHeight="1" thickBot="1" x14ac:dyDescent="0.25">
      <c r="A229" s="1668" t="s">
        <v>715</v>
      </c>
      <c r="B229" s="1675" t="s">
        <v>570</v>
      </c>
      <c r="C229" s="616"/>
      <c r="D229" s="1670">
        <f>SUM(D215:D228)</f>
        <v>585926</v>
      </c>
      <c r="E229" s="616"/>
      <c r="F229" s="616"/>
      <c r="G229" s="616"/>
      <c r="H229" s="616"/>
      <c r="I229" s="616"/>
      <c r="J229" s="616"/>
      <c r="K229" s="1670">
        <f>SUM(K215:K228)</f>
        <v>585926</v>
      </c>
      <c r="L229" s="1670">
        <f>SUM(L215:L228)</f>
        <v>544200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8861</v>
      </c>
      <c r="E232" s="616"/>
      <c r="F232" s="616"/>
      <c r="G232" s="616"/>
      <c r="H232" s="616"/>
      <c r="I232" s="616"/>
      <c r="J232" s="616"/>
      <c r="K232" s="1671">
        <f t="shared" ref="K232:K237" si="20">D232</f>
        <v>8861</v>
      </c>
      <c r="L232" s="466">
        <v>8100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71738</v>
      </c>
      <c r="E234" s="616"/>
      <c r="F234" s="616"/>
      <c r="G234" s="616"/>
      <c r="H234" s="616"/>
      <c r="I234" s="616"/>
      <c r="J234" s="616"/>
      <c r="K234" s="1671">
        <f t="shared" si="20"/>
        <v>71738</v>
      </c>
      <c r="L234" s="466">
        <v>68300</v>
      </c>
    </row>
    <row r="235" spans="1:12" x14ac:dyDescent="0.2">
      <c r="A235" s="1504" t="s">
        <v>199</v>
      </c>
      <c r="B235" s="614">
        <v>2140</v>
      </c>
      <c r="C235" s="616"/>
      <c r="D235" s="466">
        <v>2789</v>
      </c>
      <c r="E235" s="616"/>
      <c r="F235" s="616"/>
      <c r="G235" s="616"/>
      <c r="H235" s="616"/>
      <c r="I235" s="616"/>
      <c r="J235" s="616"/>
      <c r="K235" s="1671">
        <f t="shared" si="20"/>
        <v>2789</v>
      </c>
      <c r="L235" s="466">
        <v>3000</v>
      </c>
    </row>
    <row r="236" spans="1:12" x14ac:dyDescent="0.2">
      <c r="A236" s="1504" t="s">
        <v>200</v>
      </c>
      <c r="B236" s="614">
        <v>2150</v>
      </c>
      <c r="C236" s="616"/>
      <c r="D236" s="466">
        <v>17451</v>
      </c>
      <c r="E236" s="616"/>
      <c r="F236" s="616"/>
      <c r="G236" s="616"/>
      <c r="H236" s="616"/>
      <c r="I236" s="616"/>
      <c r="J236" s="616"/>
      <c r="K236" s="1671">
        <f t="shared" si="20"/>
        <v>17451</v>
      </c>
      <c r="L236" s="466">
        <v>12000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100839</v>
      </c>
      <c r="E238" s="616"/>
      <c r="F238" s="616"/>
      <c r="G238" s="616"/>
      <c r="H238" s="616"/>
      <c r="I238" s="616"/>
      <c r="J238" s="616"/>
      <c r="K238" s="1670">
        <f>SUM(K232:K237)</f>
        <v>100839</v>
      </c>
      <c r="L238" s="1670">
        <f>SUM(L232:L237)</f>
        <v>91400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5882+8741</f>
        <v>14623</v>
      </c>
      <c r="E240" s="616"/>
      <c r="F240" s="616"/>
      <c r="G240" s="616"/>
      <c r="H240" s="616"/>
      <c r="I240" s="616"/>
      <c r="J240" s="616"/>
      <c r="K240" s="1672">
        <f>D240</f>
        <v>14623</v>
      </c>
      <c r="L240" s="481">
        <v>14800</v>
      </c>
    </row>
    <row r="241" spans="1:12" x14ac:dyDescent="0.2">
      <c r="A241" s="1504" t="s">
        <v>815</v>
      </c>
      <c r="B241" s="614">
        <v>2220</v>
      </c>
      <c r="C241" s="616"/>
      <c r="D241" s="466">
        <f>16951+10835</f>
        <v>27786</v>
      </c>
      <c r="E241" s="616"/>
      <c r="F241" s="616"/>
      <c r="G241" s="616"/>
      <c r="H241" s="616"/>
      <c r="I241" s="616"/>
      <c r="J241" s="616"/>
      <c r="K241" s="1672">
        <f>D241</f>
        <v>27786</v>
      </c>
      <c r="L241" s="466">
        <v>21900</v>
      </c>
    </row>
    <row r="242" spans="1:12" x14ac:dyDescent="0.2">
      <c r="A242" s="1504" t="s">
        <v>816</v>
      </c>
      <c r="B242" s="614">
        <v>2230</v>
      </c>
      <c r="C242" s="616"/>
      <c r="D242" s="466"/>
      <c r="E242" s="616"/>
      <c r="F242" s="616"/>
      <c r="G242" s="616"/>
      <c r="H242" s="616"/>
      <c r="I242" s="616"/>
      <c r="J242" s="616"/>
      <c r="K242" s="1672">
        <f>D242</f>
        <v>0</v>
      </c>
      <c r="L242" s="466">
        <v>200</v>
      </c>
    </row>
    <row r="243" spans="1:12" ht="12.75" customHeight="1" thickBot="1" x14ac:dyDescent="0.25">
      <c r="A243" s="1694" t="s">
        <v>561</v>
      </c>
      <c r="B243" s="1695">
        <v>2200</v>
      </c>
      <c r="C243" s="616"/>
      <c r="D243" s="1670">
        <f>SUM(D240:D242)</f>
        <v>42409</v>
      </c>
      <c r="E243" s="616"/>
      <c r="F243" s="616"/>
      <c r="G243" s="616"/>
      <c r="H243" s="616"/>
      <c r="I243" s="616"/>
      <c r="J243" s="616"/>
      <c r="K243" s="1670">
        <f>SUM(K240:K242)</f>
        <v>42409</v>
      </c>
      <c r="L243" s="1670">
        <f>SUM(L240:L242)</f>
        <v>36900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162</v>
      </c>
      <c r="E245" s="616"/>
      <c r="F245" s="616"/>
      <c r="G245" s="616"/>
      <c r="H245" s="616"/>
      <c r="I245" s="616"/>
      <c r="J245" s="616"/>
      <c r="K245" s="1672">
        <f>D245</f>
        <v>162</v>
      </c>
      <c r="L245" s="481">
        <v>200</v>
      </c>
    </row>
    <row r="246" spans="1:12" x14ac:dyDescent="0.2">
      <c r="A246" s="1504" t="s">
        <v>818</v>
      </c>
      <c r="B246" s="614">
        <v>2320</v>
      </c>
      <c r="C246" s="616"/>
      <c r="D246" s="466">
        <v>27483</v>
      </c>
      <c r="E246" s="616"/>
      <c r="F246" s="616"/>
      <c r="G246" s="616"/>
      <c r="H246" s="616"/>
      <c r="I246" s="616"/>
      <c r="J246" s="616"/>
      <c r="K246" s="1672">
        <f t="shared" ref="K246:K256" si="21">D246</f>
        <v>27483</v>
      </c>
      <c r="L246" s="466">
        <v>28000</v>
      </c>
    </row>
    <row r="247" spans="1:12" x14ac:dyDescent="0.2">
      <c r="A247" s="1504" t="s">
        <v>819</v>
      </c>
      <c r="B247" s="614">
        <v>2330</v>
      </c>
      <c r="C247" s="616"/>
      <c r="D247" s="466">
        <f>4331+6257</f>
        <v>10588</v>
      </c>
      <c r="E247" s="616"/>
      <c r="F247" s="616"/>
      <c r="G247" s="616"/>
      <c r="H247" s="616"/>
      <c r="I247" s="616"/>
      <c r="J247" s="616"/>
      <c r="K247" s="1672">
        <f t="shared" si="21"/>
        <v>10588</v>
      </c>
      <c r="L247" s="466">
        <v>11400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38233</v>
      </c>
      <c r="E257" s="616"/>
      <c r="F257" s="616"/>
      <c r="G257" s="616"/>
      <c r="H257" s="616"/>
      <c r="I257" s="616"/>
      <c r="J257" s="616"/>
      <c r="K257" s="1670">
        <f>SUM(K245:K256)</f>
        <v>38233</v>
      </c>
      <c r="L257" s="1670">
        <f>SUM(L245:L256)</f>
        <v>39600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32607+25279</f>
        <v>57886</v>
      </c>
      <c r="E259" s="616"/>
      <c r="F259" s="616"/>
      <c r="G259" s="616"/>
      <c r="H259" s="616"/>
      <c r="I259" s="616"/>
      <c r="J259" s="616"/>
      <c r="K259" s="1672">
        <f>D259</f>
        <v>57886</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57886</v>
      </c>
      <c r="E261" s="616"/>
      <c r="F261" s="616"/>
      <c r="G261" s="616"/>
      <c r="H261" s="616"/>
      <c r="I261" s="616"/>
      <c r="J261" s="616"/>
      <c r="K261" s="1670">
        <f>SUM(K259:K260)</f>
        <v>57886</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2008</v>
      </c>
      <c r="E263" s="616"/>
      <c r="F263" s="616"/>
      <c r="G263" s="616"/>
      <c r="H263" s="616"/>
      <c r="I263" s="616"/>
      <c r="J263" s="616"/>
      <c r="K263" s="1672">
        <f>D263</f>
        <v>2008</v>
      </c>
      <c r="L263" s="481">
        <v>2100</v>
      </c>
    </row>
    <row r="264" spans="1:14" x14ac:dyDescent="0.2">
      <c r="A264" s="1504" t="s">
        <v>463</v>
      </c>
      <c r="B264" s="685">
        <v>2520</v>
      </c>
      <c r="C264" s="616"/>
      <c r="D264" s="466">
        <f>13099+18136</f>
        <v>31235</v>
      </c>
      <c r="E264" s="616"/>
      <c r="F264" s="616"/>
      <c r="G264" s="616"/>
      <c r="H264" s="616"/>
      <c r="I264" s="616"/>
      <c r="J264" s="616"/>
      <c r="K264" s="1672">
        <f t="shared" ref="K264:K269" si="22">D264</f>
        <v>31235</v>
      </c>
      <c r="L264" s="466">
        <v>31000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110581+95649</f>
        <v>206230</v>
      </c>
      <c r="E266" s="616"/>
      <c r="F266" s="616"/>
      <c r="G266" s="616"/>
      <c r="H266" s="616"/>
      <c r="I266" s="616"/>
      <c r="J266" s="616"/>
      <c r="K266" s="1672">
        <f t="shared" si="22"/>
        <v>206230</v>
      </c>
      <c r="L266" s="466">
        <v>229000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25330</v>
      </c>
      <c r="E268" s="616"/>
      <c r="F268" s="616"/>
      <c r="G268" s="616"/>
      <c r="H268" s="616"/>
      <c r="I268" s="616"/>
      <c r="J268" s="616"/>
      <c r="K268" s="1672">
        <f t="shared" si="22"/>
        <v>25330</v>
      </c>
      <c r="L268" s="466">
        <v>25700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264803</v>
      </c>
      <c r="E270" s="616"/>
      <c r="F270" s="616"/>
      <c r="G270" s="616"/>
      <c r="H270" s="616"/>
      <c r="I270" s="616"/>
      <c r="J270" s="616"/>
      <c r="K270" s="1670">
        <f>SUM(K263:K269)</f>
        <v>264803</v>
      </c>
      <c r="L270" s="1670">
        <f>SUM(L263:L269)</f>
        <v>287800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22</v>
      </c>
      <c r="E274" s="616"/>
      <c r="F274" s="616"/>
      <c r="G274" s="616"/>
      <c r="H274" s="616"/>
      <c r="I274" s="616"/>
      <c r="J274" s="616"/>
      <c r="K274" s="1672">
        <f>D274</f>
        <v>22</v>
      </c>
      <c r="L274" s="466">
        <v>0</v>
      </c>
    </row>
    <row r="275" spans="1:12" x14ac:dyDescent="0.2">
      <c r="A275" s="1504" t="s">
        <v>403</v>
      </c>
      <c r="B275" s="614">
        <v>2640</v>
      </c>
      <c r="C275" s="616"/>
      <c r="D275" s="466">
        <f>6797+4772</f>
        <v>11569</v>
      </c>
      <c r="E275" s="616"/>
      <c r="F275" s="616"/>
      <c r="G275" s="616"/>
      <c r="H275" s="616"/>
      <c r="I275" s="616"/>
      <c r="J275" s="616"/>
      <c r="K275" s="1672">
        <f>D275</f>
        <v>11569</v>
      </c>
      <c r="L275" s="466">
        <v>12300</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11591</v>
      </c>
      <c r="E277" s="616"/>
      <c r="F277" s="616"/>
      <c r="G277" s="616"/>
      <c r="H277" s="616"/>
      <c r="I277" s="616"/>
      <c r="J277" s="616"/>
      <c r="K277" s="1670">
        <f>SUM(K272:K276)</f>
        <v>11591</v>
      </c>
      <c r="L277" s="1670">
        <f>SUM(L272:L276)</f>
        <v>12300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515761</v>
      </c>
      <c r="E279" s="616"/>
      <c r="F279" s="616"/>
      <c r="G279" s="616"/>
      <c r="H279" s="616"/>
      <c r="I279" s="616"/>
      <c r="J279" s="616"/>
      <c r="K279" s="1677">
        <f>SUM(K238,K243,K257,K261,K270,K277,K278)</f>
        <v>515761</v>
      </c>
      <c r="L279" s="1677">
        <f>SUM(L238,L243,L257,L261,L270,L277,L278)</f>
        <v>468000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7" t="s">
        <v>505</v>
      </c>
      <c r="B295" s="2188"/>
      <c r="C295" s="616"/>
      <c r="D295" s="1670">
        <f>SUM(D229,D279,D280,D285)</f>
        <v>1101687</v>
      </c>
      <c r="E295" s="616"/>
      <c r="F295" s="616"/>
      <c r="G295" s="616"/>
      <c r="H295" s="1670">
        <f>H293</f>
        <v>0</v>
      </c>
      <c r="I295" s="616"/>
      <c r="J295" s="616"/>
      <c r="K295" s="1670">
        <f>SUM(K229,K279,K280,K285,K293,K294)</f>
        <v>1101687</v>
      </c>
      <c r="L295" s="1670">
        <f>SUM(L229,L279,L280,L285,L293,L294)</f>
        <v>1012200</v>
      </c>
    </row>
    <row r="296" spans="1:14" ht="13.5" thickTop="1" x14ac:dyDescent="0.2">
      <c r="A296" s="2169" t="s">
        <v>996</v>
      </c>
      <c r="B296" s="2170"/>
      <c r="C296" s="616"/>
      <c r="D296" s="618"/>
      <c r="E296" s="616"/>
      <c r="F296" s="616"/>
      <c r="G296" s="616"/>
      <c r="H296" s="687"/>
      <c r="I296" s="616"/>
      <c r="J296" s="616"/>
      <c r="K296" s="1684">
        <f>'Revenues 9-14'!G268-'Expenditures 15-22'!K295</f>
        <v>4240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143</v>
      </c>
      <c r="B298" s="217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4205</v>
      </c>
      <c r="F301" s="466">
        <v>7827</v>
      </c>
      <c r="G301" s="466">
        <v>15619324</v>
      </c>
      <c r="H301" s="466"/>
      <c r="I301" s="467"/>
      <c r="J301" s="467"/>
      <c r="K301" s="1671">
        <f>SUM(C301:J301)</f>
        <v>15631356</v>
      </c>
      <c r="L301" s="467">
        <v>16800000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4205</v>
      </c>
      <c r="F303" s="1677">
        <f t="shared" si="23"/>
        <v>7827</v>
      </c>
      <c r="G303" s="1677">
        <f t="shared" si="23"/>
        <v>15619324</v>
      </c>
      <c r="H303" s="1677">
        <f t="shared" si="23"/>
        <v>0</v>
      </c>
      <c r="I303" s="1677">
        <f t="shared" si="23"/>
        <v>0</v>
      </c>
      <c r="J303" s="1677">
        <f t="shared" si="23"/>
        <v>0</v>
      </c>
      <c r="K303" s="1677">
        <f t="shared" si="23"/>
        <v>15631356</v>
      </c>
      <c r="L303" s="1677">
        <f t="shared" si="23"/>
        <v>16800000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4" t="s">
        <v>277</v>
      </c>
      <c r="B312" s="2185"/>
      <c r="C312" s="1670">
        <f>SUM(C303)</f>
        <v>0</v>
      </c>
      <c r="D312" s="1670">
        <f>SUM(D303)</f>
        <v>0</v>
      </c>
      <c r="E312" s="1670">
        <f>SUM(E303,E310)</f>
        <v>4205</v>
      </c>
      <c r="F312" s="1670">
        <f>SUM(F303)</f>
        <v>7827</v>
      </c>
      <c r="G312" s="1670">
        <f>SUM(G303)</f>
        <v>15619324</v>
      </c>
      <c r="H312" s="1670">
        <f>SUM(H303,H310)</f>
        <v>0</v>
      </c>
      <c r="I312" s="1670">
        <f>SUM(I303)</f>
        <v>0</v>
      </c>
      <c r="J312" s="1670">
        <f>SUM(J303)</f>
        <v>0</v>
      </c>
      <c r="K312" s="1670">
        <f>SUM(K303,K310,K311)</f>
        <v>15631356</v>
      </c>
      <c r="L312" s="1670">
        <f>SUM(L303,L310,L311)</f>
        <v>16800000</v>
      </c>
      <c r="M312" s="665"/>
      <c r="N312" s="665"/>
    </row>
    <row r="313" spans="1:14" ht="13.5" thickTop="1" x14ac:dyDescent="0.2">
      <c r="A313" s="2180" t="s">
        <v>996</v>
      </c>
      <c r="B313" s="2181"/>
      <c r="C313" s="626"/>
      <c r="D313" s="626"/>
      <c r="E313" s="626"/>
      <c r="F313" s="626"/>
      <c r="G313" s="626"/>
      <c r="H313" s="626"/>
      <c r="I313" s="626"/>
      <c r="J313" s="626"/>
      <c r="K313" s="1685">
        <f>'Revenues 9-14'!H268-'Expenditures 15-22'!K312</f>
        <v>-15444661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149</v>
      </c>
      <c r="B315" s="219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898</v>
      </c>
      <c r="B317" s="219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58676</v>
      </c>
      <c r="F320" s="467"/>
      <c r="G320" s="467"/>
      <c r="H320" s="467"/>
      <c r="I320" s="467"/>
      <c r="J320" s="467"/>
      <c r="K320" s="1671">
        <f t="shared" ref="K320:K327" si="24">SUM(C320:J320)</f>
        <v>58676</v>
      </c>
      <c r="L320" s="467">
        <v>100000</v>
      </c>
      <c r="M320" s="665"/>
      <c r="N320" s="665"/>
    </row>
    <row r="321" spans="1:14" s="674" customFormat="1" x14ac:dyDescent="0.2">
      <c r="A321" s="1519" t="s">
        <v>300</v>
      </c>
      <c r="B321" s="697" t="s">
        <v>283</v>
      </c>
      <c r="C321" s="467"/>
      <c r="D321" s="467"/>
      <c r="E321" s="467">
        <v>2033</v>
      </c>
      <c r="F321" s="467"/>
      <c r="G321" s="467"/>
      <c r="H321" s="467"/>
      <c r="I321" s="467"/>
      <c r="J321" s="467"/>
      <c r="K321" s="1671">
        <f t="shared" si="24"/>
        <v>2033</v>
      </c>
      <c r="L321" s="467">
        <v>20000</v>
      </c>
      <c r="M321" s="665"/>
      <c r="N321" s="665"/>
    </row>
    <row r="322" spans="1:14" s="674" customFormat="1" x14ac:dyDescent="0.2">
      <c r="A322" s="1519" t="s">
        <v>238</v>
      </c>
      <c r="B322" s="697" t="s">
        <v>284</v>
      </c>
      <c r="C322" s="467"/>
      <c r="D322" s="467"/>
      <c r="E322" s="467">
        <v>118147</v>
      </c>
      <c r="F322" s="467"/>
      <c r="G322" s="467"/>
      <c r="H322" s="467"/>
      <c r="I322" s="467"/>
      <c r="J322" s="467"/>
      <c r="K322" s="1671">
        <f t="shared" si="24"/>
        <v>118147</v>
      </c>
      <c r="L322" s="467">
        <v>130000</v>
      </c>
      <c r="M322" s="665"/>
      <c r="N322" s="665"/>
    </row>
    <row r="323" spans="1:14" s="674" customFormat="1" x14ac:dyDescent="0.2">
      <c r="A323" s="1519" t="s">
        <v>702</v>
      </c>
      <c r="B323" s="697" t="s">
        <v>285</v>
      </c>
      <c r="C323" s="467"/>
      <c r="D323" s="467"/>
      <c r="E323" s="467">
        <f>780+19575</f>
        <v>20355</v>
      </c>
      <c r="F323" s="467"/>
      <c r="G323" s="467"/>
      <c r="H323" s="467"/>
      <c r="I323" s="467"/>
      <c r="J323" s="467"/>
      <c r="K323" s="1671">
        <f t="shared" si="24"/>
        <v>20355</v>
      </c>
      <c r="L323" s="467">
        <v>1000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0</v>
      </c>
      <c r="F325" s="467"/>
      <c r="G325" s="467"/>
      <c r="H325" s="467"/>
      <c r="I325" s="467"/>
      <c r="J325" s="467"/>
      <c r="K325" s="1671">
        <f t="shared" si="24"/>
        <v>0</v>
      </c>
      <c r="L325" s="467">
        <v>10000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199211</v>
      </c>
      <c r="F330" s="1670">
        <f t="shared" si="25"/>
        <v>0</v>
      </c>
      <c r="G330" s="1670">
        <f t="shared" si="25"/>
        <v>0</v>
      </c>
      <c r="H330" s="1670">
        <f t="shared" si="25"/>
        <v>0</v>
      </c>
      <c r="I330" s="1670">
        <f t="shared" si="25"/>
        <v>0</v>
      </c>
      <c r="J330" s="1670">
        <f t="shared" si="25"/>
        <v>0</v>
      </c>
      <c r="K330" s="1670">
        <f>SUM(K319:K329)</f>
        <v>199211</v>
      </c>
      <c r="L330" s="1670">
        <f>SUM(L319:L329)</f>
        <v>261000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199211</v>
      </c>
      <c r="F342" s="1670">
        <f>SUM(F330)</f>
        <v>0</v>
      </c>
      <c r="G342" s="1670">
        <f>SUM(G330)</f>
        <v>0</v>
      </c>
      <c r="H342" s="1670">
        <f>SUM(H330,H334,H340)</f>
        <v>0</v>
      </c>
      <c r="I342" s="1670">
        <f>SUM(I330)</f>
        <v>0</v>
      </c>
      <c r="J342" s="1670">
        <f>SUM(J330)</f>
        <v>0</v>
      </c>
      <c r="K342" s="1670">
        <f>SUM(K330,K334,K340)</f>
        <v>199211</v>
      </c>
      <c r="L342" s="1677">
        <f>SUM(L330,L340,L341)</f>
        <v>261000</v>
      </c>
    </row>
    <row r="343" spans="1:14" ht="12.75" customHeight="1" thickTop="1" x14ac:dyDescent="0.2">
      <c r="A343" s="2182" t="s">
        <v>996</v>
      </c>
      <c r="B343" s="2183"/>
      <c r="C343" s="616"/>
      <c r="D343" s="616"/>
      <c r="E343" s="616"/>
      <c r="F343" s="616"/>
      <c r="G343" s="616"/>
      <c r="H343" s="616"/>
      <c r="I343" s="616"/>
      <c r="J343" s="616"/>
      <c r="K343" s="1684">
        <f>'Revenues 9-14'!J268-'Expenditures 15-22'!K342</f>
        <v>71259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966</v>
      </c>
      <c r="B345" s="217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5000</v>
      </c>
    </row>
    <row r="368" spans="1:14" ht="13.5" thickTop="1" x14ac:dyDescent="0.2">
      <c r="A368" s="2169" t="s">
        <v>996</v>
      </c>
      <c r="B368" s="2170"/>
      <c r="C368" s="654"/>
      <c r="D368" s="654"/>
      <c r="E368" s="626"/>
      <c r="F368" s="626"/>
      <c r="G368" s="626"/>
      <c r="H368" s="626"/>
      <c r="I368" s="626"/>
      <c r="J368" s="623"/>
      <c r="K368" s="1671">
        <f>'Revenues 9-14'!K268-'Expenditures 15-22'!K367</f>
        <v>17448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6ce3111e-7420-4802-b50a-75d4e9a0b980"/>
    <ds:schemaRef ds:uri="http://schemas.microsoft.com/sharepoint/v3"/>
    <ds:schemaRef ds:uri="http://schemas.microsoft.com/office/infopath/2007/PartnerControls"/>
    <ds:schemaRef ds:uri="http://purl.org/dc/dcmitype/"/>
    <ds:schemaRef ds:uri="http://schemas.microsoft.com/office/2006/metadata/properties"/>
    <ds:schemaRef ds:uri="http://purl.org/dc/terms/"/>
    <ds:schemaRef ds:uri="http://schemas.openxmlformats.org/package/2006/metadata/core-properties"/>
    <ds:schemaRef ds:uri="d21dc803-237d-4c68-8692-8d731fd29118"/>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 (1)</vt:lpstr>
      <vt:lpstr>SF&amp;QC Sec-2 (2)</vt:lpstr>
      <vt:lpstr>SF&amp;QC Sec-3 (3)</vt:lpstr>
      <vt:lpstr>SF&amp;QC Sec-3 (4)</vt:lpstr>
      <vt:lpstr>SF&amp;QC Sec-3 (5)</vt:lpstr>
      <vt:lpstr>SSPAF</vt:lpstr>
      <vt:lpstr>' SEFA'!Print_Area</vt:lpstr>
      <vt:lpstr>' SEFA (2)'!Print_Area</vt:lpstr>
      <vt:lpstr>'SEFA NOTES'!Print_Area</vt:lpstr>
      <vt:lpstr>'SEFA Reconcile'!Print_Area</vt:lpstr>
      <vt:lpstr>'SF&amp;QC Sec-1'!Print_Area</vt:lpstr>
      <vt:lpstr>'SF&amp;QC Sec-3 (3)'!Print_Area</vt:lpstr>
      <vt:lpstr>'SF&amp;QC Sec-3 (4)'!Print_Area</vt:lpstr>
      <vt:lpstr>'SF&amp;QC Sec-3 (5)'!Print_Area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2019-10-15T13:32:09Z</cp:lastPrinted>
  <dcterms:created xsi:type="dcterms:W3CDTF">2003-10-29T19:06:34Z</dcterms:created>
  <dcterms:modified xsi:type="dcterms:W3CDTF">2019-11-20T19:17:01Z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