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8F34A57-0555-4887-BB6D-C23B6F759311}"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L28" i="179" l="1"/>
  <c r="E27" i="179"/>
  <c r="F26" i="179"/>
  <c r="F32" i="179"/>
  <c r="F16" i="179" l="1"/>
  <c r="F14" i="179"/>
  <c r="I45" i="179" l="1"/>
  <c r="G45" i="179"/>
  <c r="F45" i="179"/>
  <c r="E45" i="179"/>
  <c r="K39" i="179"/>
  <c r="K40" i="179"/>
  <c r="K46" i="179" s="1"/>
  <c r="I40" i="179"/>
  <c r="G40" i="179"/>
  <c r="F40" i="179"/>
  <c r="E40" i="179"/>
  <c r="I39" i="179"/>
  <c r="G39" i="179"/>
  <c r="F39" i="179"/>
  <c r="E39" i="179"/>
  <c r="I23" i="179"/>
  <c r="I22" i="179"/>
  <c r="G23" i="179"/>
  <c r="G22" i="179"/>
  <c r="F23" i="179"/>
  <c r="F22" i="179"/>
  <c r="E23" i="179"/>
  <c r="E22" i="179"/>
  <c r="L44" i="179"/>
  <c r="L43" i="179"/>
  <c r="L21" i="179"/>
  <c r="L20" i="179"/>
  <c r="L19" i="179"/>
  <c r="L18" i="179"/>
  <c r="L17" i="179"/>
  <c r="L16" i="179"/>
  <c r="L15" i="179"/>
  <c r="L14" i="179"/>
  <c r="G46" i="179" l="1"/>
  <c r="E46" i="179"/>
  <c r="I46" i="179"/>
  <c r="D45" i="174" s="1"/>
  <c r="F46" i="179"/>
  <c r="D35" i="171" s="1"/>
  <c r="L22" i="179"/>
  <c r="L23" i="179"/>
  <c r="L45" i="179"/>
  <c r="L39" i="179"/>
  <c r="L40" i="179"/>
  <c r="F4" i="3"/>
  <c r="H5" i="12" l="1"/>
  <c r="E6"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6" i="179" l="1"/>
  <c r="L38" i="179"/>
  <c r="L37" i="179"/>
  <c r="L36" i="179"/>
  <c r="L35" i="179"/>
  <c r="L34" i="179"/>
  <c r="L32" i="179"/>
  <c r="L31" i="179"/>
  <c r="L30" i="179"/>
  <c r="L29" i="179"/>
  <c r="L27" i="179"/>
  <c r="L2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6"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L15" i="11" l="1"/>
  <c r="B3459" i="106" s="1"/>
  <c r="D3459" i="106" s="1"/>
  <c r="H28" i="118"/>
  <c r="K28" i="118" s="1"/>
  <c r="O27" i="118" s="1"/>
  <c r="O29" i="118" s="1"/>
  <c r="L367" i="29"/>
  <c r="D31" i="108"/>
  <c r="D14" i="4"/>
  <c r="B2570" i="106" s="1"/>
  <c r="D2570" i="106" s="1"/>
  <c r="F44" i="34"/>
  <c r="E30" i="108"/>
  <c r="F56" i="34"/>
  <c r="D36" i="108"/>
  <c r="G30" i="108"/>
  <c r="H112" i="29"/>
  <c r="B7018" i="106" s="1"/>
  <c r="D7018" i="106" s="1"/>
  <c r="G26" i="108"/>
  <c r="G38" i="108"/>
  <c r="E34" i="108"/>
  <c r="D37" i="108"/>
  <c r="E26" i="108"/>
  <c r="F37" i="108"/>
  <c r="B1124" i="106"/>
  <c r="D1124" i="106" s="1"/>
  <c r="L13" i="11"/>
  <c r="B2060" i="106" s="1"/>
  <c r="D2060" i="106" s="1"/>
  <c r="F19" i="7"/>
  <c r="B1807" i="106" s="1"/>
  <c r="D1807" i="106"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6" i="106"/>
  <c r="D7253" i="106"/>
  <c r="D7252" i="106"/>
  <c r="L114" i="29"/>
  <c r="B1328" i="106"/>
  <c r="D1328" i="106" s="1"/>
  <c r="B1317" i="106"/>
  <c r="D1317" i="106" s="1"/>
  <c r="D41" i="108"/>
  <c r="E43" i="108" s="1"/>
  <c r="I7" i="4"/>
  <c r="B4444" i="106" s="1"/>
  <c r="D4444" i="106" s="1"/>
  <c r="D44" i="36"/>
  <c r="L16" i="11"/>
  <c r="B2061" i="106" s="1"/>
  <c r="D2061" i="106" s="1"/>
  <c r="B2031" i="106"/>
  <c r="D2031"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<sst xmlns="http://schemas.openxmlformats.org/spreadsheetml/2006/main" count="5163" uniqueCount="2146">
  <si>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</si>
  <si>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</si>
  <si>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</si>
  <si>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</si>
  <si>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</si>
  <si>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</si>
  <si>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</si>
  <si>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</si>
  <si>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</si>
  <si>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</si>
  <si>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</si>
  <si>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</si>
  <si>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</si>
  <si>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</si>
  <si>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</si>
  <si>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</si>
  <si>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</si>
  <si>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</si>
  <si>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</si>
  <si>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</si>
  <si>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</si>
  <si>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</si>
  <si>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</si>
  <si>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</si>
  <si>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</si>
  <si>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</si>
  <si>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</si>
  <si>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</si>
  <si>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</si>
  <si>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</si>
  <si>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</si>
  <si>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</si>
  <si>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</si>
  <si>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</si>
  <si>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</si>
  <si>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</si>
  <si>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</si>
  <si>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</si>
  <si>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</si>
  <si>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</si>
  <si>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</si>
  <si>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</si>
  <si>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</si>
  <si>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</si>
  <si>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</si>
  <si>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</si>
  <si>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</si>
  <si>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</si>
  <si>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</si>
  <si>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</si>
  <si>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</si>
  <si>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</si>
  <si>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</si>
  <si>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</si>
  <si>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</si>
  <si>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</si>
  <si>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</si>
  <si>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</si>
  <si>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</si>
  <si>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</si>
  <si>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</si>
  <si>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</si>
  <si>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</si>
  <si>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</si>
  <si>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</si>
  <si>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</si>
  <si>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</si>
  <si>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</si>
  <si>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</si>
  <si>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</si>
  <si>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</si>
  <si>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</si>
  <si>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</si>
  <si>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</si>
  <si>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</si>
  <si>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</si>
  <si>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</si>
  <si>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</si>
  <si>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</si>
  <si>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</si>
  <si>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</si>
  <si>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</si>
  <si>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</si>
  <si>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</si>
  <si>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</si>
  <si>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</si>
  <si>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</si>
  <si>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</si>
  <si>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</si>
  <si>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</si>
  <si>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</si>
  <si>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</si>
  <si>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</si>
  <si>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</si>
  <si>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</si>
  <si>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</si>
  <si>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</si>
  <si>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</si>
  <si>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</si>
  <si>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</si>
  <si>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</si>
  <si>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</si>
  <si>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</si>
  <si>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</si>
  <si>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</si>
  <si>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</si>
  <si>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</si>
  <si>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</si>
  <si>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</si>
  <si>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</si>
  <si>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</si>
  <si>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</si>
  <si>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</si>
  <si>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</si>
  <si>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</si>
  <si>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</si>
  <si>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</si>
  <si>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</si>
  <si>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</si>
  <si>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</si>
  <si>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</si>
  <si>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</si>
  <si>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</si>
  <si>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</si>
  <si>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</si>
  <si>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</si>
  <si>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</si>
  <si>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</si>
  <si>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</si>
  <si>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</si>
  <si>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</si>
  <si>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</si>
  <si>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</si>
  <si>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</si>
  <si>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</si>
  <si>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</si>
  <si>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</si>
  <si>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</si>
  <si>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</si>
  <si>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</si>
  <si>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</si>
  <si>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</si>
  <si>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</si>
  <si>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</si>
  <si>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</si>
  <si>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</si>
  <si>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</si>
  <si>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</si>
  <si>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</si>
  <si>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</si>
  <si>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</si>
  <si>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</si>
  <si>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</si>
  <si>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</si>
  <si>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</si>
  <si>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</si>
  <si>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</si>
  <si>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</si>
  <si>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</si>
  <si>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</si>
  <si>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</si>
  <si>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</si>
  <si>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</si>
  <si>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</si>
  <si>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</si>
  <si>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</si>
  <si>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</si>
  <si>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</si>
  <si>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</si>
  <si>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</si>
  <si>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</si>
  <si>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</si>
  <si>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</si>
  <si>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</si>
  <si>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</si>
  <si>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</si>
  <si>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</si>
  <si>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</si>
  <si>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</si>
  <si>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</si>
  <si>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</si>
  <si>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</si>
  <si>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</si>
  <si>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</si>
  <si>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</si>
  <si>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</si>
  <si>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</si>
  <si>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</si>
  <si>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</si>
  <si>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</si>
  <si>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</si>
  <si>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</si>
  <si>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</si>
  <si>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</si>
  <si>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</si>
  <si>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</si>
  <si>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</si>
  <si>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</si>
  <si>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</si>
  <si>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</si>
  <si>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</si>
  <si>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</si>
  <si>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</si>
  <si>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</si>
  <si>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</si>
  <si>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</si>
  <si>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</si>
  <si>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</si>
  <si>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</si>
  <si>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</si>
  <si>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</si>
  <si>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</si>
  <si>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</si>
  <si>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</si>
  <si>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</si>
  <si>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</si>
  <si>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</si>
  <si>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</si>
  <si>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</si>
  <si>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</si>
  <si>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</si>
  <si>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</si>
  <si>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</si>
  <si>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</si>
  <si>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</si>
  <si>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</si>
  <si>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</si>
  <si>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</si>
  <si>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</si>
  <si>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</si>
  <si>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</si>
  <si>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</si>
  <si>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</si>
  <si>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</si>
  <si>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</si>
  <si>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</si>
  <si>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</si>
  <si>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</si>
  <si>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</si>
  <si>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</si>
  <si>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</si>
  <si>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</si>
  <si>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</si>
  <si>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</si>
  <si>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</si>
  <si>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</si>
  <si>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</si>
  <si>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</si>
  <si>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</si>
  <si>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</si>
  <si>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</si>
  <si>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</si>
  <si>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</si>
  <si>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</si>
  <si>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</si>
  <si>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</si>
  <si>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</si>
  <si>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</si>
  <si>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</si>
  <si>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</si>
  <si>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</si>
  <si>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</si>
  <si>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</si>
  <si>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</si>
  <si>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</si>
  <si>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</si>
  <si>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</si>
  <si>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</si>
  <si>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</si>
  <si>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</si>
  <si>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</si>
  <si>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</si>
  <si>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</si>
  <si>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</si>
  <si>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</si>
  <si>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</si>
  <si>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</si>
  <si>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</si>
  <si>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</si>
  <si>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</si>
  <si>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</si>
  <si>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</si>
  <si>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</si>
  <si>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</si>
  <si>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</si>
  <si>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</si>
  <si>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</si>
  <si>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</si>
  <si>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</si>
  <si>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</si>
  <si>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</si>
  <si>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</si>
  <si>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</si>
  <si>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</si>
  <si>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</si>
  <si>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</si>
  <si>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</si>
  <si>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</si>
  <si>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</si>
  <si>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</si>
  <si>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</si>
  <si>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</si>
  <si>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</si>
  <si>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</si>
  <si>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</si>
  <si>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</si>
  <si>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</si>
  <si>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</si>
  <si>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</si>
  <si>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</si>
  <si>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</si>
  <si>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</si>
  <si>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</si>
  <si>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</si>
  <si>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</si>
  <si>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</si>
  <si>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</si>
  <si>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</si>
  <si>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</si>
  <si>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</si>
  <si>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</si>
  <si>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</si>
  <si>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</si>
  <si>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</si>
  <si>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</si>
  <si>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</si>
  <si>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</si>
  <si>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</si>
  <si>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</si>
  <si>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</si>
  <si>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</si>
  <si>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</si>
  <si>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</si>
  <si>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</si>
  <si>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</si>
  <si>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</si>
  <si>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</si>
  <si>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</si>
  <si>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</si>
  <si>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</si>
  <si>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</si>
  <si>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</si>
  <si>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</si>
  <si>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</si>
  <si>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</si>
  <si>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</si>
  <si>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</si>
  <si>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</si>
  <si>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</si>
  <si>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</si>
  <si>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</si>
  <si>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</si>
  <si>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</si>
  <si>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</si>
  <si>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</si>
  <si>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</si>
  <si>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</si>
  <si>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</si>
  <si>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</si>
  <si>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</si>
  <si>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</si>
  <si>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</si>
  <si>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</si>
  <si>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</si>
  <si>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</si>
  <si>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</si>
  <si>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</si>
  <si>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</si>
  <si>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</si>
  <si>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</si>
  <si>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</si>
  <si>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</si>
  <si>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</si>
  <si>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</si>
  <si>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</si>
  <si>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</si>
  <si>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</si>
  <si>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</si>
  <si>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</si>
  <si>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</si>
  <si>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</si>
  <si>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</si>
  <si>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</si>
  <si>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</si>
  <si>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</si>
  <si>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</si>
  <si>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</si>
  <si>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</si>
  <si>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</si>
  <si>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</si>
  <si>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</si>
  <si>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</si>
  <si>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</si>
  <si>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</si>
  <si>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</si>
  <si>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</si>
  <si>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</si>
  <si>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</si>
  <si>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</si>
  <si>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</si>
  <si>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</si>
  <si>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</si>
  <si>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</si>
  <si>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</si>
  <si>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</si>
  <si>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</si>
  <si>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</si>
  <si>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</si>
  <si>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</si>
  <si>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</si>
  <si>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</si>
  <si>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</si>
  <si>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</si>
  <si>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</si>
  <si>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</si>
  <si>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</si>
  <si>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</si>
  <si>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</si>
  <si>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</si>
  <si>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</si>
  <si>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</si>
  <si>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</si>
  <si>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</si>
  <si>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</si>
  <si>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</si>
  <si>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</si>
  <si>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</si>
  <si>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</si>
  <si>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</si>
  <si>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</si>
  <si>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</si>
  <si>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</si>
  <si>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</si>
  <si>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</si>
  <si>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</si>
  <si>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</si>
  <si>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</si>
  <si>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</si>
  <si>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</si>
  <si>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</si>
  <si>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</si>
  <si>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</si>
  <si>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</si>
  <si>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</si>
  <si>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</si>
  <si>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</si>
  <si>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</si>
  <si>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</si>
  <si>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</si>
  <si>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</si>
  <si>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</si>
  <si>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</si>
  <si>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</si>
  <si>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</si>
  <si>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</si>
  <si>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</si>
  <si>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</si>
  <si>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</si>
  <si>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</si>
  <si>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</si>
  <si>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</si>
  <si>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</si>
  <si>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</si>
  <si>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</si>
  <si>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</si>
  <si>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</si>
  <si>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</si>
  <si>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</si>
  <si>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</si>
  <si>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</si>
  <si>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</si>
  <si>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</si>
  <si>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</si>
  <si>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</si>
  <si>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</si>
  <si>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</si>
  <si>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</si>
  <si>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</si>
  <si>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</si>
  <si>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</si>
  <si>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</si>
  <si>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</si>
  <si>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</si>
  <si>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</si>
  <si>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</si>
  <si>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</si>
  <si>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</si>
  <si>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</si>
  <si>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</si>
  <si>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</si>
  <si>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</si>
  <si>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</si>
  <si>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</si>
  <si>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</si>
  <si>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</si>
  <si>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</si>
  <si>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</si>
  <si>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</si>
  <si>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</si>
  <si>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</si>
  <si>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</si>
  <si>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</si>
  <si>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</si>
  <si>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</si>
  <si>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</si>
  <si>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</si>
  <si>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</si>
  <si>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</si>
  <si>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</si>
  <si>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</si>
  <si>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</si>
  <si>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</si>
  <si>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</si>
  <si>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</si>
  <si>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</si>
  <si>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</si>
  <si>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</si>
  <si>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</si>
  <si>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</si>
  <si>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</si>
  <si>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</si>
  <si>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</si>
  <si>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</si>
  <si>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</si>
  <si>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</si>
  <si>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</si>
  <si>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</si>
  <si>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</si>
  <si>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</si>
  <si>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</si>
  <si>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</si>
  <si>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</si>
  <si>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</si>
  <si>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</si>
  <si>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</si>
  <si>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</si>
  <si>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</si>
  <si>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</si>
  <si>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</si>
  <si>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</si>
  <si>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</si>
  <si>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</si>
  <si>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</si>
  <si>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</si>
  <si>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</si>
  <si>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</si>
  <si>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</si>
  <si>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</si>
  <si>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</si>
  <si>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</si>
  <si>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</si>
  <si>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</si>
  <si>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</si>
  <si>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</si>
  <si>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</si>
  <si>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</si>
  <si>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</si>
  <si>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</si>
  <si>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</si>
  <si>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</si>
  <si>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</si>
  <si>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</si>
  <si>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</si>
  <si>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</si>
  <si>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</si>
  <si>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</si>
  <si>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</si>
  <si>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</si>
  <si>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</si>
  <si>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</si>
  <si>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</si>
  <si>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</si>
  <si>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</si>
  <si>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</si>
  <si>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</si>
  <si>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</si>
  <si>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</si>
  <si>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</si>
  <si>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</si>
  <si>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</si>
  <si>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</si>
  <si>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</si>
  <si>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</si>
  <si>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</si>
  <si>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</si>
  <si>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</si>
  <si>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</si>
  <si>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</si>
  <si>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</si>
  <si>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</si>
  <si>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</si>
  <si>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</si>
  <si>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</si>
  <si>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</si>
  <si>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</si>
  <si>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</si>
  <si>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</si>
  <si>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</si>
  <si>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</si>
  <si>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</si>
  <si>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</si>
  <si>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</si>
  <si>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</si>
  <si>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</si>
  <si>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</si>
  <si>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</si>
  <si>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</si>
  <si>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</si>
  <si>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</si>
  <si>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</si>
  <si>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</si>
  <si>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</si>
  <si>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</si>
  <si>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</si>
  <si>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</si>
  <si>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</si>
  <si>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</si>
  <si>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</si>
  <si>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</si>
  <si>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</si>
  <si>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</si>
  <si>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</si>
  <si>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</si>
  <si>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</si>
  <si>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</si>
  <si>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</si>
  <si>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</si>
  <si>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</si>
  <si>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</si>
  <si>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</si>
  <si>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</si>
  <si>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</si>
  <si>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</si>
  <si>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</si>
  <si>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</si>
  <si>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</si>
  <si>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</si>
  <si>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</si>
  <si>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</si>
  <si>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</si>
  <si>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</si>
  <si>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</si>
  <si>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</si>
  <si>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</si>
  <si>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</si>
  <si>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</si>
  <si>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</si>
  <si>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</si>
  <si>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</si>
  <si>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</si>
  <si>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</si>
  <si>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</si>
  <si>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</si>
  <si>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</si>
  <si>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</si>
  <si>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</si>
  <si>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</si>
  <si>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</si>
  <si>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</si>
  <si>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</si>
  <si>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</si>
  <si>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</si>
  <si>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</si>
  <si>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</si>
  <si>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</si>
  <si>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</si>
  <si>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</si>
  <si>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</si>
  <si>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</si>
  <si>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</si>
  <si>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</si>
  <si>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</si>
  <si>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</si>
  <si>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</si>
  <si>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</si>
  <si>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</si>
  <si>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</si>
  <si>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</si>
  <si>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</si>
  <si>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</si>
  <si>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</si>
  <si>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</si>
  <si>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</si>
  <si>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</si>
  <si>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</si>
  <si>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</si>
  <si>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</si>
  <si>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</si>
  <si>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</si>
  <si>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</si>
  <si>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</si>
  <si>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</si>
  <si>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</si>
  <si>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</si>
  <si>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</si>
  <si>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</si>
  <si>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</si>
  <si>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</si>
  <si>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</si>
  <si>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</si>
  <si>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</si>
  <si>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</si>
  <si>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</si>
  <si>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</si>
  <si>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</si>
  <si>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</si>
  <si>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</si>
  <si>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</si>
  <si>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</si>
  <si>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</si>
  <si>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</si>
  <si>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</si>
  <si>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</si>
  <si>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</si>
  <si>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</si>
  <si>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</si>
  <si>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</si>
  <si>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</si>
  <si>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</si>
  <si>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</si>
  <si>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</si>
  <si>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</si>
  <si>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</si>
  <si>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</si>
  <si>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</si>
  <si>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</si>
  <si>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</si>
  <si>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</si>
  <si>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</si>
  <si>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</si>
  <si>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</si>
  <si>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</si>
  <si>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</si>
  <si>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</si>
  <si>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</si>
  <si>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</si>
  <si>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</si>
  <si>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</si>
  <si>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</si>
  <si>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</si>
  <si>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</si>
  <si>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</si>
  <si>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</si>
  <si>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</si>
  <si>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</si>
  <si>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</si>
  <si>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</si>
  <si>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</si>
  <si>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</si>
  <si>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</si>
  <si>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</si>
  <si>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</si>
  <si>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</si>
  <si>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</si>
  <si>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</si>
  <si>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</si>
  <si>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</si>
  <si>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</si>
  <si>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</si>
  <si>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</si>
  <si>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</si>
  <si>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</si>
  <si>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</si>
  <si>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</si>
  <si>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</si>
  <si>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</si>
  <si>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</si>
  <si>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</si>
  <si>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</si>
  <si>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</si>
  <si>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</si>
  <si>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</si>
  <si>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</si>
  <si>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</si>
  <si>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</si>
  <si>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</si>
  <si>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</si>
  <si>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</si>
  <si>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</si>
  <si>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</si>
  <si>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</si>
  <si>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</si>
  <si>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</si>
  <si>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</si>
  <si>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</si>
  <si>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</si>
  <si>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</si>
  <si>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</si>
  <si>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</si>
  <si>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</si>
  <si>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</si>
  <si>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</si>
  <si>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</si>
  <si>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</si>
  <si>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</si>
  <si>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</si>
  <si>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</si>
  <si>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</si>
  <si>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</si>
  <si>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</si>
  <si>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</si>
  <si>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</si>
  <si>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</si>
  <si>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</si>
  <si>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</si>
  <si>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</si>
  <si>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</si>
  <si>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</si>
  <si>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</si>
  <si>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</si>
  <si>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</si>
  <si>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</si>
  <si>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</si>
  <si>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</si>
  <si>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</si>
  <si>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</si>
  <si>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</si>
  <si>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</si>
  <si>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</si>
  <si>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</si>
  <si>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</si>
  <si>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</si>
  <si>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</si>
  <si>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</si>
  <si>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</si>
  <si>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</si>
  <si>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</si>
  <si>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</si>
  <si>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</si>
  <si>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</si>
  <si>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</si>
  <si>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</si>
  <si>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</si>
  <si>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</si>
  <si>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</si>
  <si>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</si>
  <si>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</si>
  <si>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</si>
  <si>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</si>
  <si>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</si>
  <si>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</si>
  <si>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</si>
  <si>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</si>
  <si>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</si>
  <si>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</si>
  <si>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</si>
  <si>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</si>
  <si>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</si>
  <si>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</si>
  <si>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</si>
  <si>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</si>
  <si>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</si>
  <si>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</si>
  <si>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</si>
  <si>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</si>
  <si>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</si>
  <si>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</si>
  <si>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</si>
  <si>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</si>
  <si>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</si>
  <si>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</si>
  <si>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</si>
  <si>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</si>
  <si>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</si>
  <si>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</si>
  <si>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</si>
  <si>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</si>
  <si>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</si>
  <si>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</si>
  <si>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</si>
  <si>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</si>
  <si>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</si>
  <si>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</si>
  <si>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</si>
  <si>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</si>
  <si>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</si>
  <si>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</si>
  <si>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</si>
  <si>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</si>
  <si>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</si>
  <si>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</si>
  <si>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</si>
  <si>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</si>
  <si>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</si>
  <si>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</si>
  <si>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</si>
  <si>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</si>
  <si>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</si>
  <si>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</si>
  <si>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</si>
  <si>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</si>
  <si>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</si>
  <si>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</si>
  <si>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</si>
  <si>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</si>
  <si>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</si>
  <si>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</si>
  <si>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</si>
  <si>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</si>
  <si>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</si>
  <si>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</si>
  <si>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</si>
  <si>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</si>
  <si>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</si>
  <si>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</si>
  <si>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</si>
  <si>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</si>
  <si>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</si>
  <si>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</si>
  <si>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</si>
  <si>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</si>
  <si>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</si>
  <si>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</si>
  <si>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</si>
  <si>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</si>
  <si>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</si>
  <si>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</si>
  <si>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</si>
  <si>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</si>
  <si>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</si>
  <si>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</si>
  <si>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</si>
  <si>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</si>
  <si>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</si>
  <si>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</si>
  <si>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</si>
  <si>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</si>
  <si>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</si>
  <si>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</si>
  <si>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</si>
  <si>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</si>
  <si>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</si>
  <si>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</si>
  <si>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</si>
  <si>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</si>
  <si>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</si>
  <si>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</si>
  <si>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</si>
  <si>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</si>
  <si>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</si>
  <si>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</si>
  <si>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</si>
  <si>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</si>
  <si>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</si>
  <si>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</si>
  <si>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</si>
  <si>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</si>
  <si>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</si>
  <si>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</si>
  <si>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</si>
  <si>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</si>
  <si>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</si>
  <si>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</si>
  <si>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</si>
  <si>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</si>
  <si>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</si>
  <si>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</si>
  <si>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</si>
  <si>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</si>
  <si>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</si>
  <si>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</si>
  <si>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</si>
  <si>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</si>
  <si>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</si>
  <si>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</si>
  <si>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</si>
  <si>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</si>
  <si>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</si>
  <si>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</si>
  <si>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</si>
  <si>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</si>
  <si>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</si>
  <si>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</si>
  <si>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</si>
  <si>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</si>
  <si>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</si>
  <si>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</si>
  <si>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</si>
  <si>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</si>
  <si>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</si>
  <si>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</si>
  <si>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</si>
  <si>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</si>
  <si>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</si>
  <si>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</si>
  <si>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</si>
  <si>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</si>
  <si>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</si>
  <si>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</si>
  <si>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</si>
  <si>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</si>
  <si>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</si>
  <si>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</si>
  <si>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</si>
  <si>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</si>
  <si>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</si>
  <si>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</si>
  <si>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</si>
  <si>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</si>
  <si>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</si>
  <si>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</si>
  <si>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</si>
  <si>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</si>
  <si>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</si>
  <si>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</si>
  <si>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</si>
  <si>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</si>
  <si>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</si>
  <si>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</si>
  <si>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</si>
  <si>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</si>
  <si>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</si>
  <si>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</si>
  <si>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</si>
  <si>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</si>
  <si>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</si>
  <si>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</si>
  <si>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</si>
  <si>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</si>
  <si>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</si>
  <si>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</si>
  <si>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</si>
  <si>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</si>
  <si>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</si>
  <si>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</si>
  <si>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</si>
  <si>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</si>
  <si>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</si>
  <si>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</si>
  <si>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</si>
  <si>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</si>
  <si>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</si>
  <si>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</si>
  <si>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</si>
  <si>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</si>
  <si>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</si>
  <si>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</si>
  <si>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</si>
  <si>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</si>
  <si>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</si>
  <si>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</si>
  <si>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</si>
  <si>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</si>
  <si>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</si>
  <si>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</si>
  <si>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</si>
  <si>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</si>
  <si>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</si>
  <si>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</si>
  <si>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</si>
  <si>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</si>
  <si>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</si>
  <si>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</si>
  <si>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</si>
  <si>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</si>
  <si>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</si>
  <si>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</si>
  <si>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</si>
  <si>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</si>
  <si>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</si>
  <si>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</si>
  <si>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</si>
  <si>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</si>
  <si>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</si>
  <si>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</si>
  <si>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</si>
  <si>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</si>
  <si>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</si>
  <si>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</si>
  <si>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</si>
  <si>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</si>
  <si>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</si>
  <si>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</si>
  <si>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</si>
  <si>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</si>
  <si>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</si>
  <si>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</si>
  <si>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</si>
  <si>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</si>
  <si>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</si>
  <si>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</si>
  <si>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</si>
  <si>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</si>
  <si>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</si>
  <si>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</si>
  <si>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</si>
  <si>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</si>
  <si>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</si>
  <si>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</si>
  <si>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</si>
  <si>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</si>
  <si>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</si>
  <si>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</si>
  <si>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</si>
  <si>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</si>
  <si>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</si>
  <si>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</si>
  <si>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</si>
  <si>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</si>
  <si>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</si>
  <si>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</si>
  <si>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</si>
  <si>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</si>
  <si>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</si>
  <si>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</si>
  <si>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</si>
  <si>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</si>
  <si>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</si>
  <si>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</si>
  <si>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</si>
  <si>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</si>
  <si>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</si>
  <si>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</si>
  <si>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</si>
  <si>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</si>
  <si>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</si>
  <si>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</si>
  <si>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</si>
  <si>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</si>
  <si>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</si>
  <si>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</si>
  <si>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</si>
  <si>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</si>
  <si>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</si>
  <si>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</si>
  <si>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</si>
  <si>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</si>
  <si>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</si>
  <si>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</si>
  <si>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</si>
  <si>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</si>
  <si>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</si>
  <si>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</si>
  <si>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</si>
  <si>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</si>
  <si>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</si>
  <si>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</si>
  <si>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</si>
  <si>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</si>
  <si>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</si>
  <si>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</si>
  <si>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</si>
  <si>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</si>
  <si>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</si>
  <si>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</si>
  <si>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</si>
  <si>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</si>
  <si>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</si>
  <si>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</si>
  <si>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</si>
  <si>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</si>
  <si>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</si>
  <si>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</si>
  <si>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</si>
  <si>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</si>
  <si>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</si>
  <si>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</si>
  <si>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</si>
  <si>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</si>
  <si>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</si>
  <si>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</si>
  <si>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</si>
  <si>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</si>
  <si>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</si>
  <si>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</si>
  <si>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</si>
  <si>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</si>
  <si>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</si>
  <si>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</si>
  <si>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</si>
  <si>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</si>
  <si>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</si>
  <si>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</si>
  <si>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</si>
  <si>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</si>
  <si>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</si>
  <si>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</si>
  <si>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</si>
  <si>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</si>
  <si>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</si>
  <si>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</si>
  <si>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</si>
  <si>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</si>
  <si>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</si>
  <si>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</si>
  <si>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</si>
  <si>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</si>
  <si>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</si>
  <si>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</si>
  <si>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</si>
  <si>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</si>
  <si>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</si>
  <si>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</si>
  <si>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</si>
  <si>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</si>
  <si>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</si>
  <si>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</si>
  <si>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</si>
  <si>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</si>
  <si>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</si>
  <si>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</si>
  <si>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</si>
  <si>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</si>
  <si>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</si>
  <si>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</si>
  <si>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</si>
  <si>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</si>
  <si>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</si>
  <si>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</si>
  <si>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</si>
  <si>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</si>
  <si>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</si>
  <si>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</si>
  <si>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</si>
  <si>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</si>
  <si>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</si>
  <si>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</si>
  <si>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</si>
  <si>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</si>
  <si>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</si>
  <si>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</si>
  <si>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</si>
  <si>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</si>
  <si>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</si>
  <si>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</si>
  <si>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</si>
  <si>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</si>
  <si>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</si>
  <si>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</si>
  <si>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</si>
  <si>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</si>
  <si>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</si>
  <si>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</si>
  <si>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</si>
  <si>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</si>
  <si>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</si>
  <si>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</si>
  <si>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</si>
  <si>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</si>
  <si>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</si>
  <si>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</si>
  <si>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</si>
  <si>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</si>
  <si>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</si>
  <si>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</si>
  <si>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</si>
  <si>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</si>
  <si>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</si>
  <si>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</si>
  <si>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</si>
  <si>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</si>
  <si>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</si>
  <si>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</si>
  <si>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</si>
  <si>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</si>
  <si>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</si>
  <si>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</si>
  <si>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</si>
  <si>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</si>
  <si>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</si>
  <si>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</si>
  <si>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</si>
  <si>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</si>
  <si>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</si>
  <si>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</si>
  <si>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</si>
  <si>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</si>
  <si>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</si>
  <si>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</si>
  <si>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</si>
  <si>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</si>
  <si>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</si>
  <si>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</si>
  <si>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</si>
  <si>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</si>
  <si>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</si>
  <si>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</si>
  <si>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</si>
  <si>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</si>
  <si>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</si>
  <si>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</si>
  <si>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</si>
  <si>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</si>
  <si>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</si>
  <si>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</si>
  <si>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</si>
  <si>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</si>
  <si>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</si>
  <si>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</si>
  <si>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</si>
  <si>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</si>
  <si>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</si>
  <si>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</si>
  <si>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</si>
  <si>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</si>
  <si>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</si>
  <si>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</si>
  <si>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</si>
  <si>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</si>
  <si>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</si>
  <si>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</si>
  <si>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</si>
  <si>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</si>
  <si>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</si>
  <si>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</si>
  <si>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</si>
  <si>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</si>
  <si>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</si>
  <si>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</si>
  <si>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</si>
  <si>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</si>
  <si>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</si>
  <si>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</si>
  <si>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</si>
  <si>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</si>
  <si>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</si>
  <si>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</si>
  <si>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</si>
  <si>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</si>
  <si>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</si>
  <si>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</si>
  <si>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</si>
  <si>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</si>
  <si>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</si>
  <si>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</si>
  <si>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</si>
  <si>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</si>
  <si>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</si>
  <si>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</si>
  <si>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</si>
  <si>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</si>
  <si>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</si>
  <si>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</si>
  <si>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</si>
  <si>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</si>
  <si>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</si>
  <si>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</si>
  <si>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</si>
  <si>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</si>
  <si>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</si>
  <si>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</si>
  <si>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</si>
  <si>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</si>
  <si>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</si>
  <si>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</si>
  <si>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</si>
  <si>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</si>
  <si>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</si>
  <si>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</si>
  <si>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</si>
  <si>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</si>
  <si>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</si>
  <si>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</si>
  <si>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</si>
  <si>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</si>
  <si>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</si>
  <si>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</si>
  <si>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</si>
  <si>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</si>
  <si>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</si>
  <si>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</si>
  <si>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</si>
  <si>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</si>
  <si>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</si>
  <si>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</si>
  <si>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</si>
  <si>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</si>
  <si>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</si>
  <si>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</si>
  <si>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</si>
  <si>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</si>
  <si>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</si>
  <si>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</si>
  <si>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</si>
  <si>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</si>
  <si>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</si>
  <si>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</si>
  <si>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</si>
  <si>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</si>
  <si>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</si>
  <si>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</si>
  <si>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</si>
  <si>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</si>
  <si>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</si>
  <si>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</si>
  <si>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</si>
  <si>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</si>
  <si>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</si>
  <si>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</si>
  <si>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</si>
  <si>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</si>
  <si>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</si>
  <si>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</si>
  <si>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</si>
  <si>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</si>
  <si>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</si>
  <si>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</si>
  <si>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</si>
  <si>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</si>
  <si>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</si>
  <si>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</si>
  <si>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</si>
  <si>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</si>
  <si>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</si>
  <si>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</si>
  <si>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</si>
  <si>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</si>
  <si>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</si>
  <si>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</si>
  <si>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</si>
  <si>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</si>
  <si>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</si>
  <si>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</si>
  <si>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</si>
  <si>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</si>
  <si>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</si>
  <si>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</si>
  <si>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</si>
  <si>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</si>
  <si>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</si>
  <si>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</si>
  <si>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</si>
  <si>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</si>
  <si>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</si>
  <si>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</si>
  <si>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</si>
  <si>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</si>
  <si>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</si>
  <si>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</si>
  <si>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</si>
  <si>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</si>
  <si>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</si>
  <si>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</si>
  <si>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</si>
  <si>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</si>
  <si>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</si>
  <si>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</si>
  <si>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</si>
  <si>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</si>
  <si>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</si>
  <si>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</si>
  <si>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</si>
  <si>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</si>
  <si>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</si>
  <si>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</si>
  <si>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</si>
  <si>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</si>
  <si>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</si>
  <si>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</si>
  <si>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</si>
  <si>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</si>
  <si>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</si>
  <si>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</si>
  <si>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</si>
  <si>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</si>
  <si>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</si>
  <si>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</si>
  <si>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</si>
  <si>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</si>
  <si>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</si>
  <si>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</si>
  <si>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</si>
  <si>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</si>
  <si>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</si>
  <si>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</si>
  <si>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</si>
  <si>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</si>
  <si>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</si>
  <si>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</si>
  <si>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</si>
  <si>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</si>
  <si>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</si>
  <si>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</si>
  <si>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</si>
  <si>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</si>
  <si>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</si>
  <si>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</si>
  <si>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</si>
  <si>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</si>
  <si>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</si>
  <si>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</si>
  <si>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</si>
  <si>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</si>
  <si>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</si>
  <si>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</si>
  <si>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</si>
  <si>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</si>
  <si>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</si>
  <si>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</si>
  <si>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</si>
  <si>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</si>
  <si>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</si>
  <si>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</si>
  <si>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</si>
  <si>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</si>
  <si>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</si>
  <si>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</si>
  <si>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</si>
  <si>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</si>
  <si>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</si>
  <si>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</si>
  <si>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</si>
  <si>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</si>
  <si>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</si>
  <si>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</si>
  <si>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</si>
  <si>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</si>
  <si>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</si>
  <si>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</si>
  <si>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</si>
  <si>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</si>
  <si>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</si>
  <si>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</si>
  <si>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</si>
  <si>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</si>
  <si>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</si>
  <si>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</si>
  <si>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</si>
  <si>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</si>
  <si>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</si>
  <si>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</si>
  <si>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</si>
  <si>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</si>
  <si>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</si>
  <si>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</si>
  <si>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</si>
  <si>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</si>
  <si>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</si>
  <si>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</si>
  <si>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</si>
  <si>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</si>
  <si>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</si>
  <si>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</si>
  <si>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</si>
  <si>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</si>
  <si>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</si>
  <si>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</si>
  <si>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</si>
  <si>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</si>
  <si>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</si>
  <si>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</si>
  <si>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</si>
  <si>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</si>
  <si>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</si>
  <si>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</si>
  <si>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</si>
  <si>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</si>
  <si>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</si>
  <si>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</si>
  <si>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</si>
  <si>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</si>
  <si>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</si>
  <si>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</si>
  <si>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</si>
  <si>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</si>
  <si>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</si>
  <si>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</si>
  <si>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</si>
  <si>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</si>
  <si>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</si>
  <si>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</si>
  <si>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</si>
  <si>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</si>
  <si>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</si>
  <si>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</si>
  <si>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</si>
  <si>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</si>
  <si>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</si>
  <si>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</si>
  <si>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</si>
  <si>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</si>
  <si>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</si>
  <si>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</si>
  <si>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</si>
  <si>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</si>
  <si>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</si>
  <si>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</si>
  <si>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</si>
  <si>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</si>
  <si>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</si>
  <si>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</si>
  <si>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</si>
  <si>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</si>
  <si>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</si>
  <si>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</si>
  <si>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</si>
  <si>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</si>
  <si>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</si>
  <si>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</si>
  <si>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</si>
  <si>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</si>
  <si>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</si>
  <si>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</si>
  <si>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</si>
  <si>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</si>
  <si>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</si>
  <si>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</si>
  <si>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</si>
  <si>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</si>
  <si>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</si>
  <si>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</si>
  <si>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</si>
  <si>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</si>
  <si>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</si>
  <si>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</si>
  <si>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</si>
  <si>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</si>
  <si>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</si>
  <si>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</si>
  <si>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</si>
  <si>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</si>
  <si>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</si>
  <si>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</si>
  <si>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</si>
  <si>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</si>
  <si>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</si>
  <si>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</si>
  <si>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</si>
  <si>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</si>
  <si>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</si>
  <si>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</si>
  <si>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</si>
  <si>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</si>
  <si>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</si>
  <si>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</si>
  <si>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</si>
  <si>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</si>
  <si>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</si>
  <si>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</si>
  <si>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</si>
  <si>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</si>
  <si>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</si>
  <si>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</si>
  <si>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</si>
  <si>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</si>
  <si>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</si>
  <si>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</si>
  <si>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</si>
  <si>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</si>
  <si>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</si>
  <si>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</si>
  <si>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</si>
  <si>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</si>
  <si>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</si>
  <si>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</si>
  <si>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</si>
  <si>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</si>
  <si>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</si>
  <si>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</si>
  <si>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</si>
  <si>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</si>
  <si>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</si>
  <si>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</si>
  <si>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</si>
  <si>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</si>
  <si>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</si>
  <si>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</si>
  <si>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</si>
  <si>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</si>
  <si>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</si>
  <si>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</si>
  <si>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</si>
  <si>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</si>
  <si>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</si>
  <si>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</si>
  <si>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</si>
  <si>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</si>
  <si>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</si>
  <si>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</si>
  <si>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</si>
  <si>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</si>
  <si>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</si>
  <si>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</si>
  <si>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</si>
  <si>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</si>
  <si>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</si>
  <si>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</si>
  <si>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</si>
  <si>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</si>
  <si>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</si>
  <si>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</si>
  <si>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</si>
  <si>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</si>
  <si>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</si>
  <si>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</si>
  <si>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</si>
  <si>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</si>
  <si>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</si>
  <si>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</si>
  <si>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</si>
  <si>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</si>
  <si>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</si>
  <si>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</si>
  <si>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</si>
  <si>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</si>
  <si>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</si>
  <si>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</si>
  <si>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</si>
  <si>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</si>
  <si>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</si>
  <si>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</si>
  <si>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</si>
  <si>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</si>
  <si>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</si>
  <si>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</si>
  <si>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</si>
  <si>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</si>
  <si>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</si>
  <si>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</si>
  <si>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</si>
  <si>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</si>
  <si>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</si>
  <si>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</si>
  <si>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</si>
  <si>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</si>
  <si>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</si>
  <si>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</si>
  <si>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</si>
  <si>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</si>
  <si>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</si>
  <si>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</si>
  <si>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</si>
  <si>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</si>
  <si>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</si>
  <si>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</si>
  <si>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</si>
  <si>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</si>
  <si>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</si>
  <si>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</si>
  <si>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</si>
  <si>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</si>
  <si>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</si>
  <si>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</si>
  <si>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</si>
  <si>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</si>
  <si>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</si>
  <si>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</si>
  <si>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</si>
  <si>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</si>
  <si>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</si>
  <si>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</si>
  <si>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</si>
  <si>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</si>
  <si>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</si>
  <si>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</si>
  <si>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</si>
  <si>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</si>
  <si>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</si>
  <si>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</si>
  <si>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</si>
  <si>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</si>
  <si>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</si>
  <si>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</si>
  <si>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</si>
  <si>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</si>
  <si>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</si>
  <si>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</si>
  <si>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</si>
  <si>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</si>
  <si>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</si>
  <si>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</si>
  <si>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</si>
  <si>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</si>
  <si>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</si>
  <si>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</si>
  <si>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</si>
  <si>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</si>
  <si>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</si>
  <si>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</si>
  <si>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</si>
  <si>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</si>
  <si>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</si>
  <si>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</si>
  <si>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</si>
  <si>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</si>
  <si>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</si>
  <si>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</si>
  <si>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</si>
  <si>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</si>
  <si>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</si>
  <si>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</si>
  <si>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</si>
  <si>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</si>
  <si>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</si>
  <si>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</si>
  <si>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</si>
  <si>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</si>
  <si>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</si>
  <si>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</si>
  <si>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</si>
  <si>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</si>
  <si>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</si>
  <si>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</si>
  <si>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</si>
  <si>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</si>
  <si>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</si>
  <si>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</si>
  <si>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</si>
  <si>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</si>
  <si>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</si>
  <si>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</si>
  <si>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</si>
  <si>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</si>
  <si>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</si>
  <si>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</si>
  <si>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</si>
  <si>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</si>
  <si>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</si>
  <si>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</si>
  <si>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</si>
  <si>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</si>
  <si>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</si>
  <si>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</si>
  <si>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</si>
  <si>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</si>
  <si>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</si>
  <si>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</si>
  <si>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</si>
  <si>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</si>
  <si>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</si>
  <si>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</si>
  <si>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</si>
  <si>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</si>
  <si>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</si>
  <si>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</si>
  <si>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</si>
  <si>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</si>
  <si>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</si>
  <si>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</si>
  <si>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</si>
  <si>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</si>
  <si>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</si>
  <si>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</si>
  <si>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</si>
  <si>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</si>
  <si>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</si>
  <si>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</si>
  <si>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</si>
  <si>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</si>
  <si>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</si>
  <si>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</si>
  <si>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</si>
  <si>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</si>
  <si>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</si>
  <si>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</si>
  <si>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</si>
  <si>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</si>
  <si>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</si>
  <si>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</si>
  <si>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</si>
  <si>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</si>
  <si>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</si>
  <si>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</si>
  <si>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</si>
  <si>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</si>
  <si>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</si>
  <si>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</si>
  <si>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</si>
  <si>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</si>
  <si>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</si>
  <si>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</si>
  <si>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</si>
  <si>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</si>
  <si>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</si>
  <si>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</si>
  <si>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</si>
  <si>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</si>
  <si>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</si>
  <si>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</si>
  <si>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</si>
  <si>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</si>
  <si>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</si>
  <si>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</si>
  <si>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</si>
  <si>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</si>
  <si>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</si>
  <si>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</si>
  <si>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</si>
  <si>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</si>
  <si>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</si>
  <si>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</si>
  <si>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</si>
  <si>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</si>
  <si>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</si>
  <si>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</si>
  <si>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</si>
  <si>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</si>
  <si>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</si>
  <si>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</si>
  <si>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</si>
  <si>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</si>
  <si>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</si>
  <si>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</si>
  <si>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</si>
  <si>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</si>
  <si>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</si>
  <si>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</si>
  <si>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</si>
  <si>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</si>
  <si>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</si>
  <si>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</si>
  <si>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</si>
  <si>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</si>
  <si>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</si>
  <si>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</si>
  <si>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</si>
  <si>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</si>
  <si>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</si>
  <si>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</si>
  <si>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</si>
  <si>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</si>
  <si>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</si>
  <si>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</si>
  <si>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</si>
  <si>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</si>
  <si>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</si>
  <si>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</si>
  <si>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</si>
  <si>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</si>
  <si>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</si>
  <si>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</si>
  <si>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</si>
  <si>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</si>
  <si>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</si>
  <si>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</si>
  <si>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</si>
  <si>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</si>
  <si>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</si>
  <si>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</si>
  <si>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</si>
  <si>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</si>
  <si>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</si>
  <si>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</si>
  <si>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</si>
  <si>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</si>
  <si>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</si>
  <si>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</si>
  <si>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</si>
  <si>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</si>
  <si>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</si>
  <si>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</si>
  <si>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</si>
  <si>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</si>
  <si>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</si>
  <si>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</si>
  <si>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</si>
  <si>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</si>
  <si>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</si>
  <si>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</si>
  <si>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</si>
  <si>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</si>
  <si>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</si>
  <si>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</si>
  <si>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</si>
  <si>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</si>
  <si>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</si>
  <si>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</si>
  <si>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</si>
  <si>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</si>
  <si>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</si>
  <si>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</si>
  <si>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</si>
  <si>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</si>
  <si>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</si>
  <si>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</si>
  <si>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</si>
  <si>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</si>
  <si>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</si>
  <si>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</si>
  <si>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</si>
  <si>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</si>
  <si>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</si>
  <si>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</si>
  <si>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</si>
  <si>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</si>
  <si>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</si>
  <si>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</si>
  <si>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</si>
  <si>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</si>
  <si>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</si>
  <si>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</si>
  <si>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</si>
  <si>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</si>
  <si>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</si>
  <si>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</si>
  <si>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</si>
  <si>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</si>
  <si>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</si>
  <si>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</si>
  <si>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</si>
  <si>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</si>
  <si>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</si>
  <si>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</si>
  <si>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</si>
  <si>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</si>
  <si>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</si>
  <si>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</si>
  <si>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</si>
  <si>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</si>
  <si>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</si>
  <si>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</si>
  <si>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</si>
  <si>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</si>
  <si>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</si>
  <si>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</si>
  <si>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</si>
  <si>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</si>
  <si>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</si>
  <si>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</si>
  <si>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</si>
  <si>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</si>
  <si>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</si>
  <si>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</si>
  <si>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</si>
  <si>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</si>
  <si>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</si>
  <si>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</si>
  <si>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</si>
  <si>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</si>
  <si>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</si>
  <si>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</si>
  <si>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</si>
  <si>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</si>
  <si>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</si>
  <si>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</si>
  <si>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</si>
  <si>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</si>
  <si>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</si>
  <si>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</si>
  <si>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</si>
  <si>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</si>
  <si>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</si>
  <si>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</si>
  <si>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</si>
  <si>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</si>
  <si>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</si>
  <si>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</si>
  <si>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</si>
  <si>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</si>
  <si>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</si>
  <si>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</si>
  <si>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</si>
  <si>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</si>
  <si>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</si>
  <si>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</si>
  <si>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</si>
  <si>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</si>
  <si>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</si>
  <si>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</si>
  <si>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</si>
  <si>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</si>
  <si>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</si>
  <si>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</si>
  <si>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</si>
  <si>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</si>
  <si>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</si>
  <si>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</si>
  <si>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</si>
  <si>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</si>
  <si>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</si>
  <si>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</si>
  <si>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</si>
  <si>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</si>
  <si>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FOREST RIDGE SD 142</t>
  </si>
  <si>
    <t>OAK FOREST</t>
  </si>
  <si>
    <t>15000 S LARAMIE</t>
  </si>
  <si>
    <t>PAUL McDERMOTT</t>
  </si>
  <si>
    <t>708-687-3334</t>
  </si>
  <si>
    <t>X</t>
  </si>
  <si>
    <t>BREMEN TOWNSHIP TREASURER'S OFFICE - JOSEPH McDONNELL</t>
  </si>
  <si>
    <t>708-633-8920</t>
  </si>
  <si>
    <t>GASSENSMITH &amp; MICHALESKO, LTD</t>
  </si>
  <si>
    <t>JILL GASSENSMITH</t>
  </si>
  <si>
    <t>323 SPRINGFIELD</t>
  </si>
  <si>
    <t>JOLIET</t>
  </si>
  <si>
    <t>IL</t>
  </si>
  <si>
    <t>815-744-6200</t>
  </si>
  <si>
    <t>815-744-3822</t>
  </si>
  <si>
    <t>066-004945</t>
  </si>
  <si>
    <t>JILLE@GASSENSMITH.COM</t>
  </si>
  <si>
    <t>GENERAL OBLIGATION BOND</t>
  </si>
  <si>
    <t>Sodexo USA</t>
  </si>
  <si>
    <t>CLIC</t>
  </si>
  <si>
    <t>Bremen Township Treasurer's Office</t>
  </si>
  <si>
    <t>SW Cook Cty Assoc. for Special Education</t>
  </si>
  <si>
    <t>U.S Department of Agriculture:</t>
  </si>
  <si>
    <t>Flowthrough from ISBE</t>
  </si>
  <si>
    <t>Child Nutrition Cluster</t>
  </si>
  <si>
    <t xml:space="preserve">   National School Lunch Program</t>
  </si>
  <si>
    <t xml:space="preserve">   School Breakfast Program</t>
  </si>
  <si>
    <t xml:space="preserve">   Non-cash Commodities Received</t>
  </si>
  <si>
    <t xml:space="preserve">   Department of Defense Fruits &amp; Vegetables</t>
  </si>
  <si>
    <t>Total Child Nutrition Cluster</t>
  </si>
  <si>
    <t>Total U.S. Department of Agriculture</t>
  </si>
  <si>
    <t>U.S. Department of Education:</t>
  </si>
  <si>
    <t xml:space="preserve">   Title I - Low Income</t>
  </si>
  <si>
    <t xml:space="preserve">   Title III - LIPLEP</t>
  </si>
  <si>
    <t xml:space="preserve">   Title II - Teacher Quality</t>
  </si>
  <si>
    <t>Special Education Cluster</t>
  </si>
  <si>
    <t xml:space="preserve">   IDEA Preschool Flowthrough</t>
  </si>
  <si>
    <t xml:space="preserve">   IDEA Flowthrough</t>
  </si>
  <si>
    <t xml:space="preserve">   IDEA Room &amp; Board</t>
  </si>
  <si>
    <t>Total Special Education Cluster</t>
  </si>
  <si>
    <t>Total U.S. Department of Education</t>
  </si>
  <si>
    <t>U.S. Department of Health &amp; Human Services</t>
  </si>
  <si>
    <t>Flowthrough from Illinois Healthcare and Family Services</t>
  </si>
  <si>
    <t xml:space="preserve">   Medicaid Administrative Outreach</t>
  </si>
  <si>
    <t>Total U.S. Department of Health &amp; Human Services</t>
  </si>
  <si>
    <t>TOTALS:</t>
  </si>
  <si>
    <t>19-4210-00</t>
  </si>
  <si>
    <t>18-4210-00</t>
  </si>
  <si>
    <t>19-4220-00</t>
  </si>
  <si>
    <t>18-4220-00</t>
  </si>
  <si>
    <t>84.010A</t>
  </si>
  <si>
    <t>64.365A</t>
  </si>
  <si>
    <t>84.365A</t>
  </si>
  <si>
    <t>84.367A</t>
  </si>
  <si>
    <t>84.173A</t>
  </si>
  <si>
    <t>84.027A</t>
  </si>
  <si>
    <t>N/A</t>
  </si>
  <si>
    <t>18-4300-00</t>
  </si>
  <si>
    <t>18-4909-00</t>
  </si>
  <si>
    <t>18-4932-00</t>
  </si>
  <si>
    <t>18-4600-00</t>
  </si>
  <si>
    <t>18-4620-00</t>
  </si>
  <si>
    <t>19-4600-00</t>
  </si>
  <si>
    <t>19-4620-00</t>
  </si>
  <si>
    <t>18-4625-00</t>
  </si>
  <si>
    <t>19-4300-00</t>
  </si>
  <si>
    <t>19-4909-00</t>
  </si>
  <si>
    <t>19-4932-00</t>
  </si>
  <si>
    <t>GASSENSMITH &amp; MICHALESKO, LTD.</t>
  </si>
  <si>
    <t>19-4331</t>
  </si>
  <si>
    <t xml:space="preserve">   Title I - School Improvement</t>
  </si>
  <si>
    <t>n/a</t>
  </si>
  <si>
    <t xml:space="preserve">   IDEA Preschool Flowthrough (M)</t>
  </si>
  <si>
    <t xml:space="preserve">   IDEA Flowthrough (M)</t>
  </si>
  <si>
    <r>
      <t xml:space="preserve">The accompanying Schedule of Expenditures of Federal Awards includes the federal grant activity of the District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</si>
  <si>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</si>
  <si>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</si>
  <si>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</si>
  <si>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</si>
  <si>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84.173A, 84.027A</t>
  </si>
  <si>
    <t>10-1000-300</t>
  </si>
  <si>
    <t>Ed- Reg Ed- PS</t>
  </si>
  <si>
    <t>CANON FINANCIAL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</si>
</sst>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3" fontId="72" fillId="0" borderId="22" xfId="3" applyNumberFormat="1" applyFont="1" applyBorder="1" applyAlignment="1" applyProtection="1">
      <alignment horizontal="left" vertical="center" wrapText="1"/>
      <protection locked="0"/>
    </xf>
    <xf numFmtId="181" fontId="61" fillId="0" borderId="8" xfId="1" applyNumberFormat="1" applyFont="1" applyBorder="1" applyAlignment="1" applyProtection="1">
      <alignment horizontal="center"/>
      <protection locked="0"/>
    </xf>
    <xf numFmtId="181" fontId="61" fillId="0" borderId="22" xfId="1"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61" fillId="0" borderId="22" xfId="1" applyNumberFormat="1" applyFont="1" applyFill="1" applyBorder="1" applyAlignment="1" applyProtection="1">
      <alignment horizontal="center"/>
      <protection locked="0"/>
    </xf>
    <xf numFmtId="181" fontId="61" fillId="0" borderId="8" xfId="1"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72" fillId="0" borderId="22" xfId="3" applyNumberFormat="1" applyFont="1" applyFill="1" applyBorder="1" applyAlignment="1" applyProtection="1">
      <alignment horizontal="left" vertical="center"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4" t="s">
        <v>405</v>
      </c>
      <c r="J1" s="2025"/>
      <c r="K1" s="2025"/>
      <c r="L1" s="2025"/>
      <c r="M1" s="2025"/>
      <c r="N1" s="2025"/>
      <c r="O1" s="2025"/>
      <c r="P1" s="2025"/>
      <c r="Q1" s="2025"/>
      <c r="R1" s="2025"/>
      <c r="S1" s="2025"/>
    </row>
    <row r="2" spans="1:28" ht="12" customHeight="1" x14ac:dyDescent="0.2">
      <c r="A2" s="47" t="s">
        <v>1990</v>
      </c>
      <c r="D2" s="48"/>
      <c r="I2" s="2026" t="s">
        <v>979</v>
      </c>
      <c r="J2" s="2025"/>
      <c r="K2" s="2025"/>
      <c r="L2" s="2025"/>
      <c r="M2" s="2025"/>
      <c r="N2" s="2025"/>
      <c r="O2" s="2025"/>
      <c r="P2" s="2025"/>
      <c r="Q2" s="2025"/>
      <c r="R2" s="2025"/>
      <c r="S2" s="2025"/>
    </row>
    <row r="3" spans="1:28" ht="12" customHeight="1" x14ac:dyDescent="0.2">
      <c r="A3" s="155" t="s">
        <v>1942</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2061</v>
      </c>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2061</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7016142002</v>
      </c>
      <c r="B13" s="1995"/>
      <c r="C13" s="1995"/>
      <c r="D13" s="1995"/>
      <c r="E13" s="1995"/>
      <c r="F13" s="1995"/>
      <c r="G13" s="1995"/>
      <c r="H13" s="1996"/>
      <c r="I13" s="31"/>
      <c r="J13" s="30"/>
      <c r="K13" s="28"/>
      <c r="L13" s="30"/>
      <c r="M13" s="30"/>
      <c r="N13" s="30"/>
      <c r="O13" s="30"/>
      <c r="P13" s="30"/>
      <c r="Q13" s="30"/>
      <c r="R13" s="30"/>
      <c r="S13" s="30"/>
      <c r="T13" s="1999" t="s">
        <v>2071</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2062</v>
      </c>
      <c r="B15" s="1997"/>
      <c r="C15" s="1997"/>
      <c r="D15" s="1997"/>
      <c r="E15" s="1997"/>
      <c r="F15" s="1997"/>
      <c r="G15" s="1997"/>
      <c r="H15" s="1998"/>
      <c r="T15" s="1960" t="s">
        <v>2072</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2063</v>
      </c>
      <c r="B17" s="2022"/>
      <c r="C17" s="2022"/>
      <c r="D17" s="2022"/>
      <c r="E17" s="2022"/>
      <c r="F17" s="2022"/>
      <c r="G17" s="2022"/>
      <c r="H17" s="2023"/>
      <c r="T17" s="2009" t="s">
        <v>2073</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2065</v>
      </c>
      <c r="B19" s="1993"/>
      <c r="C19" s="1993"/>
      <c r="D19" s="1993"/>
      <c r="E19" s="1993"/>
      <c r="F19" s="1993"/>
      <c r="G19" s="1993"/>
      <c r="H19" s="1991"/>
      <c r="I19" s="30"/>
      <c r="J19" s="99"/>
      <c r="K19" s="40"/>
      <c r="L19" s="38"/>
      <c r="M19" s="112" t="s">
        <v>315</v>
      </c>
      <c r="P19" s="27"/>
      <c r="Q19" s="27"/>
      <c r="R19" s="27"/>
      <c r="S19" s="31"/>
      <c r="T19" s="1992" t="s">
        <v>2074</v>
      </c>
      <c r="U19" s="1990"/>
      <c r="V19" s="1990"/>
      <c r="W19" s="1991"/>
      <c r="X19" s="2007" t="s">
        <v>2075</v>
      </c>
      <c r="Y19" s="2008"/>
      <c r="Z19" s="2005">
        <v>60435</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2064</v>
      </c>
      <c r="B21" s="1990"/>
      <c r="C21" s="1990"/>
      <c r="D21" s="1990"/>
      <c r="E21" s="1990"/>
      <c r="F21" s="1990"/>
      <c r="G21" s="1990"/>
      <c r="H21" s="1991"/>
      <c r="I21" s="2015" t="s">
        <v>678</v>
      </c>
      <c r="J21" s="1978"/>
      <c r="K21" s="1978"/>
      <c r="L21" s="1978"/>
      <c r="M21" s="1978"/>
      <c r="N21" s="1978"/>
      <c r="O21" s="1978"/>
      <c r="P21" s="1978"/>
      <c r="Q21" s="1978"/>
      <c r="R21" s="1978"/>
      <c r="S21" s="1979"/>
      <c r="T21" s="1957" t="s">
        <v>2076</v>
      </c>
      <c r="U21" s="1958"/>
      <c r="V21" s="1958"/>
      <c r="W21" s="1958"/>
      <c r="X21" s="1971" t="s">
        <v>2077</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c r="B23" s="2013"/>
      <c r="C23" s="2013"/>
      <c r="D23" s="2013"/>
      <c r="E23" s="2013"/>
      <c r="F23" s="2013"/>
      <c r="G23" s="2013"/>
      <c r="H23" s="2014"/>
      <c r="T23" s="1952" t="s">
        <v>2078</v>
      </c>
      <c r="U23" s="1953"/>
      <c r="V23" s="1953"/>
      <c r="W23" s="1953"/>
      <c r="X23" s="1968">
        <v>44530</v>
      </c>
      <c r="Y23" s="1969"/>
      <c r="Z23" s="1969"/>
      <c r="AA23" s="1970"/>
    </row>
    <row r="24" spans="1:27" ht="14.1" customHeight="1" x14ac:dyDescent="0.2">
      <c r="A24" s="88" t="s">
        <v>677</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60452</v>
      </c>
      <c r="B25" s="1990"/>
      <c r="C25" s="1990"/>
      <c r="D25" s="1990"/>
      <c r="E25" s="1990"/>
      <c r="F25" s="1990"/>
      <c r="G25" s="1990"/>
      <c r="H25" s="1991"/>
      <c r="I25" s="113"/>
      <c r="J25" s="2056"/>
      <c r="K25" s="2056"/>
      <c r="L25" s="2056"/>
      <c r="M25" s="2056"/>
      <c r="N25" s="2056"/>
      <c r="O25" s="2056"/>
      <c r="P25" s="2056"/>
      <c r="Q25" s="2056"/>
      <c r="R25" s="2056"/>
      <c r="S25" s="2057"/>
      <c r="T25" s="1949" t="s">
        <v>2079</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48" t="s">
        <v>2068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2066</v>
      </c>
      <c r="B38" s="2022"/>
      <c r="C38" s="2022"/>
      <c r="D38" s="2022"/>
      <c r="E38" s="2022"/>
      <c r="F38" s="1990"/>
      <c r="G38" s="1990"/>
      <c r="H38" s="1991"/>
      <c r="I38" s="2041" t="s">
        <v>2069</v>
      </c>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c r="B40" s="2049"/>
      <c r="C40" s="2050"/>
      <c r="D40" s="2050"/>
      <c r="E40" s="2050"/>
      <c r="F40" s="2051"/>
      <c r="G40" s="2051"/>
      <c r="H40" s="2052"/>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t="s">
        <v>2067</v>
      </c>
      <c r="B42" s="2039"/>
      <c r="C42" s="2040"/>
      <c r="D42" s="2053"/>
      <c r="E42" s="2039"/>
      <c r="F42" s="2039"/>
      <c r="G42" s="2039"/>
      <c r="H42" s="2040"/>
      <c r="I42" s="1959" t="s">
        <v>2070</v>
      </c>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1799</v>
      </c>
      <c r="B2" s="1528" t="s">
        <v>1948</v>
      </c>
      <c r="C2" s="714" t="s">
        <v>1949</v>
      </c>
      <c r="D2" s="714" t="s">
        <v>1950</v>
      </c>
      <c r="E2" s="714" t="s">
        <v>1951</v>
      </c>
      <c r="F2" s="714" t="s">
        <v>1952</v>
      </c>
    </row>
    <row r="3" spans="1:6" ht="12" customHeight="1" x14ac:dyDescent="0.2">
      <c r="A3" s="2192"/>
      <c r="B3" s="1525"/>
      <c r="C3" s="1526"/>
      <c r="D3" s="1527" t="s">
        <v>256</v>
      </c>
      <c r="E3" s="1526"/>
      <c r="F3" s="1527" t="s">
        <v>257</v>
      </c>
    </row>
    <row r="4" spans="1:6" ht="13.7" customHeight="1" x14ac:dyDescent="0.2">
      <c r="A4" s="715" t="s">
        <v>1155</v>
      </c>
      <c r="B4" s="1749">
        <f>'Revenues 9-14'!C5</f>
        <v>5846173</v>
      </c>
      <c r="C4" s="1524">
        <v>3214109.03</v>
      </c>
      <c r="D4" s="1752">
        <f>B4-C4</f>
        <v>2632063.9700000002</v>
      </c>
      <c r="E4" s="1524">
        <v>6320439</v>
      </c>
      <c r="F4" s="1752">
        <f>E4-C4</f>
        <v>3106329.97</v>
      </c>
    </row>
    <row r="5" spans="1:6" ht="13.7" customHeight="1" x14ac:dyDescent="0.2">
      <c r="A5" s="715" t="s">
        <v>870</v>
      </c>
      <c r="B5" s="1750">
        <f>'Revenues 9-14'!D5</f>
        <v>848045</v>
      </c>
      <c r="C5" s="585">
        <v>464263.26</v>
      </c>
      <c r="D5" s="1753">
        <f t="shared" ref="D5:D18" si="0">B5-C5</f>
        <v>383781.74</v>
      </c>
      <c r="E5" s="585">
        <v>912960</v>
      </c>
      <c r="F5" s="1753">
        <f>E5-C5</f>
        <v>448696.74</v>
      </c>
    </row>
    <row r="6" spans="1:6" ht="13.7" customHeight="1" x14ac:dyDescent="0.2">
      <c r="A6" s="715" t="s">
        <v>411</v>
      </c>
      <c r="B6" s="1750">
        <f>'Revenues 9-14'!E5</f>
        <v>1897759</v>
      </c>
      <c r="C6" s="585">
        <v>1019261.65</v>
      </c>
      <c r="D6" s="1753">
        <f t="shared" si="0"/>
        <v>878497.35</v>
      </c>
      <c r="E6" s="585">
        <f>1320126+684222</f>
        <v>2004348</v>
      </c>
      <c r="F6" s="1753">
        <f t="shared" ref="F6:F18" si="1">E6-C6</f>
        <v>985086.35</v>
      </c>
    </row>
    <row r="7" spans="1:6" ht="13.7" customHeight="1" x14ac:dyDescent="0.2">
      <c r="A7" s="715" t="s">
        <v>155</v>
      </c>
      <c r="B7" s="1750">
        <f>'Revenues 9-14'!F5</f>
        <v>297136</v>
      </c>
      <c r="C7" s="585">
        <v>161947.95000000001</v>
      </c>
      <c r="D7" s="1753">
        <f t="shared" si="0"/>
        <v>135188.04999999999</v>
      </c>
      <c r="E7" s="585">
        <v>318462</v>
      </c>
      <c r="F7" s="1753">
        <f t="shared" si="1"/>
        <v>156514.04999999999</v>
      </c>
    </row>
    <row r="8" spans="1:6" ht="13.7" customHeight="1" x14ac:dyDescent="0.2">
      <c r="A8" s="715" t="s">
        <v>1179</v>
      </c>
      <c r="B8" s="1750">
        <f>'Revenues 9-14'!G5</f>
        <v>248472</v>
      </c>
      <c r="C8" s="585">
        <v>135429.60999999999</v>
      </c>
      <c r="D8" s="1753">
        <f t="shared" si="0"/>
        <v>113042.39000000001</v>
      </c>
      <c r="E8" s="585">
        <v>266322</v>
      </c>
      <c r="F8" s="1753">
        <f t="shared" si="1"/>
        <v>130892.39000000001</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5700</v>
      </c>
      <c r="C10" s="585">
        <v>3118.58</v>
      </c>
      <c r="D10" s="1753">
        <f t="shared" si="0"/>
        <v>2581.42</v>
      </c>
      <c r="E10" s="585">
        <v>6134</v>
      </c>
      <c r="F10" s="1753">
        <f t="shared" si="1"/>
        <v>3015.42</v>
      </c>
    </row>
    <row r="11" spans="1:6" x14ac:dyDescent="0.2">
      <c r="A11" s="715" t="s">
        <v>409</v>
      </c>
      <c r="B11" s="1750">
        <f>'Revenues 9-14'!J5</f>
        <v>130883</v>
      </c>
      <c r="C11" s="585">
        <v>71223.210000000006</v>
      </c>
      <c r="D11" s="1753">
        <f t="shared" si="0"/>
        <v>59659.789999999994</v>
      </c>
      <c r="E11" s="585">
        <v>140062</v>
      </c>
      <c r="F11" s="1753">
        <f t="shared" si="1"/>
        <v>68838.789999999994</v>
      </c>
    </row>
    <row r="12" spans="1:6" ht="13.7" customHeight="1" x14ac:dyDescent="0.2">
      <c r="A12" s="715" t="s">
        <v>157</v>
      </c>
      <c r="B12" s="1750">
        <f>'Revenues 9-14'!K5</f>
        <v>2663</v>
      </c>
      <c r="C12" s="585">
        <v>1429.35</v>
      </c>
      <c r="D12" s="1753">
        <f t="shared" si="0"/>
        <v>1233.6500000000001</v>
      </c>
      <c r="E12" s="585">
        <v>2811</v>
      </c>
      <c r="F12" s="1753">
        <f t="shared" si="1"/>
        <v>1381.65</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2663</v>
      </c>
      <c r="C14" s="585">
        <v>1429.35</v>
      </c>
      <c r="D14" s="1753">
        <f t="shared" si="0"/>
        <v>1233.6500000000001</v>
      </c>
      <c r="E14" s="585">
        <v>2811</v>
      </c>
      <c r="F14" s="1753">
        <f t="shared" si="1"/>
        <v>1381.65</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230065</v>
      </c>
      <c r="C16" s="585">
        <v>125424.16</v>
      </c>
      <c r="D16" s="1753">
        <f t="shared" si="0"/>
        <v>104640.84</v>
      </c>
      <c r="E16" s="585">
        <v>246642</v>
      </c>
      <c r="F16" s="1753">
        <f t="shared" si="1"/>
        <v>121217.84</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9509559</v>
      </c>
      <c r="C19" s="1751">
        <f>SUM(C4:C18)</f>
        <v>5197636.1500000004</v>
      </c>
      <c r="D19" s="1751">
        <f>SUM(D4:D18)</f>
        <v>4311922.8500000006</v>
      </c>
      <c r="E19" s="1751">
        <f>SUM(E4:E18)</f>
        <v>10220991</v>
      </c>
      <c r="F19" s="1751">
        <f>SUM(F4:F18)</f>
        <v>5023354.8499999996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1"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1799</v>
      </c>
      <c r="B2" s="2207"/>
      <c r="C2" s="1884" t="s">
        <v>1953</v>
      </c>
      <c r="D2" s="723" t="s">
        <v>1954</v>
      </c>
      <c r="E2" s="723" t="s">
        <v>1955</v>
      </c>
      <c r="F2" s="1884" t="s">
        <v>1956</v>
      </c>
    </row>
    <row r="3" spans="1:7" ht="15.75" customHeight="1" x14ac:dyDescent="0.2">
      <c r="A3" s="2210" t="s">
        <v>1114</v>
      </c>
      <c r="B3" s="2211"/>
      <c r="C3" s="2199"/>
      <c r="D3" s="2200"/>
      <c r="E3" s="2200"/>
      <c r="F3" s="2201"/>
    </row>
    <row r="4" spans="1:7" ht="12.75" customHeight="1" thickBot="1" x14ac:dyDescent="0.25">
      <c r="A4" s="2208" t="s">
        <v>630</v>
      </c>
      <c r="B4" s="2209"/>
      <c r="C4" s="581"/>
      <c r="D4" s="581"/>
      <c r="E4" s="581"/>
      <c r="F4" s="1755">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c r="D17" s="585"/>
      <c r="E17" s="726"/>
      <c r="F17" s="1755">
        <f>SUM(C17+D17)-E17</f>
        <v>0</v>
      </c>
    </row>
    <row r="18" spans="1:11" ht="12.75" customHeight="1" thickTop="1" thickBot="1" x14ac:dyDescent="0.25">
      <c r="A18" s="2218" t="s">
        <v>6</v>
      </c>
      <c r="B18" s="2219"/>
      <c r="C18" s="726"/>
      <c r="D18" s="585"/>
      <c r="E18" s="726"/>
      <c r="F18" s="1755">
        <f>SUM(C18+D18)-E18</f>
        <v>0</v>
      </c>
    </row>
    <row r="19" spans="1:11" ht="12.75" customHeight="1" thickTop="1" thickBot="1" x14ac:dyDescent="0.25">
      <c r="A19" s="2218" t="s">
        <v>388</v>
      </c>
      <c r="B19" s="2219"/>
      <c r="C19" s="726"/>
      <c r="D19" s="585"/>
      <c r="E19" s="726"/>
      <c r="F19" s="1755">
        <f>SUM(C19+D19)-E19</f>
        <v>0</v>
      </c>
    </row>
    <row r="20" spans="1:11" ht="12.75" customHeight="1" thickTop="1" thickBot="1" x14ac:dyDescent="0.25">
      <c r="A20" s="2218" t="s">
        <v>448</v>
      </c>
      <c r="B20" s="2219"/>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c r="D23" s="581"/>
      <c r="E23" s="581"/>
      <c r="F23" s="1755">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c r="D25" s="581"/>
      <c r="E25" s="581"/>
      <c r="F25" s="1755">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2080</v>
      </c>
      <c r="B31" s="733">
        <v>38048</v>
      </c>
      <c r="C31" s="734">
        <v>1040193</v>
      </c>
      <c r="D31" s="735">
        <v>6</v>
      </c>
      <c r="E31" s="734">
        <v>1040193</v>
      </c>
      <c r="F31" s="734"/>
      <c r="G31" s="734"/>
      <c r="H31" s="734">
        <v>373070</v>
      </c>
      <c r="I31" s="1756">
        <f>((E31+F31)-H31)+G31</f>
        <v>667123</v>
      </c>
      <c r="J31" s="734">
        <v>481821</v>
      </c>
      <c r="K31" s="736"/>
    </row>
    <row r="32" spans="1:11" ht="12" customHeight="1" x14ac:dyDescent="0.2">
      <c r="A32" s="732" t="s">
        <v>2080</v>
      </c>
      <c r="B32" s="733">
        <v>41584</v>
      </c>
      <c r="C32" s="734">
        <v>3480000</v>
      </c>
      <c r="D32" s="735">
        <v>3</v>
      </c>
      <c r="E32" s="734">
        <v>3450000</v>
      </c>
      <c r="F32" s="734"/>
      <c r="G32" s="734"/>
      <c r="H32" s="734">
        <v>10000</v>
      </c>
      <c r="I32" s="1756">
        <f>((E32+F32)-H32)+G32</f>
        <v>3440000</v>
      </c>
      <c r="J32" s="734">
        <v>2484493</v>
      </c>
      <c r="K32" s="736"/>
    </row>
    <row r="33" spans="1:11" ht="12" customHeight="1" x14ac:dyDescent="0.2">
      <c r="A33" s="732" t="s">
        <v>2080</v>
      </c>
      <c r="B33" s="733">
        <v>42856</v>
      </c>
      <c r="C33" s="734">
        <v>2070000</v>
      </c>
      <c r="D33" s="735">
        <v>1</v>
      </c>
      <c r="E33" s="734">
        <v>2070000</v>
      </c>
      <c r="F33" s="734"/>
      <c r="G33" s="734"/>
      <c r="H33" s="734">
        <v>670000</v>
      </c>
      <c r="I33" s="1756">
        <f t="shared" ref="I33:I48" si="1">((E33+F33)-H33)+G33</f>
        <v>1400000</v>
      </c>
      <c r="J33" s="734">
        <v>1011130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6590193</v>
      </c>
      <c r="D49" s="745"/>
      <c r="E49" s="1756">
        <f t="shared" ref="E49:J49" si="2">SUM(E31:E48)</f>
        <v>6560193</v>
      </c>
      <c r="F49" s="1756">
        <f t="shared" si="2"/>
        <v>0</v>
      </c>
      <c r="G49" s="1756">
        <f t="shared" si="2"/>
        <v>0</v>
      </c>
      <c r="H49" s="1756">
        <f t="shared" si="2"/>
        <v>1053070</v>
      </c>
      <c r="I49" s="1756">
        <f t="shared" si="2"/>
        <v>5507123</v>
      </c>
      <c r="J49" s="1756">
        <f t="shared" si="2"/>
        <v>3977444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30"/>
      <c r="I1" s="760"/>
      <c r="J1" s="433"/>
    </row>
    <row r="2" spans="1:11" ht="26.25" x14ac:dyDescent="0.2">
      <c r="A2" s="2225" t="s">
        <v>1677</v>
      </c>
      <c r="B2" s="2226"/>
      <c r="C2" s="2226"/>
      <c r="D2" s="2226"/>
      <c r="E2" s="2227"/>
      <c r="F2" s="761" t="s">
        <v>904</v>
      </c>
      <c r="G2" s="762" t="s">
        <v>1674</v>
      </c>
      <c r="H2" s="762" t="s">
        <v>410</v>
      </c>
      <c r="I2" s="762" t="s">
        <v>1158</v>
      </c>
      <c r="J2" s="762" t="s">
        <v>1809</v>
      </c>
      <c r="K2" s="762" t="s">
        <v>138</v>
      </c>
    </row>
    <row r="3" spans="1:11" x14ac:dyDescent="0.2">
      <c r="A3" s="2228" t="s">
        <v>1961</v>
      </c>
      <c r="B3" s="2229"/>
      <c r="C3" s="2229"/>
      <c r="D3" s="2229"/>
      <c r="E3" s="2230"/>
      <c r="F3" s="763"/>
      <c r="G3" s="764"/>
      <c r="H3" s="764">
        <v>0</v>
      </c>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f>1429+1307-73</f>
        <v>2663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9" t="s">
        <v>1810</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57"/>
      <c r="G12" s="1758">
        <f>SUM(G5:G11)</f>
        <v>0</v>
      </c>
      <c r="H12" s="1758">
        <f>SUM(H5:H11)</f>
        <v>2663</v>
      </c>
      <c r="I12" s="1758">
        <f>SUM(I5:I11)</f>
        <v>0</v>
      </c>
      <c r="J12" s="1758">
        <f>SUM(J5:J11)</f>
        <v>0</v>
      </c>
      <c r="K12" s="1758">
        <f>SUM(K5:K11)</f>
        <v>0</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v>2663</v>
      </c>
      <c r="I14" s="771"/>
      <c r="J14" s="773"/>
      <c r="K14" s="765"/>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59"/>
      <c r="G21" s="792"/>
      <c r="H21" s="796"/>
      <c r="I21" s="796"/>
      <c r="J21" s="1760">
        <f>SUM(J18:J20)</f>
        <v>0</v>
      </c>
      <c r="K21" s="793"/>
    </row>
    <row r="22" spans="1:11" ht="13.5" thickTop="1" x14ac:dyDescent="0.2">
      <c r="A22" s="2222" t="s">
        <v>1812</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61"/>
      <c r="G23" s="1758">
        <f>SUM(G14:G16,G21,G22)</f>
        <v>0</v>
      </c>
      <c r="H23" s="1758">
        <f>SUM(H14:H16,H21,H22)</f>
        <v>2663</v>
      </c>
      <c r="I23" s="1758">
        <f>SUM(I14:I16,I21,I22)</f>
        <v>0</v>
      </c>
      <c r="J23" s="1758">
        <f>SUM(J14:J16,J21,J22)</f>
        <v>0</v>
      </c>
      <c r="K23" s="1758">
        <f>SUM(K14:K16,K21,K22)</f>
        <v>0</v>
      </c>
    </row>
    <row r="24" spans="1:11" ht="14.25" thickTop="1" thickBot="1" x14ac:dyDescent="0.25">
      <c r="A24" s="2243" t="s">
        <v>1962</v>
      </c>
      <c r="B24" s="2242"/>
      <c r="C24" s="2242"/>
      <c r="D24" s="2242"/>
      <c r="E24" s="224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1" sqref="F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1906</v>
      </c>
      <c r="B1" s="2262"/>
      <c r="C1" s="2263"/>
      <c r="D1" s="826"/>
      <c r="E1" s="827"/>
      <c r="F1" s="827"/>
      <c r="G1" s="828"/>
      <c r="H1" s="829"/>
      <c r="I1" s="830"/>
      <c r="J1" s="2259"/>
      <c r="K1" s="2260"/>
      <c r="L1" s="226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v>122641</v>
      </c>
      <c r="D6" s="765"/>
      <c r="E6" s="765"/>
      <c r="F6" s="1760">
        <f>(C6+D6)-E6</f>
        <v>122641</v>
      </c>
      <c r="G6" s="837">
        <v>50</v>
      </c>
      <c r="H6" s="765"/>
      <c r="I6" s="765"/>
      <c r="J6" s="765"/>
      <c r="K6" s="1769">
        <f>(H6+I6)-J6</f>
        <v>0</v>
      </c>
      <c r="L6" s="1769">
        <f>F6-K6</f>
        <v>122641</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27655847</v>
      </c>
      <c r="D8" s="844">
        <v>336399</v>
      </c>
      <c r="E8" s="844"/>
      <c r="F8" s="1760">
        <f>(C8+D8)-E8</f>
        <v>27992246</v>
      </c>
      <c r="G8" s="843">
        <v>50</v>
      </c>
      <c r="H8" s="765">
        <v>14706640</v>
      </c>
      <c r="I8" s="765">
        <v>575759</v>
      </c>
      <c r="J8" s="765"/>
      <c r="K8" s="1769">
        <f>(H8+I8)-J8</f>
        <v>15282399</v>
      </c>
      <c r="L8" s="1769">
        <f>F8-K8</f>
        <v>12709847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594124</v>
      </c>
      <c r="D10" s="846"/>
      <c r="E10" s="846"/>
      <c r="F10" s="1764">
        <f>(C10+D10)-E10</f>
        <v>594124</v>
      </c>
      <c r="G10" s="843">
        <v>20</v>
      </c>
      <c r="H10" s="847">
        <v>506921</v>
      </c>
      <c r="I10" s="847">
        <v>6006</v>
      </c>
      <c r="J10" s="847"/>
      <c r="K10" s="1769">
        <f>(H10+I10)-J10</f>
        <v>512927</v>
      </c>
      <c r="L10" s="1769">
        <f>F10-K10</f>
        <v>81197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2019598</v>
      </c>
      <c r="D12" s="844">
        <v>58922</v>
      </c>
      <c r="E12" s="844">
        <v>152165</v>
      </c>
      <c r="F12" s="1760">
        <f>(C12+D12)-E12</f>
        <v>1926355</v>
      </c>
      <c r="G12" s="843">
        <v>10</v>
      </c>
      <c r="H12" s="765">
        <v>1910904</v>
      </c>
      <c r="I12" s="765">
        <v>89649</v>
      </c>
      <c r="J12" s="765">
        <v>152165</v>
      </c>
      <c r="K12" s="1769">
        <f>(H12+I12)-J12</f>
        <v>1848388</v>
      </c>
      <c r="L12" s="1769">
        <f>F12-K12</f>
        <v>77967</v>
      </c>
    </row>
    <row r="13" spans="1:14" ht="14.25" thickTop="1" thickBot="1" x14ac:dyDescent="0.25">
      <c r="A13" s="848" t="s">
        <v>1122</v>
      </c>
      <c r="B13" s="840">
        <v>252</v>
      </c>
      <c r="C13" s="844">
        <v>438933</v>
      </c>
      <c r="D13" s="844">
        <v>6995</v>
      </c>
      <c r="E13" s="844"/>
      <c r="F13" s="1760">
        <f>(C13+D13)-E13</f>
        <v>445928</v>
      </c>
      <c r="G13" s="843">
        <v>5</v>
      </c>
      <c r="H13" s="765">
        <v>438471</v>
      </c>
      <c r="I13" s="765"/>
      <c r="J13" s="765"/>
      <c r="K13" s="1769">
        <f>(H13+I13)-J13</f>
        <v>438471</v>
      </c>
      <c r="L13" s="1769">
        <f>F13-K13</f>
        <v>7457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30831143</v>
      </c>
      <c r="D16" s="1760">
        <f>SUM(D3,D5:D6,D8:D10,D12:D15)</f>
        <v>402316</v>
      </c>
      <c r="E16" s="1760">
        <f>SUM(E3,E5:E6,E8:E10,E12:E15)</f>
        <v>152165</v>
      </c>
      <c r="F16" s="1760">
        <f>SUM(F3,F5:F6,F8:F10,F12:F15)</f>
        <v>31081294</v>
      </c>
      <c r="G16" s="843"/>
      <c r="H16" s="1760">
        <f>SUM(H3,H6,H8:H10,H12:H14,)</f>
        <v>17562936</v>
      </c>
      <c r="I16" s="1760">
        <f>SUM(I3,I6,I8:I10,I12:I14,)</f>
        <v>671414</v>
      </c>
      <c r="J16" s="1760">
        <f>SUM(J3,J6,J8:J10,J12:J14,)</f>
        <v>152165</v>
      </c>
      <c r="K16" s="1760">
        <f>(H16+I16)-J16</f>
        <v>18082185</v>
      </c>
      <c r="L16" s="1760">
        <f>F16-K16</f>
        <v>12999109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145787</v>
      </c>
      <c r="G17" s="837">
        <v>10</v>
      </c>
      <c r="H17" s="769"/>
      <c r="I17" s="1769">
        <f>F17/G17</f>
        <v>14578.7</v>
      </c>
      <c r="J17" s="769"/>
      <c r="K17" s="795"/>
      <c r="L17" s="795"/>
    </row>
    <row r="18" spans="1:12" ht="14.25" thickTop="1" thickBot="1" x14ac:dyDescent="0.25">
      <c r="A18" s="1767" t="s">
        <v>685</v>
      </c>
      <c r="B18" s="1768"/>
      <c r="C18" s="771"/>
      <c r="D18" s="771"/>
      <c r="E18" s="771"/>
      <c r="F18" s="850"/>
      <c r="G18" s="851"/>
      <c r="H18" s="773"/>
      <c r="I18" s="1760">
        <f>SUM(I16,I17)</f>
        <v>685992.7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A47" sqref="A47"/>
      <selection pane="bottomLeft" activeCell="Q206" sqref="Q20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1972</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13262219</v>
      </c>
      <c r="G8" s="865"/>
    </row>
    <row r="9" spans="1:7" x14ac:dyDescent="0.2">
      <c r="A9" s="869" t="s">
        <v>460</v>
      </c>
      <c r="B9" s="870" t="s">
        <v>1874</v>
      </c>
      <c r="C9" s="871"/>
      <c r="D9" s="869" t="s">
        <v>501</v>
      </c>
      <c r="E9" s="868"/>
      <c r="F9" s="1909">
        <f>'Expenditures 15-22'!K151</f>
        <v>976107</v>
      </c>
      <c r="G9" s="872"/>
    </row>
    <row r="10" spans="1:7" x14ac:dyDescent="0.2">
      <c r="A10" s="869" t="s">
        <v>499</v>
      </c>
      <c r="B10" s="870" t="s">
        <v>1875</v>
      </c>
      <c r="C10" s="871"/>
      <c r="D10" s="869" t="s">
        <v>501</v>
      </c>
      <c r="E10" s="868"/>
      <c r="F10" s="1909">
        <f>'Expenditures 15-22'!K174</f>
        <v>1955488</v>
      </c>
      <c r="G10" s="872"/>
    </row>
    <row r="11" spans="1:7" x14ac:dyDescent="0.2">
      <c r="A11" s="869" t="s">
        <v>461</v>
      </c>
      <c r="B11" s="870" t="s">
        <v>1876</v>
      </c>
      <c r="C11" s="871"/>
      <c r="D11" s="869" t="s">
        <v>501</v>
      </c>
      <c r="E11" s="868"/>
      <c r="F11" s="1909">
        <f>'Expenditures 15-22'!K210</f>
        <v>789005</v>
      </c>
      <c r="G11" s="872"/>
    </row>
    <row r="12" spans="1:7" x14ac:dyDescent="0.2">
      <c r="A12" s="869" t="s">
        <v>462</v>
      </c>
      <c r="B12" s="870" t="s">
        <v>1877</v>
      </c>
      <c r="C12" s="871"/>
      <c r="D12" s="869" t="s">
        <v>501</v>
      </c>
      <c r="E12" s="868"/>
      <c r="F12" s="1909">
        <f>'Expenditures 15-22'!K295</f>
        <v>343932</v>
      </c>
      <c r="G12" s="872"/>
    </row>
    <row r="13" spans="1:7" x14ac:dyDescent="0.2">
      <c r="A13" s="869" t="s">
        <v>106</v>
      </c>
      <c r="B13" s="870" t="s">
        <v>1878</v>
      </c>
      <c r="C13" s="871"/>
      <c r="D13" s="869" t="s">
        <v>501</v>
      </c>
      <c r="E13" s="868"/>
      <c r="F13" s="1909">
        <f>'Expenditures 15-22'!K342</f>
        <v>90027</v>
      </c>
      <c r="G13" s="873"/>
    </row>
    <row r="14" spans="1:7" ht="12" customHeight="1" thickBot="1" x14ac:dyDescent="0.25">
      <c r="A14" s="1770"/>
      <c r="B14" s="1771"/>
      <c r="C14" s="1772"/>
      <c r="D14" s="1773" t="s">
        <v>501</v>
      </c>
      <c r="E14" s="1774" t="s">
        <v>958</v>
      </c>
      <c r="F14" s="1775">
        <f>SUM(F8:F13)</f>
        <v>17416778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115310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209251</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217991</v>
      </c>
      <c r="G52" s="865"/>
    </row>
    <row r="53" spans="1:7" x14ac:dyDescent="0.2">
      <c r="A53" s="869" t="s">
        <v>459</v>
      </c>
      <c r="B53" s="869" t="s">
        <v>1475</v>
      </c>
      <c r="C53" s="889">
        <f>'Expenditures 15-22'!B102</f>
        <v>4000</v>
      </c>
      <c r="D53" s="888" t="str">
        <f>'Expenditures 15-22'!A102</f>
        <v>Total Payments to Other Govt Units</v>
      </c>
      <c r="E53" s="868"/>
      <c r="F53" s="1913">
        <f>'Expenditures 15-22'!K102</f>
        <v>1186188</v>
      </c>
      <c r="G53" s="865"/>
    </row>
    <row r="54" spans="1:7" x14ac:dyDescent="0.2">
      <c r="A54" s="869" t="s">
        <v>459</v>
      </c>
      <c r="B54" s="869" t="s">
        <v>1476</v>
      </c>
      <c r="C54" s="889" t="s">
        <v>982</v>
      </c>
      <c r="D54" s="885" t="s">
        <v>1095</v>
      </c>
      <c r="E54" s="868"/>
      <c r="F54" s="1913">
        <f>'Expenditures 15-22'!G114</f>
        <v>7312</v>
      </c>
      <c r="G54" s="865"/>
    </row>
    <row r="55" spans="1:7" x14ac:dyDescent="0.2">
      <c r="A55" s="869" t="s">
        <v>459</v>
      </c>
      <c r="B55" s="869" t="s">
        <v>1477</v>
      </c>
      <c r="C55" s="889" t="s">
        <v>982</v>
      </c>
      <c r="D55" s="885" t="s">
        <v>291</v>
      </c>
      <c r="E55" s="868"/>
      <c r="F55" s="1913">
        <f>'Expenditures 15-22'!I114</f>
        <v>145787</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48404</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1053070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1284</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7426</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15877</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3007900</v>
      </c>
      <c r="G76" s="865"/>
    </row>
    <row r="77" spans="1:8" s="893" customFormat="1" ht="12" customHeight="1" thickTop="1" thickBot="1" x14ac:dyDescent="0.25">
      <c r="A77" s="1779"/>
      <c r="B77" s="1776"/>
      <c r="C77" s="1772"/>
      <c r="D77" s="1777" t="s">
        <v>1897</v>
      </c>
      <c r="E77" s="1774"/>
      <c r="F77" s="1780">
        <f>(F14-F76)</f>
        <v>14408878</v>
      </c>
      <c r="G77" s="869"/>
    </row>
    <row r="78" spans="1:8" s="893" customFormat="1" ht="12" customHeight="1" thickTop="1" x14ac:dyDescent="0.2">
      <c r="A78" s="1781"/>
      <c r="B78" s="1776"/>
      <c r="C78" s="1772"/>
      <c r="D78" s="1777" t="s">
        <v>2059</v>
      </c>
      <c r="E78" s="1774"/>
      <c r="F78" s="898">
        <v>1541.1</v>
      </c>
      <c r="G78" s="899"/>
      <c r="H78" s="869"/>
    </row>
    <row r="79" spans="1:8" s="893" customFormat="1" ht="12" customHeight="1" thickBot="1" x14ac:dyDescent="0.25">
      <c r="A79" s="1782"/>
      <c r="B79" s="1776"/>
      <c r="C79" s="1772"/>
      <c r="D79" s="1777" t="s">
        <v>1898</v>
      </c>
      <c r="E79" s="1774" t="s">
        <v>958</v>
      </c>
      <c r="F79" s="1783">
        <f>IF(F78&gt;0,F77/F78," Complete Line 78")</f>
        <v>9349.7359029264808</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25307</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178408</v>
      </c>
      <c r="G94" s="912"/>
    </row>
    <row r="95" spans="1:7" x14ac:dyDescent="0.2">
      <c r="A95" s="908" t="s">
        <v>140</v>
      </c>
      <c r="B95" s="908" t="s">
        <v>175</v>
      </c>
      <c r="C95" s="910">
        <v>1700</v>
      </c>
      <c r="D95" s="918" t="str">
        <f>'Revenues 9-14'!A82</f>
        <v>Total District/School Activity Income</v>
      </c>
      <c r="E95" s="906"/>
      <c r="F95" s="1789">
        <f>SUM('Revenues 9-14'!C82,'Revenues 9-14'!D82)</f>
        <v>32136</v>
      </c>
      <c r="G95" s="912"/>
    </row>
    <row r="96" spans="1:7" x14ac:dyDescent="0.2">
      <c r="A96" s="908" t="s">
        <v>459</v>
      </c>
      <c r="B96" s="908" t="s">
        <v>176</v>
      </c>
      <c r="C96" s="910">
        <f>'Revenues 9-14'!B84</f>
        <v>1811</v>
      </c>
      <c r="D96" s="911" t="str">
        <f>'Revenues 9-14'!A84</f>
        <v>Rentals - Regular Textbooks</v>
      </c>
      <c r="E96" s="906"/>
      <c r="F96" s="1789">
        <f>'Revenues 9-14'!C84</f>
        <v>144488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136700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14312</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1547</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4832</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363030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1173</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274750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208061</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389351</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45155</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17327</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53128</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7214</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17472</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586496.79</v>
      </c>
      <c r="G171" s="927"/>
    </row>
    <row r="172" spans="1:7" x14ac:dyDescent="0.2">
      <c r="A172" s="1918" t="s">
        <v>664</v>
      </c>
      <c r="B172" s="1919" t="s">
        <v>1917</v>
      </c>
      <c r="C172" s="1920">
        <v>3300</v>
      </c>
      <c r="D172" s="1921" t="s">
        <v>1920</v>
      </c>
      <c r="E172" s="906"/>
      <c r="F172" s="1906">
        <v>71608.539999999994</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2572496.33</v>
      </c>
    </row>
    <row r="175" spans="1:7" ht="12" customHeight="1" x14ac:dyDescent="0.2">
      <c r="A175" s="1770"/>
      <c r="B175" s="1784"/>
      <c r="C175" s="1785"/>
      <c r="D175" s="1786" t="s">
        <v>2054</v>
      </c>
      <c r="E175" s="1787"/>
      <c r="F175" s="1789">
        <f>'PCTC-OEPP 27-28'!F77-F174</f>
        <v>11836381.67</v>
      </c>
    </row>
    <row r="176" spans="1:7" ht="12" customHeight="1" x14ac:dyDescent="0.2">
      <c r="A176" s="1770"/>
      <c r="B176" s="1784"/>
      <c r="C176" s="1785"/>
      <c r="D176" s="1786" t="s">
        <v>1814</v>
      </c>
      <c r="E176" s="1787"/>
      <c r="F176" s="1789">
        <f>'Cap Outlay Deprec 26'!I18</f>
        <v>685992.7</v>
      </c>
    </row>
    <row r="177" spans="1:7" ht="12" customHeight="1" x14ac:dyDescent="0.2">
      <c r="A177" s="1770"/>
      <c r="B177" s="1784"/>
      <c r="C177" s="1785"/>
      <c r="D177" s="1786" t="s">
        <v>2055</v>
      </c>
      <c r="E177" s="1787"/>
      <c r="F177" s="1789">
        <f>F175+F176</f>
        <v>12522374.369999999</v>
      </c>
    </row>
    <row r="178" spans="1:7" ht="12" customHeight="1" x14ac:dyDescent="0.2">
      <c r="A178" s="1770"/>
      <c r="B178" s="1790"/>
      <c r="C178" s="1785"/>
      <c r="D178" s="1786" t="str">
        <f>D78</f>
        <v>9 Month ADA from District Average Daily Attendance/Prior General State Aid Inquiry 2018-2019</v>
      </c>
      <c r="E178" s="1787"/>
      <c r="F178" s="1791">
        <f>'PCTC-OEPP 27-28'!F78</f>
        <v>1541.1</v>
      </c>
      <c r="G178" s="930"/>
    </row>
    <row r="179" spans="1:7" ht="12" customHeight="1" thickBot="1" x14ac:dyDescent="0.25">
      <c r="A179" s="1770"/>
      <c r="B179" s="1790"/>
      <c r="C179" s="1785"/>
      <c r="D179" s="1786" t="s">
        <v>2056</v>
      </c>
      <c r="E179" s="1787" t="s">
        <v>1545</v>
      </c>
      <c r="F179" s="1792">
        <f>F177/F178</f>
        <v>8125.6079229122051</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534" t="s">
        <v>1816</v>
      </c>
      <c r="B6" s="1535"/>
      <c r="C6" s="1535"/>
      <c r="D6" s="1535"/>
      <c r="E6" s="1535"/>
      <c r="F6" s="1535"/>
      <c r="G6" s="1536"/>
    </row>
    <row r="7" spans="1:7" ht="30.75" customHeight="1" x14ac:dyDescent="0.25">
      <c r="A7" s="2284" t="s">
        <v>1929</v>
      </c>
      <c r="B7" s="2285"/>
      <c r="C7" s="2285"/>
      <c r="D7" s="2285"/>
      <c r="E7" s="2285"/>
      <c r="F7" s="2285"/>
      <c r="G7" s="2286"/>
    </row>
    <row r="8" spans="1:7" ht="15.75" customHeight="1" x14ac:dyDescent="0.25">
      <c r="A8" s="2287" t="s">
        <v>1904</v>
      </c>
      <c r="B8" s="2288"/>
      <c r="C8" s="2288"/>
      <c r="D8" s="2288"/>
      <c r="E8" s="2288"/>
      <c r="F8" s="2288"/>
      <c r="G8" s="2289"/>
    </row>
    <row r="9" spans="1:7" ht="35.25" customHeight="1" x14ac:dyDescent="0.25">
      <c r="A9" s="2284" t="s">
        <v>1932</v>
      </c>
      <c r="B9" s="2285"/>
      <c r="C9" s="2285"/>
      <c r="D9" s="2285"/>
      <c r="E9" s="2285"/>
      <c r="F9" s="2285"/>
      <c r="G9" s="2286"/>
    </row>
    <row r="10" spans="1:7" ht="15" customHeight="1" x14ac:dyDescent="0.25">
      <c r="A10" s="1537" t="s">
        <v>1817</v>
      </c>
      <c r="B10" s="1538"/>
      <c r="C10" s="1538"/>
      <c r="D10" s="1538"/>
      <c r="E10" s="1538"/>
      <c r="F10" s="1538"/>
      <c r="G10" s="1539"/>
    </row>
    <row r="11" spans="1:7" ht="17.25" customHeight="1" x14ac:dyDescent="0.25">
      <c r="A11" s="2284" t="s">
        <v>1931</v>
      </c>
      <c r="B11" s="2285"/>
      <c r="C11" s="2285"/>
      <c r="D11" s="2285"/>
      <c r="E11" s="2285"/>
      <c r="F11" s="2285"/>
      <c r="G11" s="2286"/>
    </row>
    <row r="12" spans="1:7" ht="15" customHeight="1" x14ac:dyDescent="0.25">
      <c r="A12" s="1537" t="s">
        <v>1822</v>
      </c>
      <c r="B12" s="1538"/>
      <c r="C12" s="1538"/>
      <c r="D12" s="1538"/>
      <c r="E12" s="1538"/>
      <c r="F12" s="1538"/>
      <c r="G12" s="1539"/>
    </row>
    <row r="13" spans="1:7" ht="32.25" customHeight="1" x14ac:dyDescent="0.25">
      <c r="A13" s="2275" t="s">
        <v>1973</v>
      </c>
      <c r="B13" s="2276"/>
      <c r="C13" s="2276"/>
      <c r="D13" s="2276"/>
      <c r="E13" s="2276"/>
      <c r="F13" s="2276"/>
      <c r="G13" s="227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2496" t="s">
        <v>2144</v>
      </c>
      <c r="B17" s="2495" t="s">
        <v>2143</v>
      </c>
      <c r="C17" s="2497" t="s">
        <v>2145</v>
      </c>
      <c r="D17" s="1844">
        <v>27968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2968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27968</v>
      </c>
      <c r="E141" s="1541">
        <f t="shared" si="0"/>
        <v>25000</v>
      </c>
      <c r="F141" s="1933">
        <f>SUM(F17:F140)</f>
        <v>25000</v>
      </c>
      <c r="G141" s="1795">
        <f>SUM(G17:G140)</f>
        <v>2968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335430</v>
      </c>
      <c r="F10" s="974"/>
      <c r="G10" s="975"/>
      <c r="H10" s="162"/>
      <c r="I10" s="162"/>
    </row>
    <row r="11" spans="1:9" s="668" customFormat="1" ht="22.5" customHeight="1" x14ac:dyDescent="0.2">
      <c r="A11" s="2295" t="s">
        <v>1974</v>
      </c>
      <c r="B11" s="2296"/>
      <c r="C11" s="2296"/>
      <c r="D11" s="2297"/>
      <c r="E11" s="977">
        <v>37865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7621799</v>
      </c>
      <c r="F19" s="1799"/>
      <c r="G19" s="1801">
        <f>'Expenditures 15-22'!K33-SUM('Expenditures 15-22'!G33,'Expenditures 15-22'!I33)+'Expenditures 15-22'!D229</f>
        <v>7621799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1054731</v>
      </c>
      <c r="F21" s="1802"/>
      <c r="G21" s="1805">
        <f>'Expenditures 15-22'!K42-SUM('Expenditures 15-22'!G42,'Expenditures 15-22'!I42)+'Expenditures 15-22'!K120-SUM('Expenditures 15-22'!G120,'Expenditures 15-22'!I120)+'Expenditures 15-22'!K180-SUM('Expenditures 15-22'!G180,'Expenditures 15-22'!I180)+'Expenditures 15-22'!D238</f>
        <v>1054731</v>
      </c>
      <c r="H21" s="987"/>
      <c r="I21" s="162"/>
    </row>
    <row r="22" spans="1:9" s="668" customFormat="1" ht="12" customHeight="1" x14ac:dyDescent="0.2">
      <c r="A22" s="994" t="s">
        <v>564</v>
      </c>
      <c r="B22" s="995"/>
      <c r="C22" s="993">
        <v>2200</v>
      </c>
      <c r="D22" s="1802"/>
      <c r="E22" s="1804">
        <f>'Expenditures 15-22'!K47-SUM('Expenditures 15-22'!G47,'Expenditures 15-22'!I47)+'Expenditures 15-22'!D243</f>
        <v>318625</v>
      </c>
      <c r="F22" s="1802"/>
      <c r="G22" s="1805">
        <f>'Expenditures 15-22'!K47-SUM('Expenditures 15-22'!G47,'Expenditures 15-22'!I47)+'Expenditures 15-22'!D243</f>
        <v>318625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845640</v>
      </c>
      <c r="F23" s="1802"/>
      <c r="G23" s="1804">
        <f>'Expenditures 15-22'!K53-SUM('Expenditures 15-22'!G53,'Expenditures 15-22'!I53)+'Expenditures 15-22'!D257+'Expenditures 15-22'!K330-SUM('Expenditures 15-22'!G330,'Expenditures 15-22'!I330)</f>
        <v>845640</v>
      </c>
      <c r="H23" s="987"/>
      <c r="I23" s="162"/>
    </row>
    <row r="24" spans="1:9" s="668" customFormat="1" ht="12" customHeight="1" x14ac:dyDescent="0.2">
      <c r="A24" s="994" t="s">
        <v>566</v>
      </c>
      <c r="B24" s="995"/>
      <c r="C24" s="993">
        <v>2400</v>
      </c>
      <c r="D24" s="1802"/>
      <c r="E24" s="1804">
        <f>'Expenditures 15-22'!K57-SUM('Expenditures 15-22'!G57,'Expenditures 15-22'!I57)+'Expenditures 15-22'!D261</f>
        <v>871847</v>
      </c>
      <c r="F24" s="1802"/>
      <c r="G24" s="1805">
        <f>'Expenditures 15-22'!K57-SUM('Expenditures 15-22'!G57,'Expenditures 15-22'!I57)+'Expenditures 15-22'!D261</f>
        <v>871847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117318</v>
      </c>
      <c r="E26" s="1804">
        <f>'Expenditures 15-22'!K122-SUM('Expenditures 15-22'!G122,'Expenditures 15-22'!I122)+E7</f>
        <v>0</v>
      </c>
      <c r="F26" s="1804">
        <f>'Expenditures 15-22'!K59-SUM('Expenditures 15-22'!G59,'Expenditures 15-22'!I59)+'Expenditures 15-22'!D263-E7</f>
        <v>117318</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113326</v>
      </c>
      <c r="E27" s="1804">
        <f>E8</f>
        <v>0</v>
      </c>
      <c r="F27" s="1804">
        <f>'Expenditures 15-22'!K60-SUM('Expenditures 15-22'!G60,'Expenditures 15-22'!I60)+'Expenditures 15-22'!D264-E8</f>
        <v>113326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1263022</v>
      </c>
      <c r="F28" s="1806">
        <f>'Expenditures 15-22'!K61-SUM('Expenditures 15-22'!G61,'Expenditures 15-22'!I61)+'Expenditures 15-22'!K124-SUM('Expenditures 15-22'!G124,'Expenditures 15-22'!I124)+'Expenditures 15-22'!D266-E9</f>
        <v>1263022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791975</v>
      </c>
      <c r="F29" s="1802"/>
      <c r="G29" s="1805">
        <f>'Expenditures 15-22'!K62-SUM('Expenditures 15-22'!G62,'Expenditures 15-22'!I62)+'Expenditures 15-22'!K125-SUM('Expenditures 15-22'!G125,'Expenditures 15-22'!I125)+'Expenditures 15-22'!K182-SUM('Expenditures 15-22'!G182,'Expenditures 15-22'!I182)+'Expenditures 15-22'!D267</f>
        <v>791975</v>
      </c>
      <c r="H29" s="985"/>
    </row>
    <row r="30" spans="1:9" ht="12" customHeight="1" x14ac:dyDescent="0.2">
      <c r="A30" s="994" t="s">
        <v>100</v>
      </c>
      <c r="B30" s="997"/>
      <c r="C30" s="993">
        <v>2560</v>
      </c>
      <c r="D30" s="1802"/>
      <c r="E30" s="1804">
        <f>'Expenditures 15-22'!K63-SUM('Expenditures 15-22'!G63,'Expenditures 15-22'!I63)+'Expenditures 15-22'!D268-E10</f>
        <v>24182</v>
      </c>
      <c r="F30" s="1802"/>
      <c r="G30" s="1804">
        <f>'Expenditures 15-22'!K63-SUM('Expenditures 15-22'!G63,'Expenditures 15-22'!I63)+'Expenditures 15-22'!D268-E10</f>
        <v>24182</v>
      </c>
    </row>
    <row r="31" spans="1:9" ht="12" customHeight="1" x14ac:dyDescent="0.2">
      <c r="A31" s="994" t="s">
        <v>101</v>
      </c>
      <c r="B31" s="997"/>
      <c r="C31" s="993">
        <v>2570</v>
      </c>
      <c r="D31" s="1804">
        <f>'Expenditures 15-22'!K64-SUM('Expenditures 15-22'!G64,'Expenditures 15-22'!I64)+'Expenditures 15-22'!D269-E12</f>
        <v>1981</v>
      </c>
      <c r="E31" s="1804">
        <f>E12</f>
        <v>0</v>
      </c>
      <c r="F31" s="1804">
        <f>'Expenditures 15-22'!K64-SUM('Expenditures 15-22'!G64,'Expenditures 15-22'!I64)+'Expenditures 15-22'!D269-E12</f>
        <v>1981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698</v>
      </c>
      <c r="F35" s="1802"/>
      <c r="G35" s="1804">
        <f>'Expenditures 15-22'!K69-SUM('Expenditures 15-22'!G69,'Expenditures 15-22'!I69)+'Expenditures 15-22'!D274</f>
        <v>698</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478962</v>
      </c>
      <c r="E37" s="1804">
        <f>E14</f>
        <v>0</v>
      </c>
      <c r="F37" s="1804">
        <f>'Expenditures 15-22'!K71-SUM('Expenditures 15-22'!G71,'Expenditures 15-22'!I71)+'Expenditures 15-22'!D276-E14</f>
        <v>478962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195</v>
      </c>
      <c r="F38" s="1802"/>
      <c r="G38" s="1804">
        <f>'Expenditures 15-22'!K73-SUM('Expenditures 15-22'!G73,'Expenditures 15-22'!I73)+'Expenditures 15-22'!K128-SUM('Expenditures 15-22'!G128,'Expenditures 15-22'!I128)+'Expenditures 15-22'!K183-SUM('Expenditures 15-22'!G183,'Expenditures 15-22'!I183)+'Expenditures 15-22'!D278</f>
        <v>195</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233868</v>
      </c>
      <c r="F39" s="1802"/>
      <c r="G39" s="1804">
        <f>'Expenditures 15-22'!K75-SUM('Expenditures 15-22'!G75,'Expenditures 15-22'!I75)+'Expenditures 15-22'!K130-SUM('Expenditures 15-22'!G130,'Expenditures 15-22'!I130)+'Expenditures 15-22'!K185-SUM('Expenditures 15-22'!G185,'Expenditures 15-22'!I185)+'Expenditures 15-22'!D280</f>
        <v>233868</v>
      </c>
    </row>
    <row r="40" spans="1:7" ht="12" customHeight="1" x14ac:dyDescent="0.2">
      <c r="A40" s="990" t="s">
        <v>1820</v>
      </c>
      <c r="B40" s="991"/>
      <c r="C40" s="993"/>
      <c r="D40" s="1802"/>
      <c r="E40" s="1806">
        <f>-'Contracts Paid in CY 29'!G141</f>
        <v>-2968</v>
      </c>
      <c r="F40" s="1802"/>
      <c r="G40" s="1806">
        <f>-'Contracts Paid in CY 29'!G141</f>
        <v>-2968</v>
      </c>
    </row>
    <row r="41" spans="1:7" ht="12" customHeight="1" x14ac:dyDescent="0.2">
      <c r="A41" s="998" t="s">
        <v>156</v>
      </c>
      <c r="B41" s="999"/>
      <c r="C41" s="1000"/>
      <c r="D41" s="1806">
        <f>SUM(D19:D39)</f>
        <v>711587</v>
      </c>
      <c r="E41" s="1806">
        <f>SUM(E19:E40)</f>
        <v>13023614</v>
      </c>
      <c r="F41" s="1806">
        <f>SUM(F19:F39)</f>
        <v>1974609</v>
      </c>
      <c r="G41" s="1806">
        <f>SUM(G19:G40)</f>
        <v>11760592</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711587</v>
      </c>
      <c r="F43" s="1807" t="s">
        <v>473</v>
      </c>
      <c r="G43" s="1808">
        <f>F41</f>
        <v>1974609</v>
      </c>
    </row>
    <row r="44" spans="1:7" ht="12" customHeight="1" x14ac:dyDescent="0.2">
      <c r="A44" s="987"/>
      <c r="B44" s="162"/>
      <c r="C44" s="1001"/>
      <c r="D44" s="1807" t="s">
        <v>474</v>
      </c>
      <c r="E44" s="1808">
        <f>E41</f>
        <v>13023614</v>
      </c>
      <c r="F44" s="1807" t="s">
        <v>474</v>
      </c>
      <c r="G44" s="1808">
        <f>G41</f>
        <v>11760592</v>
      </c>
    </row>
    <row r="45" spans="1:7" ht="12" customHeight="1" x14ac:dyDescent="0.2">
      <c r="A45" s="987"/>
      <c r="B45" s="162"/>
      <c r="C45" s="162"/>
      <c r="D45" s="1809" t="s">
        <v>1006</v>
      </c>
      <c r="E45" s="1810">
        <f>(E43/E44)</f>
        <v>5.4638213325425643E-2</v>
      </c>
      <c r="F45" s="1809" t="s">
        <v>1006</v>
      </c>
      <c r="G45" s="1810">
        <f>(G43/G44)</f>
        <v>0.16790047643860104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FOREST RIDGE SD 142</v>
      </c>
      <c r="D6" s="2305"/>
      <c r="E6" s="2305"/>
      <c r="F6" s="1852"/>
    </row>
    <row r="7" spans="1:10" ht="11.25" customHeight="1" thickBot="1" x14ac:dyDescent="0.3">
      <c r="A7" s="1850"/>
      <c r="B7" s="1851"/>
      <c r="C7" s="2306">
        <f>COVER!A13</f>
        <v>7016142002</v>
      </c>
      <c r="D7" s="2306"/>
      <c r="E7" s="2306"/>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2061</v>
      </c>
      <c r="D16" s="1865" t="s">
        <v>2061</v>
      </c>
      <c r="E16" s="1868"/>
      <c r="F16" s="1867" t="s">
        <v>2081</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2082</v>
      </c>
      <c r="H19" s="1878">
        <f t="shared" si="0"/>
        <v>5</v>
      </c>
      <c r="I19" s="1878">
        <f t="shared" si="1"/>
        <v>5</v>
      </c>
      <c r="J19" s="1878">
        <f t="shared" si="2"/>
        <v>0</v>
      </c>
    </row>
    <row r="20" spans="1:12" ht="12" customHeight="1" x14ac:dyDescent="0.2">
      <c r="A20" s="1863" t="s">
        <v>1528</v>
      </c>
      <c r="B20" s="1864"/>
      <c r="C20" s="1865" t="s">
        <v>2061</v>
      </c>
      <c r="D20" s="1865" t="s">
        <v>2061</v>
      </c>
      <c r="E20" s="1868"/>
      <c r="F20" s="1867" t="s">
        <v>2083</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2084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3"/>
      <c r="B39" s="1873"/>
      <c r="C39" s="1873"/>
      <c r="D39" s="1873"/>
      <c r="E39" s="1873"/>
      <c r="F39" s="1873"/>
    </row>
    <row r="40" spans="1:11" s="1870" customFormat="1" ht="12" customHeight="1" x14ac:dyDescent="0.25">
      <c r="A40" s="1874" t="s">
        <v>1391</v>
      </c>
      <c r="B40" s="1875"/>
      <c r="C40" s="2315"/>
      <c r="D40" s="2315"/>
      <c r="E40" s="2315"/>
      <c r="F40" s="2316"/>
      <c r="H40" s="1879"/>
      <c r="I40" s="1879"/>
      <c r="J40" s="1879"/>
      <c r="K40" s="1879"/>
    </row>
    <row r="41" spans="1:11" s="1870" customFormat="1" ht="12" customHeight="1" x14ac:dyDescent="0.25">
      <c r="A41" s="2317"/>
      <c r="B41" s="2318"/>
      <c r="C41" s="2318"/>
      <c r="D41" s="2318"/>
      <c r="E41" s="2318"/>
      <c r="F41" s="2319"/>
      <c r="H41" s="1879"/>
      <c r="I41" s="1879"/>
      <c r="J41" s="1879"/>
      <c r="K41" s="1879"/>
    </row>
    <row r="42" spans="1:11" s="1870" customFormat="1" ht="12" customHeight="1" x14ac:dyDescent="0.25">
      <c r="A42" s="2317"/>
      <c r="B42" s="2318"/>
      <c r="C42" s="2318"/>
      <c r="D42" s="2318"/>
      <c r="E42" s="2318"/>
      <c r="F42" s="2319"/>
      <c r="H42" s="1879"/>
      <c r="I42" s="1879"/>
      <c r="J42" s="1879"/>
      <c r="K42" s="1879"/>
    </row>
    <row r="43" spans="1:11" s="1870" customFormat="1" ht="15" x14ac:dyDescent="0.25">
      <c r="A43" s="2309"/>
      <c r="B43" s="2310"/>
      <c r="C43" s="2310"/>
      <c r="D43" s="2310"/>
      <c r="E43" s="2310"/>
      <c r="F43" s="2311"/>
      <c r="H43" s="1879"/>
      <c r="I43" s="1879"/>
      <c r="J43" s="1879"/>
      <c r="K43" s="1879"/>
    </row>
    <row r="44" spans="1:11" s="1870" customFormat="1" ht="12" hidden="1" customHeight="1" x14ac:dyDescent="0.25">
      <c r="A44" s="2309"/>
      <c r="B44" s="2310"/>
      <c r="C44" s="2310"/>
      <c r="D44" s="2310"/>
      <c r="E44" s="2310"/>
      <c r="F44" s="231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39" sqref="C39:I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FOREST RIDGE SD 142</v>
      </c>
      <c r="J6" s="2326"/>
      <c r="Q6" s="1664"/>
    </row>
    <row r="7" spans="1:17" x14ac:dyDescent="0.2">
      <c r="A7" s="2327" t="s">
        <v>869</v>
      </c>
      <c r="B7" s="2328"/>
      <c r="C7" s="2328"/>
      <c r="D7" s="2328"/>
      <c r="E7" s="2329"/>
      <c r="F7" s="1017"/>
      <c r="G7" s="1009"/>
      <c r="H7" s="1016" t="s">
        <v>372</v>
      </c>
      <c r="I7" s="2330">
        <f>COVER!A13</f>
        <v>7016142002</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317772</v>
      </c>
      <c r="F12" s="1039"/>
      <c r="G12" s="1811">
        <f t="shared" ref="G12:G18" si="0">SUM(E12:F12)</f>
        <v>317772</v>
      </c>
      <c r="H12" s="1040">
        <v>345850</v>
      </c>
      <c r="I12" s="1039"/>
      <c r="J12" s="1811">
        <f t="shared" ref="J12:J18" si="1">SUM(H12:I12)</f>
        <v>345850</v>
      </c>
    </row>
    <row r="13" spans="1:17" ht="15" customHeight="1" x14ac:dyDescent="0.2">
      <c r="A13" s="1035">
        <v>2</v>
      </c>
      <c r="B13" s="1036" t="s">
        <v>42</v>
      </c>
      <c r="C13" s="1037"/>
      <c r="D13" s="1038">
        <v>2330</v>
      </c>
      <c r="E13" s="1811">
        <f>'Expenditures 15-22'!K51</f>
        <v>220015</v>
      </c>
      <c r="F13" s="1039"/>
      <c r="G13" s="1811">
        <f t="shared" si="0"/>
        <v>220015</v>
      </c>
      <c r="H13" s="1040">
        <v>202363</v>
      </c>
      <c r="I13" s="1039"/>
      <c r="J13" s="1811">
        <f t="shared" si="1"/>
        <v>202363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115916</v>
      </c>
      <c r="F15" s="1811">
        <f>'Expenditures 15-22'!K122</f>
        <v>0</v>
      </c>
      <c r="G15" s="1811">
        <f t="shared" si="0"/>
        <v>115916</v>
      </c>
      <c r="H15" s="1040">
        <v>126500</v>
      </c>
      <c r="I15" s="1040"/>
      <c r="J15" s="1811">
        <f t="shared" si="1"/>
        <v>126500</v>
      </c>
    </row>
    <row r="16" spans="1:17" ht="15" customHeight="1" x14ac:dyDescent="0.2">
      <c r="A16" s="1035">
        <v>5</v>
      </c>
      <c r="B16" s="1036" t="s">
        <v>101</v>
      </c>
      <c r="C16" s="1037"/>
      <c r="D16" s="1038">
        <v>2570</v>
      </c>
      <c r="E16" s="1811">
        <f>'Expenditures 15-22'!K64</f>
        <v>1981</v>
      </c>
      <c r="F16" s="1039"/>
      <c r="G16" s="1811">
        <f t="shared" si="0"/>
        <v>1981</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655684</v>
      </c>
      <c r="F19" s="1813">
        <f t="shared" si="2"/>
        <v>0</v>
      </c>
      <c r="G19" s="1813">
        <f t="shared" si="2"/>
        <v>655684</v>
      </c>
      <c r="H19" s="1813">
        <f t="shared" si="2"/>
        <v>674713</v>
      </c>
      <c r="I19" s="1813">
        <f t="shared" si="2"/>
        <v>0</v>
      </c>
      <c r="J19" s="1813">
        <f t="shared" si="2"/>
        <v>674713</v>
      </c>
    </row>
    <row r="20" spans="1:10" ht="13.5" thickTop="1" x14ac:dyDescent="0.2">
      <c r="A20" s="1035">
        <v>9</v>
      </c>
      <c r="B20" s="2337" t="s">
        <v>1978</v>
      </c>
      <c r="C20" s="2337"/>
      <c r="D20" s="2338"/>
      <c r="E20" s="1046"/>
      <c r="F20" s="1046"/>
      <c r="G20" s="1046"/>
      <c r="H20" s="1046"/>
      <c r="I20" s="1046"/>
      <c r="J20" s="1814">
        <f>IF(AND(G19&gt;0,J19&gt;0),(((J19-G19)/G19)),"Enter Budget Data")</f>
        <v>2.9021601869193087E-2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1980</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FOREST RIDGE SD 142</v>
      </c>
    </row>
    <row r="65" spans="2:2" x14ac:dyDescent="0.2">
      <c r="B65" s="1070">
        <f>COVER!A13</f>
        <v>7016142002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8"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12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1984</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1985</v>
      </c>
      <c r="B4" s="2365"/>
      <c r="C4" s="2365"/>
      <c r="D4" s="2365"/>
      <c r="E4" s="2365"/>
      <c r="F4" s="2366"/>
      <c r="G4" s="1074"/>
      <c r="H4" s="1074"/>
    </row>
    <row r="5" spans="1:8" ht="14.25" customHeight="1" x14ac:dyDescent="0.2">
      <c r="A5" s="2367" t="s">
        <v>1981</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13868024</v>
      </c>
      <c r="C8" s="1815">
        <f>'Acct Summary 7-8'!D8</f>
        <v>977306</v>
      </c>
      <c r="D8" s="1815">
        <f>'Acct Summary 7-8'!F8</f>
        <v>694963</v>
      </c>
      <c r="E8" s="1815">
        <f>'Acct Summary 7-8'!I8</f>
        <v>130073</v>
      </c>
      <c r="F8" s="1815">
        <f>SUM(B8:E8)</f>
        <v>15670366</v>
      </c>
    </row>
    <row r="9" spans="1:8" s="1079" customFormat="1" ht="14.25" customHeight="1" thickBot="1" x14ac:dyDescent="0.25">
      <c r="A9" s="1078" t="s">
        <v>1369</v>
      </c>
      <c r="B9" s="1816">
        <f>'Acct Summary 7-8'!C17</f>
        <v>13262219</v>
      </c>
      <c r="C9" s="1816">
        <f>'Acct Summary 7-8'!D17</f>
        <v>976107</v>
      </c>
      <c r="D9" s="1816">
        <f>'Acct Summary 7-8'!F17</f>
        <v>789005</v>
      </c>
      <c r="E9" s="1815"/>
      <c r="F9" s="1815">
        <f>SUM(B9:E9)</f>
        <v>15027331</v>
      </c>
    </row>
    <row r="10" spans="1:8" s="1079" customFormat="1" ht="14.25" thickTop="1" thickBot="1" x14ac:dyDescent="0.25">
      <c r="A10" s="1080" t="s">
        <v>1370</v>
      </c>
      <c r="B10" s="1817">
        <f>(B8-B9)</f>
        <v>605805</v>
      </c>
      <c r="C10" s="1817">
        <f>(C8-C9)</f>
        <v>1199</v>
      </c>
      <c r="D10" s="1817">
        <f>(D8-D9)</f>
        <v>-94042</v>
      </c>
      <c r="E10" s="1816">
        <f>(E8-E9)</f>
        <v>130073</v>
      </c>
      <c r="F10" s="1818">
        <f>SUM(F8-F9)</f>
        <v>643035</v>
      </c>
    </row>
    <row r="11" spans="1:8" s="1079" customFormat="1" ht="14.25" thickTop="1" thickBot="1" x14ac:dyDescent="0.25">
      <c r="A11" s="1081" t="s">
        <v>1982</v>
      </c>
      <c r="B11" s="1819">
        <f>'Acct Summary 7-8'!C81</f>
        <v>5339938</v>
      </c>
      <c r="C11" s="1819">
        <f>'Acct Summary 7-8'!D81</f>
        <v>344806</v>
      </c>
      <c r="D11" s="1819">
        <f>'Acct Summary 7-8'!F81</f>
        <v>379576</v>
      </c>
      <c r="E11" s="1819">
        <f>'Acct Summary 7-8'!I81</f>
        <v>5292483</v>
      </c>
      <c r="F11" s="1820">
        <f>SUM(B11:E11)</f>
        <v>11356803</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C40" sqref="C4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7016142002</v>
      </c>
    </row>
    <row r="3" spans="1:2" x14ac:dyDescent="0.2">
      <c r="A3" t="s">
        <v>956</v>
      </c>
      <c r="B3" s="138" t="str">
        <f>COVER!A15</f>
        <v>COOK</v>
      </c>
    </row>
    <row r="4" spans="1:2" x14ac:dyDescent="0.2">
      <c r="A4" t="s">
        <v>1007</v>
      </c>
      <c r="B4" s="138" t="str">
        <f>COVER!A17</f>
        <v>FOREST RIDGE SD 142</v>
      </c>
    </row>
    <row r="5" spans="1:2" x14ac:dyDescent="0.2">
      <c r="A5" t="s">
        <v>704</v>
      </c>
      <c r="B5" s="138" t="str">
        <f>COVER!A38</f>
        <v>PAUL McDERMOTT</v>
      </c>
    </row>
    <row r="6" spans="1:2" x14ac:dyDescent="0.2">
      <c r="A6" t="s">
        <v>709</v>
      </c>
      <c r="B6" s="138">
        <f>COVER!P35</f>
        <v>0</v>
      </c>
    </row>
    <row r="7" spans="1:2" x14ac:dyDescent="0.2">
      <c r="A7" t="s">
        <v>705</v>
      </c>
      <c r="B7" s="138" t="str">
        <f>COVER!I38</f>
        <v>BREMEN TOWNSHIP TREASURER'S OFFICE - JOSEPH McDONNELL</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GASSENSMITH</v>
      </c>
    </row>
    <row r="18" spans="1:2" x14ac:dyDescent="0.2">
      <c r="A18" t="s">
        <v>1150</v>
      </c>
      <c r="B18" s="138" t="str">
        <f>COVER!T17</f>
        <v>323 SPRINGFIELD</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5339938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5339938</v>
      </c>
      <c r="D92" s="2" t="str">
        <f t="shared" si="0"/>
        <v>Error?</v>
      </c>
    </row>
    <row r="93" spans="1:4" x14ac:dyDescent="0.2">
      <c r="A93" s="5">
        <v>32</v>
      </c>
      <c r="B93" s="138">
        <f>'Assets-Liab 5-6'!C41</f>
        <v>5339938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344806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344806</v>
      </c>
      <c r="D123" s="2" t="str">
        <f t="shared" si="0"/>
        <v>Error?</v>
      </c>
    </row>
    <row r="124" spans="1:4" x14ac:dyDescent="0.2">
      <c r="A124" s="5">
        <v>63</v>
      </c>
      <c r="B124" s="138">
        <f>'Assets-Liab 5-6'!D41</f>
        <v>344806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1529679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1529679</v>
      </c>
      <c r="D140" s="2" t="str">
        <f t="shared" si="1"/>
        <v>Error?</v>
      </c>
    </row>
    <row r="141" spans="1:4" x14ac:dyDescent="0.2">
      <c r="A141" s="5">
        <v>80</v>
      </c>
      <c r="B141" s="138">
        <f>'Assets-Liab 5-6'!E41</f>
        <v>1529679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379576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379576</v>
      </c>
      <c r="D170" s="2" t="str">
        <f t="shared" si="1"/>
        <v>Error?</v>
      </c>
    </row>
    <row r="171" spans="1:4" x14ac:dyDescent="0.2">
      <c r="A171" s="5">
        <v>110</v>
      </c>
      <c r="B171" s="138">
        <f>'Assets-Liab 5-6'!F41</f>
        <v>379576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738382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738382</v>
      </c>
      <c r="D189" s="2" t="str">
        <f t="shared" si="1"/>
        <v>Error?</v>
      </c>
    </row>
    <row r="190" spans="1:4" x14ac:dyDescent="0.2">
      <c r="A190" s="5">
        <v>129</v>
      </c>
      <c r="B190" s="138">
        <f>'Assets-Liab 5-6'!G41</f>
        <v>738382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772028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772028</v>
      </c>
      <c r="D212" s="2" t="str">
        <f t="shared" si="2"/>
        <v>Error?</v>
      </c>
    </row>
    <row r="213" spans="1:4" x14ac:dyDescent="0.2">
      <c r="A213" s="12">
        <v>152</v>
      </c>
      <c r="B213" s="138">
        <f>'Assets-Liab 5-6'!H41</f>
        <v>772028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122641</v>
      </c>
      <c r="D273" s="2" t="str">
        <f t="shared" si="3"/>
        <v>Error?</v>
      </c>
    </row>
    <row r="274" spans="1:4" x14ac:dyDescent="0.2">
      <c r="A274" s="5">
        <v>213</v>
      </c>
      <c r="B274" s="138">
        <f>'Assets-Liab 5-6'!M17</f>
        <v>27992246</v>
      </c>
      <c r="D274" s="2" t="str">
        <f t="shared" si="3"/>
        <v>Error?</v>
      </c>
    </row>
    <row r="275" spans="1:4" x14ac:dyDescent="0.2">
      <c r="A275" s="5">
        <v>214</v>
      </c>
      <c r="B275" s="138">
        <f>'Assets-Liab 5-6'!M18</f>
        <v>594124</v>
      </c>
      <c r="D275" s="2" t="str">
        <f t="shared" si="3"/>
        <v>Error?</v>
      </c>
    </row>
    <row r="276" spans="1:4" x14ac:dyDescent="0.2">
      <c r="A276" s="5">
        <v>215</v>
      </c>
      <c r="B276" s="138">
        <f>'Assets-Liab 5-6'!M19</f>
        <v>2372283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31081294</v>
      </c>
      <c r="C279" s="2" t="s">
        <v>573</v>
      </c>
      <c r="D279" s="2" t="str">
        <f t="shared" si="3"/>
        <v>Error?</v>
      </c>
    </row>
    <row r="280" spans="1:4" x14ac:dyDescent="0.2">
      <c r="A280" s="5">
        <v>219</v>
      </c>
      <c r="B280" s="138">
        <f>'Assets-Liab 5-6'!M40</f>
        <v>31081294</v>
      </c>
      <c r="D280" s="2" t="str">
        <f t="shared" si="3"/>
        <v>Error?</v>
      </c>
    </row>
    <row r="281" spans="1:4" x14ac:dyDescent="0.2">
      <c r="A281" s="5">
        <v>220</v>
      </c>
      <c r="B281" s="138">
        <f>'Assets-Liab 5-6'!M41</f>
        <v>31081294</v>
      </c>
      <c r="C281" s="2" t="s">
        <v>573</v>
      </c>
      <c r="D281" s="2" t="str">
        <f t="shared" si="3"/>
        <v>Error?</v>
      </c>
    </row>
    <row r="282" spans="1:4" x14ac:dyDescent="0.2">
      <c r="A282" s="5">
        <v>221</v>
      </c>
      <c r="B282" s="138">
        <f>'Assets-Liab 5-6'!N21</f>
        <v>1529679</v>
      </c>
      <c r="D282" s="2" t="str">
        <f t="shared" si="3"/>
        <v>Error?</v>
      </c>
    </row>
    <row r="283" spans="1:4" x14ac:dyDescent="0.2">
      <c r="A283" s="5">
        <v>222</v>
      </c>
      <c r="B283" s="138">
        <f>'Assets-Liab 5-6'!N22</f>
        <v>3977444</v>
      </c>
      <c r="D283" s="2" t="str">
        <f t="shared" si="3"/>
        <v>Error?</v>
      </c>
    </row>
    <row r="284" spans="1:4" x14ac:dyDescent="0.2">
      <c r="A284" s="5">
        <v>223</v>
      </c>
      <c r="B284" s="138">
        <f>'Assets-Liab 5-6'!N23</f>
        <v>5507123</v>
      </c>
      <c r="C284" s="2" t="s">
        <v>573</v>
      </c>
      <c r="D284" s="2" t="str">
        <f t="shared" si="3"/>
        <v>Error?</v>
      </c>
    </row>
    <row r="285" spans="1:4" x14ac:dyDescent="0.2">
      <c r="A285" s="5">
        <v>224</v>
      </c>
      <c r="B285" s="138">
        <f>'Assets-Liab 5-6'!N36</f>
        <v>5507123</v>
      </c>
      <c r="D285" s="2" t="str">
        <f t="shared" si="3"/>
        <v>Error?</v>
      </c>
    </row>
    <row r="286" spans="1:4" x14ac:dyDescent="0.2">
      <c r="A286" s="10">
        <v>225</v>
      </c>
      <c r="D286" s="2" t="str">
        <f t="shared" si="3"/>
        <v>OK</v>
      </c>
    </row>
    <row r="287" spans="1:4" x14ac:dyDescent="0.2">
      <c r="A287" s="5">
        <v>226</v>
      </c>
      <c r="B287" s="138">
        <f>'Assets-Liab 5-6'!N37</f>
        <v>5507123</v>
      </c>
      <c r="C287" s="2" t="s">
        <v>573</v>
      </c>
      <c r="D287" s="2" t="str">
        <f t="shared" si="3"/>
        <v>Error?</v>
      </c>
    </row>
    <row r="288" spans="1:4" x14ac:dyDescent="0.2">
      <c r="A288" s="5">
        <v>227</v>
      </c>
      <c r="B288" s="138">
        <f>'Assets-Liab 5-6'!N41</f>
        <v>5507123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4216263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117686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37914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5553966</v>
      </c>
      <c r="C720" s="2" t="s">
        <v>573</v>
      </c>
      <c r="D720" s="2" t="str">
        <f t="shared" si="10"/>
        <v>Error?</v>
      </c>
    </row>
    <row r="721" spans="1:4" x14ac:dyDescent="0.2">
      <c r="A721" s="5">
        <v>660</v>
      </c>
      <c r="B721" s="138">
        <f>'Expenditures 15-22'!C36</f>
        <v>186859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165422</v>
      </c>
      <c r="D723" s="2" t="str">
        <f t="shared" si="10"/>
        <v>Error?</v>
      </c>
    </row>
    <row r="724" spans="1:4" x14ac:dyDescent="0.2">
      <c r="A724" s="5">
        <v>663</v>
      </c>
      <c r="B724" s="138">
        <f>'Expenditures 15-22'!C39</f>
        <v>160647</v>
      </c>
      <c r="D724" s="2" t="str">
        <f t="shared" si="10"/>
        <v>Error?</v>
      </c>
    </row>
    <row r="725" spans="1:4" x14ac:dyDescent="0.2">
      <c r="A725" s="5">
        <v>664</v>
      </c>
      <c r="B725" s="138">
        <f>'Expenditures 15-22'!C40</f>
        <v>215295</v>
      </c>
      <c r="D725" s="2" t="str">
        <f t="shared" si="10"/>
        <v>Error?</v>
      </c>
    </row>
    <row r="726" spans="1:4" x14ac:dyDescent="0.2">
      <c r="A726" s="5">
        <v>665</v>
      </c>
      <c r="B726" s="138">
        <f>'Expenditures 15-22'!C41</f>
        <v>112851</v>
      </c>
      <c r="D726" s="2" t="str">
        <f t="shared" si="10"/>
        <v>Error?</v>
      </c>
    </row>
    <row r="727" spans="1:4" x14ac:dyDescent="0.2">
      <c r="A727" s="5">
        <v>666</v>
      </c>
      <c r="B727" s="138">
        <f>'Expenditures 15-22'!C42</f>
        <v>841074</v>
      </c>
      <c r="C727" s="2" t="s">
        <v>573</v>
      </c>
      <c r="D727" s="2" t="str">
        <f t="shared" si="10"/>
        <v>Error?</v>
      </c>
    </row>
    <row r="728" spans="1:4" x14ac:dyDescent="0.2">
      <c r="A728" s="5">
        <v>667</v>
      </c>
      <c r="B728" s="138">
        <f>'Expenditures 15-22'!C44</f>
        <v>37677</v>
      </c>
      <c r="D728" s="2" t="str">
        <f t="shared" si="10"/>
        <v>Error?</v>
      </c>
    </row>
    <row r="729" spans="1:4" x14ac:dyDescent="0.2">
      <c r="A729" s="5">
        <v>668</v>
      </c>
      <c r="B729" s="138">
        <f>'Expenditures 15-22'!C45</f>
        <v>149112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186789</v>
      </c>
      <c r="C731" s="2" t="s">
        <v>573</v>
      </c>
      <c r="D731" s="2" t="str">
        <f t="shared" si="10"/>
        <v>Error?</v>
      </c>
    </row>
    <row r="732" spans="1:4" x14ac:dyDescent="0.2">
      <c r="A732" s="5">
        <v>671</v>
      </c>
      <c r="B732" s="138">
        <f>'Expenditures 15-22'!C49</f>
        <v>51122</v>
      </c>
      <c r="D732" s="2" t="str">
        <f t="shared" si="10"/>
        <v>Error?</v>
      </c>
    </row>
    <row r="733" spans="1:4" x14ac:dyDescent="0.2">
      <c r="A733" s="5">
        <v>672</v>
      </c>
      <c r="B733" s="138">
        <f>'Expenditures 15-22'!C50</f>
        <v>250995</v>
      </c>
      <c r="D733" s="2" t="str">
        <f t="shared" si="10"/>
        <v>Error?</v>
      </c>
    </row>
    <row r="734" spans="1:4" x14ac:dyDescent="0.2">
      <c r="A734" s="5">
        <v>673</v>
      </c>
      <c r="B734" s="138">
        <f>'Expenditures 15-22'!C53</f>
        <v>472729</v>
      </c>
      <c r="C734" s="2" t="s">
        <v>573</v>
      </c>
      <c r="D734" s="2" t="str">
        <f t="shared" si="10"/>
        <v>Error?</v>
      </c>
    </row>
    <row r="735" spans="1:4" x14ac:dyDescent="0.2">
      <c r="A735" s="5">
        <v>674</v>
      </c>
      <c r="B735" s="138">
        <f>'Expenditures 15-22'!C55</f>
        <v>612804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612804</v>
      </c>
      <c r="C737" s="2" t="s">
        <v>573</v>
      </c>
      <c r="D737" s="2" t="str">
        <f t="shared" si="10"/>
        <v>Error?</v>
      </c>
    </row>
    <row r="738" spans="1:4" x14ac:dyDescent="0.2">
      <c r="A738" s="5">
        <v>677</v>
      </c>
      <c r="B738" s="138">
        <f>'Expenditures 15-22'!C59</f>
        <v>90000</v>
      </c>
      <c r="D738" s="2" t="str">
        <f t="shared" si="10"/>
        <v>Error?</v>
      </c>
    </row>
    <row r="739" spans="1:4" x14ac:dyDescent="0.2">
      <c r="A739" s="5">
        <v>678</v>
      </c>
      <c r="B739" s="138">
        <f>'Expenditures 15-22'!C60</f>
        <v>69918</v>
      </c>
      <c r="D739" s="2" t="str">
        <f t="shared" si="10"/>
        <v>Error?</v>
      </c>
    </row>
    <row r="740" spans="1:4" x14ac:dyDescent="0.2">
      <c r="A740" s="5">
        <v>679</v>
      </c>
      <c r="B740" s="138">
        <f>'Expenditures 15-22'!C61</f>
        <v>246105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422273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104485</v>
      </c>
      <c r="D751" s="2" t="str">
        <f t="shared" si="10"/>
        <v>Error?</v>
      </c>
    </row>
    <row r="752" spans="1:4" x14ac:dyDescent="0.2">
      <c r="A752" s="10">
        <v>691</v>
      </c>
      <c r="D752" s="2" t="str">
        <f t="shared" si="10"/>
        <v>OK</v>
      </c>
    </row>
    <row r="753" spans="1:4" x14ac:dyDescent="0.2">
      <c r="A753" s="5">
        <v>692</v>
      </c>
      <c r="B753" s="138">
        <f>'Expenditures 15-22'!C72</f>
        <v>104485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2640154</v>
      </c>
      <c r="C755" s="2" t="s">
        <v>573</v>
      </c>
      <c r="D755" s="2" t="str">
        <f t="shared" si="10"/>
        <v>Error?</v>
      </c>
    </row>
    <row r="756" spans="1:4" x14ac:dyDescent="0.2">
      <c r="A756" s="5">
        <v>695</v>
      </c>
      <c r="B756" s="138">
        <f>'Expenditures 15-22'!C75</f>
        <v>116901</v>
      </c>
      <c r="D756" s="2" t="str">
        <f t="shared" si="10"/>
        <v>Error?</v>
      </c>
    </row>
    <row r="757" spans="1:4" x14ac:dyDescent="0.2">
      <c r="A757" s="5">
        <v>696</v>
      </c>
      <c r="B757" s="138">
        <f>'Expenditures 15-22'!C114</f>
        <v>8311021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742043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12071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995497</v>
      </c>
      <c r="C778" s="2" t="s">
        <v>573</v>
      </c>
      <c r="D778" s="2" t="str">
        <f t="shared" si="11"/>
        <v>Error?</v>
      </c>
    </row>
    <row r="779" spans="1:4" x14ac:dyDescent="0.2">
      <c r="A779" s="5">
        <v>718</v>
      </c>
      <c r="B779" s="138">
        <f>'Expenditures 15-22'!D36</f>
        <v>28505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29767</v>
      </c>
      <c r="D781" s="2" t="str">
        <f t="shared" si="11"/>
        <v>Error?</v>
      </c>
    </row>
    <row r="782" spans="1:4" x14ac:dyDescent="0.2">
      <c r="A782" s="5">
        <v>721</v>
      </c>
      <c r="B782" s="138">
        <f>'Expenditures 15-22'!D39</f>
        <v>34460</v>
      </c>
      <c r="D782" s="2" t="str">
        <f t="shared" si="11"/>
        <v>Error?</v>
      </c>
    </row>
    <row r="783" spans="1:4" x14ac:dyDescent="0.2">
      <c r="A783" s="5">
        <v>722</v>
      </c>
      <c r="B783" s="138">
        <f>'Expenditures 15-22'!D40</f>
        <v>5320</v>
      </c>
      <c r="D783" s="2" t="str">
        <f t="shared" si="11"/>
        <v>Error?</v>
      </c>
    </row>
    <row r="784" spans="1:4" x14ac:dyDescent="0.2">
      <c r="A784" s="5">
        <v>723</v>
      </c>
      <c r="B784" s="138">
        <f>'Expenditures 15-22'!D41</f>
        <v>1829</v>
      </c>
      <c r="D784" s="2" t="str">
        <f t="shared" si="11"/>
        <v>Error?</v>
      </c>
    </row>
    <row r="785" spans="1:4" x14ac:dyDescent="0.2">
      <c r="A785" s="5">
        <v>724</v>
      </c>
      <c r="B785" s="138">
        <f>'Expenditures 15-22'!D42</f>
        <v>99881</v>
      </c>
      <c r="C785" s="2" t="s">
        <v>573</v>
      </c>
      <c r="D785" s="2" t="str">
        <f t="shared" si="11"/>
        <v>Error?</v>
      </c>
    </row>
    <row r="786" spans="1:4" x14ac:dyDescent="0.2">
      <c r="A786" s="5">
        <v>725</v>
      </c>
      <c r="B786" s="138">
        <f>'Expenditures 15-22'!D44</f>
        <v>583</v>
      </c>
      <c r="D786" s="2" t="str">
        <f t="shared" si="11"/>
        <v>Error?</v>
      </c>
    </row>
    <row r="787" spans="1:4" x14ac:dyDescent="0.2">
      <c r="A787" s="5">
        <v>726</v>
      </c>
      <c r="B787" s="138">
        <f>'Expenditures 15-22'!D45</f>
        <v>40539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41122</v>
      </c>
      <c r="C789" s="2" t="s">
        <v>573</v>
      </c>
      <c r="D789" s="2" t="str">
        <f t="shared" si="11"/>
        <v>Error?</v>
      </c>
    </row>
    <row r="790" spans="1:4" x14ac:dyDescent="0.2">
      <c r="A790" s="5">
        <v>729</v>
      </c>
      <c r="B790" s="138">
        <f>'Expenditures 15-22'!D49</f>
        <v>16774</v>
      </c>
      <c r="D790" s="2" t="str">
        <f t="shared" si="11"/>
        <v>Error?</v>
      </c>
    </row>
    <row r="791" spans="1:4" x14ac:dyDescent="0.2">
      <c r="A791" s="5">
        <v>730</v>
      </c>
      <c r="B791" s="138">
        <f>'Expenditures 15-22'!D50</f>
        <v>55017</v>
      </c>
      <c r="D791" s="2" t="str">
        <f t="shared" si="11"/>
        <v>Error?</v>
      </c>
    </row>
    <row r="792" spans="1:4" x14ac:dyDescent="0.2">
      <c r="A792" s="5">
        <v>731</v>
      </c>
      <c r="B792" s="138">
        <f>'Expenditures 15-22'!D53</f>
        <v>114755</v>
      </c>
      <c r="C792" s="2" t="s">
        <v>573</v>
      </c>
      <c r="D792" s="2" t="str">
        <f t="shared" si="11"/>
        <v>Error?</v>
      </c>
    </row>
    <row r="793" spans="1:4" x14ac:dyDescent="0.2">
      <c r="A793" s="5">
        <v>732</v>
      </c>
      <c r="B793" s="138">
        <f>'Expenditures 15-22'!D55</f>
        <v>200560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200560</v>
      </c>
      <c r="C795" s="2" t="s">
        <v>573</v>
      </c>
      <c r="D795" s="2" t="str">
        <f t="shared" si="11"/>
        <v>Error?</v>
      </c>
    </row>
    <row r="796" spans="1:4" x14ac:dyDescent="0.2">
      <c r="A796" s="5">
        <v>735</v>
      </c>
      <c r="B796" s="138">
        <f>'Expenditures 15-22'!D59</f>
        <v>25607</v>
      </c>
      <c r="D796" s="2" t="str">
        <f t="shared" si="11"/>
        <v>Error?</v>
      </c>
    </row>
    <row r="797" spans="1:4" x14ac:dyDescent="0.2">
      <c r="A797" s="5">
        <v>736</v>
      </c>
      <c r="B797" s="138">
        <f>'Expenditures 15-22'!D60</f>
        <v>7499</v>
      </c>
      <c r="D797" s="2" t="str">
        <f t="shared" si="11"/>
        <v>Error?</v>
      </c>
    </row>
    <row r="798" spans="1:4" x14ac:dyDescent="0.2">
      <c r="A798" s="5">
        <v>737</v>
      </c>
      <c r="B798" s="138">
        <f>'Expenditures 15-22'!D61</f>
        <v>38485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72104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22927</v>
      </c>
      <c r="D809" s="2" t="str">
        <f t="shared" si="11"/>
        <v>Error?</v>
      </c>
    </row>
    <row r="810" spans="1:4" x14ac:dyDescent="0.2">
      <c r="A810" s="10">
        <v>749</v>
      </c>
      <c r="D810" s="2" t="str">
        <f t="shared" si="11"/>
        <v>OK</v>
      </c>
    </row>
    <row r="811" spans="1:4" x14ac:dyDescent="0.2">
      <c r="A811" s="5">
        <v>750</v>
      </c>
      <c r="B811" s="138">
        <f>'Expenditures 15-22'!D72</f>
        <v>22927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551349</v>
      </c>
      <c r="C813" s="2" t="s">
        <v>573</v>
      </c>
      <c r="D813" s="2" t="str">
        <f t="shared" si="11"/>
        <v>Error?</v>
      </c>
    </row>
    <row r="814" spans="1:4" x14ac:dyDescent="0.2">
      <c r="A814" s="5">
        <v>753</v>
      </c>
      <c r="B814" s="138">
        <f>'Expenditures 15-22'!D75</f>
        <v>14824</v>
      </c>
      <c r="D814" s="2" t="str">
        <f t="shared" si="11"/>
        <v>Error?</v>
      </c>
    </row>
    <row r="815" spans="1:4" x14ac:dyDescent="0.2">
      <c r="A815" s="5">
        <v>754</v>
      </c>
      <c r="B815" s="138">
        <f>'Expenditures 15-22'!D114</f>
        <v>1561670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127161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163253</v>
      </c>
      <c r="C836" s="2" t="s">
        <v>573</v>
      </c>
      <c r="D836" s="2" t="str">
        <f t="shared" si="12"/>
        <v>Error?</v>
      </c>
    </row>
    <row r="837" spans="1:4" x14ac:dyDescent="0.2">
      <c r="A837" s="5">
        <v>776</v>
      </c>
      <c r="B837" s="138">
        <f>'Expenditures 15-22'!E36</f>
        <v>21210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1499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32309</v>
      </c>
      <c r="D842" s="2" t="str">
        <f t="shared" si="12"/>
        <v>Error?</v>
      </c>
    </row>
    <row r="843" spans="1:4" x14ac:dyDescent="0.2">
      <c r="A843" s="5">
        <v>782</v>
      </c>
      <c r="B843" s="138">
        <f>'Expenditures 15-22'!E42</f>
        <v>55018</v>
      </c>
      <c r="C843" s="2" t="s">
        <v>573</v>
      </c>
      <c r="D843" s="2" t="str">
        <f t="shared" si="12"/>
        <v>Error?</v>
      </c>
    </row>
    <row r="844" spans="1:4" x14ac:dyDescent="0.2">
      <c r="A844" s="5">
        <v>783</v>
      </c>
      <c r="B844" s="138">
        <f>'Expenditures 15-22'!E44</f>
        <v>70849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70849</v>
      </c>
      <c r="C847" s="2" t="s">
        <v>573</v>
      </c>
      <c r="D847" s="2" t="str">
        <f t="shared" si="12"/>
        <v>Error?</v>
      </c>
    </row>
    <row r="848" spans="1:4" x14ac:dyDescent="0.2">
      <c r="A848" s="5">
        <v>787</v>
      </c>
      <c r="B848" s="138">
        <f>'Expenditures 15-22'!E49</f>
        <v>118650</v>
      </c>
      <c r="D848" s="2" t="str">
        <f t="shared" si="12"/>
        <v>Error?</v>
      </c>
    </row>
    <row r="849" spans="1:4" x14ac:dyDescent="0.2">
      <c r="A849" s="5">
        <v>788</v>
      </c>
      <c r="B849" s="138">
        <f>'Expenditures 15-22'!E50</f>
        <v>7926</v>
      </c>
      <c r="D849" s="2" t="str">
        <f t="shared" si="12"/>
        <v>Error?</v>
      </c>
    </row>
    <row r="850" spans="1:4" x14ac:dyDescent="0.2">
      <c r="A850" s="5">
        <v>789</v>
      </c>
      <c r="B850" s="138">
        <f>'Expenditures 15-22'!E53</f>
        <v>126576</v>
      </c>
      <c r="C850" s="2" t="s">
        <v>573</v>
      </c>
      <c r="D850" s="2" t="str">
        <f t="shared" si="12"/>
        <v>Error?</v>
      </c>
    </row>
    <row r="851" spans="1:4" x14ac:dyDescent="0.2">
      <c r="A851" s="5">
        <v>790</v>
      </c>
      <c r="B851" s="138">
        <f>'Expenditures 15-22'!E55</f>
        <v>6714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6714</v>
      </c>
      <c r="C853" s="2" t="s">
        <v>573</v>
      </c>
      <c r="D853" s="2" t="str">
        <f t="shared" si="12"/>
        <v>Error?</v>
      </c>
    </row>
    <row r="854" spans="1:4" x14ac:dyDescent="0.2">
      <c r="A854" s="5">
        <v>793</v>
      </c>
      <c r="B854" s="138">
        <f>'Expenditures 15-22'!E59</f>
        <v>109</v>
      </c>
      <c r="D854" s="2" t="str">
        <f t="shared" si="12"/>
        <v>Error?</v>
      </c>
    </row>
    <row r="855" spans="1:4" x14ac:dyDescent="0.2">
      <c r="A855" s="5">
        <v>794</v>
      </c>
      <c r="B855" s="138">
        <f>'Expenditures 15-22'!E60</f>
        <v>23542</v>
      </c>
      <c r="D855" s="2" t="str">
        <f t="shared" si="12"/>
        <v>Error?</v>
      </c>
    </row>
    <row r="856" spans="1:4" x14ac:dyDescent="0.2">
      <c r="A856" s="5">
        <v>795</v>
      </c>
      <c r="B856" s="138">
        <f>'Expenditures 15-22'!E61</f>
        <v>19337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335430</v>
      </c>
      <c r="D858" s="2" t="str">
        <f t="shared" si="12"/>
        <v>Error?</v>
      </c>
    </row>
    <row r="859" spans="1:4" x14ac:dyDescent="0.2">
      <c r="A859" s="5">
        <v>798</v>
      </c>
      <c r="B859" s="138">
        <f>'Expenditures 15-22'!E64</f>
        <v>1981</v>
      </c>
      <c r="D859" s="2" t="str">
        <f t="shared" si="12"/>
        <v>Error?</v>
      </c>
    </row>
    <row r="860" spans="1:4" x14ac:dyDescent="0.2">
      <c r="A860" s="10">
        <v>799</v>
      </c>
      <c r="D860" s="2" t="str">
        <f t="shared" si="12"/>
        <v>OK</v>
      </c>
    </row>
    <row r="861" spans="1:4" x14ac:dyDescent="0.2">
      <c r="A861" s="5">
        <v>800</v>
      </c>
      <c r="B861" s="138">
        <f>'Expenditures 15-22'!E65</f>
        <v>380399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698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298919</v>
      </c>
      <c r="D867" s="2" t="str">
        <f t="shared" si="12"/>
        <v>Error?</v>
      </c>
    </row>
    <row r="868" spans="1:4" x14ac:dyDescent="0.2">
      <c r="A868" s="10">
        <v>807</v>
      </c>
      <c r="D868" s="2" t="str">
        <f t="shared" si="12"/>
        <v>OK</v>
      </c>
    </row>
    <row r="869" spans="1:4" x14ac:dyDescent="0.2">
      <c r="A869" s="5">
        <v>808</v>
      </c>
      <c r="B869" s="138">
        <f>'Expenditures 15-22'!E72</f>
        <v>299617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939173</v>
      </c>
      <c r="C871" s="2" t="s">
        <v>573</v>
      </c>
      <c r="D871" s="2" t="str">
        <f t="shared" si="12"/>
        <v>Error?</v>
      </c>
    </row>
    <row r="872" spans="1:4" x14ac:dyDescent="0.2">
      <c r="A872" s="5">
        <v>811</v>
      </c>
      <c r="B872" s="138">
        <f>'Expenditures 15-22'!E75</f>
        <v>11100</v>
      </c>
      <c r="D872" s="2" t="str">
        <f t="shared" si="12"/>
        <v>Error?</v>
      </c>
    </row>
    <row r="873" spans="1:4" x14ac:dyDescent="0.2">
      <c r="A873" s="5">
        <v>812</v>
      </c>
      <c r="B873" s="138">
        <f>'Expenditures 15-22'!E114</f>
        <v>1121500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550773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4510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778022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3851</v>
      </c>
      <c r="D897" s="2" t="str">
        <f t="shared" si="13"/>
        <v>Error?</v>
      </c>
    </row>
    <row r="898" spans="1:4" x14ac:dyDescent="0.2">
      <c r="A898" s="5">
        <v>837</v>
      </c>
      <c r="B898" s="138">
        <f>'Expenditures 15-22'!F39</f>
        <v>3077</v>
      </c>
      <c r="D898" s="2" t="str">
        <f t="shared" si="13"/>
        <v>Error?</v>
      </c>
    </row>
    <row r="899" spans="1:4" x14ac:dyDescent="0.2">
      <c r="A899" s="5">
        <v>838</v>
      </c>
      <c r="B899" s="138">
        <f>'Expenditures 15-22'!F40</f>
        <v>1210</v>
      </c>
      <c r="D899" s="2" t="str">
        <f t="shared" si="13"/>
        <v>Error?</v>
      </c>
    </row>
    <row r="900" spans="1:4" x14ac:dyDescent="0.2">
      <c r="A900" s="5">
        <v>839</v>
      </c>
      <c r="B900" s="138">
        <f>'Expenditures 15-22'!F41</f>
        <v>2595</v>
      </c>
      <c r="D900" s="2" t="str">
        <f t="shared" si="13"/>
        <v>Error?</v>
      </c>
    </row>
    <row r="901" spans="1:4" x14ac:dyDescent="0.2">
      <c r="A901" s="5">
        <v>840</v>
      </c>
      <c r="B901" s="138">
        <f>'Expenditures 15-22'!F42</f>
        <v>10733</v>
      </c>
      <c r="C901" s="2" t="s">
        <v>573</v>
      </c>
      <c r="D901" s="2" t="str">
        <f t="shared" si="13"/>
        <v>Error?</v>
      </c>
    </row>
    <row r="902" spans="1:4" x14ac:dyDescent="0.2">
      <c r="A902" s="5">
        <v>841</v>
      </c>
      <c r="B902" s="138">
        <f>'Expenditures 15-22'!F44</f>
        <v>7021</v>
      </c>
      <c r="D902" s="2" t="str">
        <f t="shared" si="13"/>
        <v>Error?</v>
      </c>
    </row>
    <row r="903" spans="1:4" x14ac:dyDescent="0.2">
      <c r="A903" s="5">
        <v>842</v>
      </c>
      <c r="B903" s="138">
        <f>'Expenditures 15-22'!F45</f>
        <v>5060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12081</v>
      </c>
      <c r="C905" s="2" t="s">
        <v>573</v>
      </c>
      <c r="D905" s="2" t="str">
        <f t="shared" si="13"/>
        <v>Error?</v>
      </c>
    </row>
    <row r="906" spans="1:4" x14ac:dyDescent="0.2">
      <c r="A906" s="5">
        <v>845</v>
      </c>
      <c r="B906" s="138">
        <f>'Expenditures 15-22'!F49</f>
        <v>5589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7175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4454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28407</v>
      </c>
      <c r="D925" s="2" t="str">
        <f t="shared" si="13"/>
        <v>Error?</v>
      </c>
    </row>
    <row r="926" spans="1:4" x14ac:dyDescent="0.2">
      <c r="A926" s="10">
        <v>865</v>
      </c>
      <c r="D926" s="2" t="str">
        <f t="shared" si="13"/>
        <v>OK</v>
      </c>
    </row>
    <row r="927" spans="1:4" x14ac:dyDescent="0.2">
      <c r="A927" s="5">
        <v>866</v>
      </c>
      <c r="B927" s="138">
        <f>'Expenditures 15-22'!F72</f>
        <v>28407</v>
      </c>
      <c r="C927" s="2" t="s">
        <v>573</v>
      </c>
      <c r="D927" s="2" t="str">
        <f t="shared" si="13"/>
        <v>Error?</v>
      </c>
    </row>
    <row r="928" spans="1:4" x14ac:dyDescent="0.2">
      <c r="A928" s="5">
        <v>867</v>
      </c>
      <c r="B928" s="138">
        <f>'Expenditures 15-22'!F73</f>
        <v>195</v>
      </c>
      <c r="D928" s="2" t="str">
        <f t="shared" si="13"/>
        <v>Error?</v>
      </c>
    </row>
    <row r="929" spans="1:4" x14ac:dyDescent="0.2">
      <c r="A929" s="5">
        <v>868</v>
      </c>
      <c r="B929" s="138">
        <f>'Expenditures 15-22'!F74</f>
        <v>63045</v>
      </c>
      <c r="C929" s="2" t="s">
        <v>573</v>
      </c>
      <c r="D929" s="2" t="str">
        <f t="shared" si="13"/>
        <v>Error?</v>
      </c>
    </row>
    <row r="930" spans="1:4" x14ac:dyDescent="0.2">
      <c r="A930" s="5">
        <v>869</v>
      </c>
      <c r="B930" s="138">
        <f>'Expenditures 15-22'!F75</f>
        <v>75166</v>
      </c>
      <c r="D930" s="2" t="str">
        <f t="shared" si="13"/>
        <v>Error?</v>
      </c>
    </row>
    <row r="931" spans="1:4" x14ac:dyDescent="0.2">
      <c r="A931" s="5">
        <v>870</v>
      </c>
      <c r="B931" s="138">
        <f>'Expenditures 15-22'!F114</f>
        <v>916233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7312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7312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7312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7312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5682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600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6290</v>
      </c>
      <c r="D1022" s="2" t="str">
        <f t="shared" si="14"/>
        <v>Error?</v>
      </c>
    </row>
    <row r="1023" spans="1:4" x14ac:dyDescent="0.2">
      <c r="A1023" s="5">
        <v>962</v>
      </c>
      <c r="B1023" s="138">
        <f>'Expenditures 15-22'!H50</f>
        <v>3834</v>
      </c>
      <c r="D1023" s="2" t="str">
        <f t="shared" ref="D1023:D1086" si="15">IF(ISBLANK(B1023),"OK",IF(A1023-B1023=0,"OK","Error?"))</f>
        <v>Error?</v>
      </c>
    </row>
    <row r="1024" spans="1:4" x14ac:dyDescent="0.2">
      <c r="A1024" s="5">
        <v>963</v>
      </c>
      <c r="B1024" s="138">
        <f>'Expenditures 15-22'!H53</f>
        <v>10633</v>
      </c>
      <c r="C1024" s="2" t="s">
        <v>573</v>
      </c>
      <c r="D1024" s="2" t="str">
        <f t="shared" si="15"/>
        <v>Error?</v>
      </c>
    </row>
    <row r="1025" spans="1:4" x14ac:dyDescent="0.2">
      <c r="A1025" s="5">
        <v>964</v>
      </c>
      <c r="B1025" s="138">
        <f>'Expenditures 15-22'!H55</f>
        <v>3367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3367</v>
      </c>
      <c r="C1027" s="2" t="s">
        <v>573</v>
      </c>
      <c r="D1027" s="2" t="str">
        <f t="shared" si="15"/>
        <v>Error?</v>
      </c>
    </row>
    <row r="1028" spans="1:4" x14ac:dyDescent="0.2">
      <c r="A1028" s="5">
        <v>967</v>
      </c>
      <c r="B1028" s="138">
        <f>'Expenditures 15-22'!H59</f>
        <v>200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14800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1178214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1198696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5636720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136468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43684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7499676</v>
      </c>
      <c r="C1108" s="2" t="s">
        <v>573</v>
      </c>
      <c r="D1108" s="2" t="str">
        <f t="shared" si="16"/>
        <v>Error?</v>
      </c>
    </row>
    <row r="1109" spans="1:4" x14ac:dyDescent="0.2">
      <c r="A1109" s="5">
        <v>1048</v>
      </c>
      <c r="B1109" s="138">
        <f>'Expenditures 15-22'!K36</f>
        <v>236574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200539</v>
      </c>
      <c r="C1111" s="2" t="s">
        <v>573</v>
      </c>
      <c r="D1111" s="2" t="str">
        <f t="shared" si="16"/>
        <v>Error?</v>
      </c>
    </row>
    <row r="1112" spans="1:4" x14ac:dyDescent="0.2">
      <c r="A1112" s="5">
        <v>1051</v>
      </c>
      <c r="B1112" s="138">
        <f>'Expenditures 15-22'!K39</f>
        <v>198184</v>
      </c>
      <c r="C1112" s="2" t="s">
        <v>573</v>
      </c>
      <c r="D1112" s="2" t="str">
        <f t="shared" si="16"/>
        <v>Error?</v>
      </c>
    </row>
    <row r="1113" spans="1:4" x14ac:dyDescent="0.2">
      <c r="A1113" s="5">
        <v>1052</v>
      </c>
      <c r="B1113" s="138">
        <f>'Expenditures 15-22'!K40</f>
        <v>222425</v>
      </c>
      <c r="C1113" s="2" t="s">
        <v>573</v>
      </c>
      <c r="D1113" s="2" t="str">
        <f t="shared" si="16"/>
        <v>Error?</v>
      </c>
    </row>
    <row r="1114" spans="1:4" x14ac:dyDescent="0.2">
      <c r="A1114" s="5">
        <v>1053</v>
      </c>
      <c r="B1114" s="138">
        <f>'Expenditures 15-22'!K41</f>
        <v>149584</v>
      </c>
      <c r="C1114" s="2" t="s">
        <v>573</v>
      </c>
      <c r="D1114" s="2" t="str">
        <f t="shared" si="16"/>
        <v>Error?</v>
      </c>
    </row>
    <row r="1115" spans="1:4" x14ac:dyDescent="0.2">
      <c r="A1115" s="5">
        <v>1054</v>
      </c>
      <c r="B1115" s="138">
        <f>'Expenditures 15-22'!K42</f>
        <v>1007306</v>
      </c>
      <c r="C1115" s="2" t="s">
        <v>573</v>
      </c>
      <c r="D1115" s="2" t="str">
        <f t="shared" si="16"/>
        <v>Error?</v>
      </c>
    </row>
    <row r="1116" spans="1:4" x14ac:dyDescent="0.2">
      <c r="A1116" s="5">
        <v>1055</v>
      </c>
      <c r="B1116" s="138">
        <f>'Expenditures 15-22'!K44</f>
        <v>116130</v>
      </c>
      <c r="C1116" s="2" t="s">
        <v>573</v>
      </c>
      <c r="D1116" s="2" t="str">
        <f t="shared" si="16"/>
        <v>Error?</v>
      </c>
    </row>
    <row r="1117" spans="1:4" x14ac:dyDescent="0.2">
      <c r="A1117" s="5">
        <v>1056</v>
      </c>
      <c r="B1117" s="138">
        <f>'Expenditures 15-22'!K45</f>
        <v>194711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310841</v>
      </c>
      <c r="C1119" s="2" t="s">
        <v>573</v>
      </c>
      <c r="D1119" s="2" t="str">
        <f t="shared" si="16"/>
        <v>Error?</v>
      </c>
    </row>
    <row r="1120" spans="1:4" x14ac:dyDescent="0.2">
      <c r="A1120" s="5">
        <v>1059</v>
      </c>
      <c r="B1120" s="138">
        <f>'Expenditures 15-22'!K49</f>
        <v>198425</v>
      </c>
      <c r="C1120" s="2" t="s">
        <v>573</v>
      </c>
      <c r="D1120" s="2" t="str">
        <f t="shared" si="16"/>
        <v>Error?</v>
      </c>
    </row>
    <row r="1121" spans="1:4" x14ac:dyDescent="0.2">
      <c r="A1121" s="5">
        <v>1060</v>
      </c>
      <c r="B1121" s="138">
        <f>'Expenditures 15-22'!K50</f>
        <v>317772</v>
      </c>
      <c r="C1121" s="2" t="s">
        <v>573</v>
      </c>
      <c r="D1121" s="2" t="str">
        <f t="shared" si="16"/>
        <v>Error?</v>
      </c>
    </row>
    <row r="1122" spans="1:4" x14ac:dyDescent="0.2">
      <c r="A1122" s="5">
        <v>1061</v>
      </c>
      <c r="B1122" s="138">
        <f>'Expenditures 15-22'!K53</f>
        <v>736212</v>
      </c>
      <c r="C1122" s="2" t="s">
        <v>573</v>
      </c>
      <c r="D1122" s="2" t="str">
        <f t="shared" si="16"/>
        <v>Error?</v>
      </c>
    </row>
    <row r="1123" spans="1:4" x14ac:dyDescent="0.2">
      <c r="A1123" s="5">
        <v>1062</v>
      </c>
      <c r="B1123" s="138">
        <f>'Expenditures 15-22'!K55</f>
        <v>823445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823445</v>
      </c>
      <c r="C1125" s="2" t="s">
        <v>573</v>
      </c>
      <c r="D1125" s="2" t="str">
        <f t="shared" si="16"/>
        <v>Error?</v>
      </c>
    </row>
    <row r="1126" spans="1:4" x14ac:dyDescent="0.2">
      <c r="A1126" s="5">
        <v>1065</v>
      </c>
      <c r="B1126" s="138">
        <f>'Expenditures 15-22'!K59</f>
        <v>115916</v>
      </c>
      <c r="C1126" s="2" t="s">
        <v>573</v>
      </c>
      <c r="D1126" s="2" t="str">
        <f t="shared" si="16"/>
        <v>Error?</v>
      </c>
    </row>
    <row r="1127" spans="1:4" x14ac:dyDescent="0.2">
      <c r="A1127" s="5">
        <v>1066</v>
      </c>
      <c r="B1127" s="138">
        <f>'Expenditures 15-22'!K60</f>
        <v>100964</v>
      </c>
      <c r="C1127" s="2" t="s">
        <v>573</v>
      </c>
      <c r="D1127" s="2" t="str">
        <f t="shared" si="16"/>
        <v>Error?</v>
      </c>
    </row>
    <row r="1128" spans="1:4" x14ac:dyDescent="0.2">
      <c r="A1128" s="5">
        <v>1067</v>
      </c>
      <c r="B1128" s="138">
        <f>'Expenditures 15-22'!K61</f>
        <v>303927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363954</v>
      </c>
      <c r="C1130" s="2" t="s">
        <v>573</v>
      </c>
      <c r="D1130" s="2" t="str">
        <f t="shared" si="16"/>
        <v>Error?</v>
      </c>
    </row>
    <row r="1131" spans="1:4" x14ac:dyDescent="0.2">
      <c r="A1131" s="5">
        <v>1070</v>
      </c>
      <c r="B1131" s="138">
        <f>'Expenditures 15-22'!K64</f>
        <v>1981</v>
      </c>
      <c r="C1131" s="2" t="s">
        <v>573</v>
      </c>
      <c r="D1131" s="2" t="str">
        <f t="shared" si="16"/>
        <v>Error?</v>
      </c>
    </row>
    <row r="1132" spans="1:4" x14ac:dyDescent="0.2">
      <c r="A1132" s="10">
        <v>1071</v>
      </c>
      <c r="D1132" s="2" t="str">
        <f t="shared" si="16"/>
        <v>OK</v>
      </c>
    </row>
    <row r="1133" spans="1:4" x14ac:dyDescent="0.2">
      <c r="A1133" s="5">
        <v>1072</v>
      </c>
      <c r="B1133" s="138">
        <f>'Expenditures 15-22'!K65</f>
        <v>886742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698</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592925</v>
      </c>
      <c r="C1139" s="2" t="s">
        <v>573</v>
      </c>
      <c r="D1139" s="2" t="str">
        <f t="shared" si="16"/>
        <v>Error?</v>
      </c>
    </row>
    <row r="1140" spans="1:4" x14ac:dyDescent="0.2">
      <c r="A1140" s="10">
        <v>1079</v>
      </c>
      <c r="D1140" s="2" t="str">
        <f t="shared" si="16"/>
        <v>OK</v>
      </c>
    </row>
    <row r="1141" spans="1:4" x14ac:dyDescent="0.2">
      <c r="A1141" s="5">
        <v>1080</v>
      </c>
      <c r="B1141" s="138">
        <f>'Expenditures 15-22'!K72</f>
        <v>593623</v>
      </c>
      <c r="C1141" s="2" t="s">
        <v>573</v>
      </c>
      <c r="D1141" s="2" t="str">
        <f t="shared" si="16"/>
        <v>Error?</v>
      </c>
    </row>
    <row r="1142" spans="1:4" x14ac:dyDescent="0.2">
      <c r="A1142" s="5">
        <v>1081</v>
      </c>
      <c r="B1142" s="138">
        <f>'Expenditures 15-22'!K73</f>
        <v>195</v>
      </c>
      <c r="C1142" s="2" t="s">
        <v>573</v>
      </c>
      <c r="D1142" s="2" t="str">
        <f t="shared" si="16"/>
        <v>Error?</v>
      </c>
    </row>
    <row r="1143" spans="1:4" x14ac:dyDescent="0.2">
      <c r="A1143" s="5">
        <v>1082</v>
      </c>
      <c r="B1143" s="138">
        <f>'Expenditures 15-22'!K74</f>
        <v>4358364</v>
      </c>
      <c r="C1143" s="2" t="s">
        <v>573</v>
      </c>
      <c r="D1143" s="2" t="str">
        <f t="shared" si="16"/>
        <v>Error?</v>
      </c>
    </row>
    <row r="1144" spans="1:4" x14ac:dyDescent="0.2">
      <c r="A1144" s="5">
        <v>1083</v>
      </c>
      <c r="B1144" s="138">
        <f>'Expenditures 15-22'!K75</f>
        <v>217991</v>
      </c>
      <c r="C1144" s="2" t="s">
        <v>573</v>
      </c>
      <c r="D1144" s="2" t="str">
        <f t="shared" si="16"/>
        <v>Error?</v>
      </c>
    </row>
    <row r="1145" spans="1:4" x14ac:dyDescent="0.2">
      <c r="A1145" s="5">
        <v>1084</v>
      </c>
      <c r="B1145" s="138">
        <f>'Expenditures 15-22'!K102</f>
        <v>1186188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13262219</v>
      </c>
      <c r="C1152" s="2" t="s">
        <v>573</v>
      </c>
      <c r="D1152" s="2" t="str">
        <f t="shared" si="17"/>
        <v>Error?</v>
      </c>
    </row>
    <row r="1153" spans="1:4" x14ac:dyDescent="0.2">
      <c r="A1153" s="5">
        <v>1092</v>
      </c>
      <c r="B1153" s="138">
        <f>'Expenditures 15-22'!K115</f>
        <v>605805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23050</v>
      </c>
      <c r="D1221" s="2" t="str">
        <f t="shared" si="18"/>
        <v>Error?</v>
      </c>
    </row>
    <row r="1222" spans="1:4" x14ac:dyDescent="0.2">
      <c r="A1222" s="10">
        <v>1161</v>
      </c>
      <c r="D1222" s="2" t="str">
        <f t="shared" si="18"/>
        <v>OK</v>
      </c>
    </row>
    <row r="1223" spans="1:4" x14ac:dyDescent="0.2">
      <c r="A1223" s="5">
        <v>1162</v>
      </c>
      <c r="B1223" s="138">
        <f>'Expenditures 15-22'!C127</f>
        <v>23050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23050</v>
      </c>
      <c r="C1225" s="2" t="s">
        <v>573</v>
      </c>
      <c r="D1225" s="2" t="str">
        <f t="shared" si="18"/>
        <v>Error?</v>
      </c>
    </row>
    <row r="1226" spans="1:4" x14ac:dyDescent="0.2">
      <c r="A1226" s="5">
        <v>1165</v>
      </c>
      <c r="B1226" s="138">
        <f>'Expenditures 15-22'!C151</f>
        <v>23050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519061</v>
      </c>
      <c r="D1237" s="2" t="str">
        <f t="shared" si="18"/>
        <v>Error?</v>
      </c>
    </row>
    <row r="1238" spans="1:4" x14ac:dyDescent="0.2">
      <c r="A1238" s="10">
        <v>1177</v>
      </c>
      <c r="D1238" s="2" t="str">
        <f t="shared" si="18"/>
        <v>OK</v>
      </c>
    </row>
    <row r="1239" spans="1:4" x14ac:dyDescent="0.2">
      <c r="A1239" s="5">
        <v>1178</v>
      </c>
      <c r="B1239" s="138">
        <f>'Expenditures 15-22'!E127</f>
        <v>519061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519061</v>
      </c>
      <c r="C1241" s="2" t="s">
        <v>573</v>
      </c>
      <c r="D1241" s="2" t="str">
        <f t="shared" si="18"/>
        <v>Error?</v>
      </c>
    </row>
    <row r="1242" spans="1:4" x14ac:dyDescent="0.2">
      <c r="A1242" s="5">
        <v>1181</v>
      </c>
      <c r="B1242" s="138">
        <f>'Expenditures 15-22'!E151</f>
        <v>519061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385592</v>
      </c>
      <c r="D1245" s="2" t="str">
        <f t="shared" si="18"/>
        <v>Error?</v>
      </c>
    </row>
    <row r="1246" spans="1:4" x14ac:dyDescent="0.2">
      <c r="A1246" s="10">
        <v>1185</v>
      </c>
      <c r="D1246" s="2" t="str">
        <f t="shared" si="18"/>
        <v>OK</v>
      </c>
    </row>
    <row r="1247" spans="1:4" x14ac:dyDescent="0.2">
      <c r="A1247" s="5">
        <v>1186</v>
      </c>
      <c r="B1247" s="138">
        <f>'Expenditures 15-22'!F127</f>
        <v>385592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385592</v>
      </c>
      <c r="C1249" s="2" t="s">
        <v>573</v>
      </c>
      <c r="D1249" s="2" t="str">
        <f t="shared" si="18"/>
        <v>Error?</v>
      </c>
    </row>
    <row r="1250" spans="1:4" x14ac:dyDescent="0.2">
      <c r="A1250" s="5">
        <v>1189</v>
      </c>
      <c r="B1250" s="138">
        <f>'Expenditures 15-22'!F151</f>
        <v>385592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48404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48404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48404</v>
      </c>
      <c r="C1258" s="2" t="s">
        <v>573</v>
      </c>
      <c r="D1258" s="2" t="str">
        <f t="shared" si="18"/>
        <v>Error?</v>
      </c>
    </row>
    <row r="1259" spans="1:4" x14ac:dyDescent="0.2">
      <c r="A1259" s="5">
        <v>1198</v>
      </c>
      <c r="B1259" s="138">
        <f>'Expenditures 15-22'!G151</f>
        <v>48404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976107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976107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976107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976107</v>
      </c>
      <c r="C1288" s="2" t="s">
        <v>573</v>
      </c>
      <c r="D1288" s="2" t="str">
        <f t="shared" si="19"/>
        <v>Error?</v>
      </c>
    </row>
    <row r="1289" spans="1:4" x14ac:dyDescent="0.2">
      <c r="A1289" s="5">
        <v>1228</v>
      </c>
      <c r="B1289" s="138">
        <f>'Expenditures 15-22'!K152</f>
        <v>1199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901318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1053070</v>
      </c>
      <c r="D1315" s="2" t="str">
        <f t="shared" si="19"/>
        <v>Error?</v>
      </c>
    </row>
    <row r="1316" spans="1:4" x14ac:dyDescent="0.2">
      <c r="A1316" s="5">
        <v>1255</v>
      </c>
      <c r="B1316" s="138">
        <f>'Expenditures 15-22'!H171</f>
        <v>1100</v>
      </c>
      <c r="D1316" s="2" t="str">
        <f t="shared" si="19"/>
        <v>Error?</v>
      </c>
    </row>
    <row r="1317" spans="1:4" x14ac:dyDescent="0.2">
      <c r="A1317" s="5">
        <v>1256</v>
      </c>
      <c r="B1317" s="138">
        <f>'Expenditures 15-22'!H172</f>
        <v>1955488</v>
      </c>
      <c r="C1317" s="2" t="s">
        <v>573</v>
      </c>
      <c r="D1317" s="2" t="str">
        <f t="shared" si="19"/>
        <v>Error?</v>
      </c>
    </row>
    <row r="1318" spans="1:4" x14ac:dyDescent="0.2">
      <c r="A1318" s="5">
        <v>1257</v>
      </c>
      <c r="B1318" s="138">
        <f>'Expenditures 15-22'!H174</f>
        <v>1955488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901318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1053070</v>
      </c>
      <c r="C1329" s="2" t="s">
        <v>573</v>
      </c>
      <c r="D1329" s="2" t="str">
        <f t="shared" si="19"/>
        <v>Error?</v>
      </c>
    </row>
    <row r="1330" spans="1:4" x14ac:dyDescent="0.2">
      <c r="A1330" s="5">
        <v>1269</v>
      </c>
      <c r="B1330" s="138">
        <f>'Expenditures 15-22'!K171</f>
        <v>1100</v>
      </c>
      <c r="C1330" s="2" t="s">
        <v>573</v>
      </c>
      <c r="D1330" s="2" t="str">
        <f t="shared" si="19"/>
        <v>Error?</v>
      </c>
    </row>
    <row r="1331" spans="1:4" x14ac:dyDescent="0.2">
      <c r="A1331" s="5">
        <v>1270</v>
      </c>
      <c r="B1331" s="138">
        <f>'Expenditures 15-22'!K172</f>
        <v>1955488</v>
      </c>
      <c r="C1331" s="2" t="s">
        <v>573</v>
      </c>
      <c r="D1331" s="2" t="str">
        <f t="shared" si="19"/>
        <v>Error?</v>
      </c>
    </row>
    <row r="1332" spans="1:4" x14ac:dyDescent="0.2">
      <c r="A1332" s="5">
        <v>1271</v>
      </c>
      <c r="B1332" s="138">
        <f>'Expenditures 15-22'!K174</f>
        <v>1955488</v>
      </c>
      <c r="C1332" s="2" t="s">
        <v>573</v>
      </c>
      <c r="D1332" s="2" t="str">
        <f t="shared" si="19"/>
        <v>Error?</v>
      </c>
    </row>
    <row r="1333" spans="1:4" x14ac:dyDescent="0.2">
      <c r="A1333" s="5">
        <v>1272</v>
      </c>
      <c r="B1333" s="138">
        <f>'Expenditures 15-22'!K175</f>
        <v>-35394</v>
      </c>
      <c r="C1333" s="2" t="s">
        <v>573</v>
      </c>
      <c r="D1333" s="2" t="str">
        <f t="shared" si="19"/>
        <v>Error?</v>
      </c>
    </row>
    <row r="1334" spans="1:4" x14ac:dyDescent="0.2">
      <c r="A1334" s="10">
        <v>1273</v>
      </c>
      <c r="D1334" s="2" t="str">
        <f t="shared" si="19"/>
        <v>OK</v>
      </c>
    </row>
    <row r="1335" spans="1:4" x14ac:dyDescent="0.2">
      <c r="A1335" s="5">
        <v>1274</v>
      </c>
      <c r="B1335" s="138">
        <f>'Expenditures 15-22'!C182</f>
        <v>16249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16249</v>
      </c>
      <c r="C1339" s="2" t="s">
        <v>573</v>
      </c>
      <c r="D1339" s="2" t="str">
        <f t="shared" si="19"/>
        <v>Error?</v>
      </c>
    </row>
    <row r="1340" spans="1:4" x14ac:dyDescent="0.2">
      <c r="A1340" s="5">
        <v>1279</v>
      </c>
      <c r="B1340" s="138">
        <f>'Expenditures 15-22'!C210</f>
        <v>16249</v>
      </c>
      <c r="C1340" s="2" t="s">
        <v>573</v>
      </c>
      <c r="D1340" s="2" t="str">
        <f t="shared" si="19"/>
        <v>Error?</v>
      </c>
    </row>
    <row r="1341" spans="1:4" x14ac:dyDescent="0.2">
      <c r="A1341" s="5">
        <v>1280</v>
      </c>
      <c r="B1341" s="138">
        <f>'Expenditures 15-22'!D182</f>
        <v>513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513</v>
      </c>
      <c r="C1345" s="2" t="s">
        <v>573</v>
      </c>
      <c r="D1345" s="2" t="str">
        <f t="shared" si="20"/>
        <v>Error?</v>
      </c>
    </row>
    <row r="1346" spans="1:4" x14ac:dyDescent="0.2">
      <c r="A1346" s="5">
        <v>1285</v>
      </c>
      <c r="B1346" s="138">
        <f>'Expenditures 15-22'!D210</f>
        <v>513</v>
      </c>
      <c r="C1346" s="2" t="s">
        <v>573</v>
      </c>
      <c r="D1346" s="2" t="str">
        <f t="shared" si="20"/>
        <v>Error?</v>
      </c>
    </row>
    <row r="1347" spans="1:4" x14ac:dyDescent="0.2">
      <c r="A1347" s="5">
        <v>1286</v>
      </c>
      <c r="B1347" s="138">
        <f>'Expenditures 15-22'!E182</f>
        <v>772243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772243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772243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789005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789005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789005</v>
      </c>
      <c r="C1388" s="2" t="s">
        <v>573</v>
      </c>
      <c r="D1388" s="2" t="str">
        <f t="shared" si="20"/>
        <v>Error?</v>
      </c>
    </row>
    <row r="1389" spans="1:4" x14ac:dyDescent="0.2">
      <c r="A1389" s="5">
        <v>1328</v>
      </c>
      <c r="B1389" s="138">
        <f>'Expenditures 15-22'!K211</f>
        <v>-94042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1730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125379</v>
      </c>
      <c r="C1410" s="2" t="s">
        <v>573</v>
      </c>
      <c r="D1410" s="2" t="str">
        <f t="shared" si="21"/>
        <v>Error?</v>
      </c>
    </row>
    <row r="1411" spans="1:4" x14ac:dyDescent="0.2">
      <c r="A1411" s="5">
        <v>1350</v>
      </c>
      <c r="B1411" s="138">
        <f>'Expenditures 15-22'!D232</f>
        <v>2577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27981</v>
      </c>
      <c r="D1413" s="2" t="str">
        <f t="shared" si="21"/>
        <v>Error?</v>
      </c>
    </row>
    <row r="1414" spans="1:4" x14ac:dyDescent="0.2">
      <c r="A1414" s="5">
        <v>1353</v>
      </c>
      <c r="B1414" s="138">
        <f>'Expenditures 15-22'!D235</f>
        <v>2152</v>
      </c>
      <c r="D1414" s="2" t="str">
        <f t="shared" si="21"/>
        <v>Error?</v>
      </c>
    </row>
    <row r="1415" spans="1:4" x14ac:dyDescent="0.2">
      <c r="A1415" s="5">
        <v>1354</v>
      </c>
      <c r="B1415" s="138">
        <f>'Expenditures 15-22'!D236</f>
        <v>3108</v>
      </c>
      <c r="D1415" s="2" t="str">
        <f t="shared" si="21"/>
        <v>Error?</v>
      </c>
    </row>
    <row r="1416" spans="1:4" x14ac:dyDescent="0.2">
      <c r="A1416" s="5">
        <v>1355</v>
      </c>
      <c r="B1416" s="138">
        <f>'Expenditures 15-22'!D237</f>
        <v>11607</v>
      </c>
      <c r="D1416" s="2" t="str">
        <f t="shared" si="21"/>
        <v>Error?</v>
      </c>
    </row>
    <row r="1417" spans="1:4" x14ac:dyDescent="0.2">
      <c r="A1417" s="5">
        <v>1356</v>
      </c>
      <c r="B1417" s="138">
        <f>'Expenditures 15-22'!D238</f>
        <v>47425</v>
      </c>
      <c r="C1417" s="2" t="s">
        <v>573</v>
      </c>
      <c r="D1417" s="2" t="str">
        <f t="shared" si="21"/>
        <v>Error?</v>
      </c>
    </row>
    <row r="1418" spans="1:4" x14ac:dyDescent="0.2">
      <c r="A1418" s="5">
        <v>1357</v>
      </c>
      <c r="B1418" s="138">
        <f>'Expenditures 15-22'!D240</f>
        <v>1745</v>
      </c>
      <c r="D1418" s="2" t="str">
        <f t="shared" si="21"/>
        <v>Error?</v>
      </c>
    </row>
    <row r="1419" spans="1:4" x14ac:dyDescent="0.2">
      <c r="A1419" s="5">
        <v>1358</v>
      </c>
      <c r="B1419" s="138">
        <f>'Expenditures 15-22'!D241</f>
        <v>6039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7784</v>
      </c>
      <c r="C1421" s="2" t="s">
        <v>573</v>
      </c>
      <c r="D1421" s="2" t="str">
        <f t="shared" si="21"/>
        <v>Error?</v>
      </c>
    </row>
    <row r="1422" spans="1:4" x14ac:dyDescent="0.2">
      <c r="A1422" s="5">
        <v>1361</v>
      </c>
      <c r="B1422" s="138">
        <f>'Expenditures 15-22'!D245</f>
        <v>8760</v>
      </c>
      <c r="D1422" s="2" t="str">
        <f t="shared" si="21"/>
        <v>Error?</v>
      </c>
    </row>
    <row r="1423" spans="1:4" x14ac:dyDescent="0.2">
      <c r="A1423" s="5">
        <v>1362</v>
      </c>
      <c r="B1423" s="138">
        <f>'Expenditures 15-22'!D246</f>
        <v>4003</v>
      </c>
      <c r="D1423" s="2" t="str">
        <f t="shared" si="21"/>
        <v>Error?</v>
      </c>
    </row>
    <row r="1424" spans="1:4" x14ac:dyDescent="0.2">
      <c r="A1424" s="5">
        <v>1363</v>
      </c>
      <c r="B1424" s="138">
        <f>'Expenditures 15-22'!D257</f>
        <v>23745</v>
      </c>
      <c r="C1424" s="2" t="s">
        <v>573</v>
      </c>
      <c r="D1424" s="2" t="str">
        <f t="shared" si="21"/>
        <v>Error?</v>
      </c>
    </row>
    <row r="1425" spans="1:4" x14ac:dyDescent="0.2">
      <c r="A1425" s="5">
        <v>1364</v>
      </c>
      <c r="B1425" s="138">
        <f>'Expenditures 15-22'!D259</f>
        <v>48402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48402</v>
      </c>
      <c r="C1427" s="2" t="s">
        <v>573</v>
      </c>
      <c r="D1427" s="2" t="str">
        <f t="shared" si="21"/>
        <v>Error?</v>
      </c>
    </row>
    <row r="1428" spans="1:4" x14ac:dyDescent="0.2">
      <c r="A1428" s="5">
        <v>1367</v>
      </c>
      <c r="B1428" s="138">
        <f>'Expenditures 15-22'!D263</f>
        <v>1402</v>
      </c>
      <c r="D1428" s="2" t="str">
        <f t="shared" si="21"/>
        <v>Error?</v>
      </c>
    </row>
    <row r="1429" spans="1:4" x14ac:dyDescent="0.2">
      <c r="A1429" s="5">
        <v>1368</v>
      </c>
      <c r="B1429" s="138">
        <f>'Expenditures 15-22'!D264</f>
        <v>12362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31392</v>
      </c>
      <c r="D1431" s="2" t="str">
        <f t="shared" si="21"/>
        <v>Error?</v>
      </c>
    </row>
    <row r="1432" spans="1:4" x14ac:dyDescent="0.2">
      <c r="A1432" s="5">
        <v>1371</v>
      </c>
      <c r="B1432" s="138">
        <f>'Expenditures 15-22'!D267</f>
        <v>2970</v>
      </c>
      <c r="D1432" s="2" t="str">
        <f t="shared" si="21"/>
        <v>Error?</v>
      </c>
    </row>
    <row r="1433" spans="1:4" x14ac:dyDescent="0.2">
      <c r="A1433" s="5">
        <v>1372</v>
      </c>
      <c r="B1433" s="138">
        <f>'Expenditures 15-22'!D268</f>
        <v>2970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51096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24224</v>
      </c>
      <c r="D1442" s="2" t="str">
        <f t="shared" si="21"/>
        <v>Error?</v>
      </c>
    </row>
    <row r="1443" spans="1:4" x14ac:dyDescent="0.2">
      <c r="A1443" s="10">
        <v>1382</v>
      </c>
      <c r="D1443" s="2" t="str">
        <f t="shared" si="21"/>
        <v>OK</v>
      </c>
    </row>
    <row r="1444" spans="1:4" x14ac:dyDescent="0.2">
      <c r="A1444" s="5">
        <v>1383</v>
      </c>
      <c r="B1444" s="138">
        <f>'Expenditures 15-22'!D277</f>
        <v>24224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202676</v>
      </c>
      <c r="C1446" s="2" t="s">
        <v>573</v>
      </c>
      <c r="D1446" s="2" t="str">
        <f t="shared" si="21"/>
        <v>Error?</v>
      </c>
    </row>
    <row r="1447" spans="1:4" x14ac:dyDescent="0.2">
      <c r="A1447" s="5">
        <v>1386</v>
      </c>
      <c r="B1447" s="138">
        <f>'Expenditures 15-22'!D280</f>
        <v>15877</v>
      </c>
      <c r="D1447" s="2" t="str">
        <f t="shared" si="21"/>
        <v>Error?</v>
      </c>
    </row>
    <row r="1448" spans="1:4" x14ac:dyDescent="0.2">
      <c r="A1448" s="5">
        <v>1387</v>
      </c>
      <c r="B1448" s="138">
        <f>'Expenditures 15-22'!D295</f>
        <v>343932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1730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550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125379</v>
      </c>
      <c r="C1474" s="2" t="s">
        <v>573</v>
      </c>
      <c r="D1474" s="2" t="str">
        <f t="shared" si="22"/>
        <v>Error?</v>
      </c>
    </row>
    <row r="1475" spans="1:4" x14ac:dyDescent="0.2">
      <c r="A1475" s="5">
        <v>1414</v>
      </c>
      <c r="B1475" s="138">
        <f>'Expenditures 15-22'!K232</f>
        <v>2577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27981</v>
      </c>
      <c r="C1477" s="2" t="s">
        <v>573</v>
      </c>
      <c r="D1477" s="2" t="str">
        <f t="shared" si="22"/>
        <v>Error?</v>
      </c>
    </row>
    <row r="1478" spans="1:4" x14ac:dyDescent="0.2">
      <c r="A1478" s="5">
        <v>1417</v>
      </c>
      <c r="B1478" s="138">
        <f>'Expenditures 15-22'!K235</f>
        <v>2152</v>
      </c>
      <c r="C1478" s="2" t="s">
        <v>573</v>
      </c>
      <c r="D1478" s="2" t="str">
        <f t="shared" si="22"/>
        <v>Error?</v>
      </c>
    </row>
    <row r="1479" spans="1:4" x14ac:dyDescent="0.2">
      <c r="A1479" s="5">
        <v>1418</v>
      </c>
      <c r="B1479" s="138">
        <f>'Expenditures 15-22'!K236</f>
        <v>3108</v>
      </c>
      <c r="C1479" s="2" t="s">
        <v>573</v>
      </c>
      <c r="D1479" s="2" t="str">
        <f t="shared" si="22"/>
        <v>Error?</v>
      </c>
    </row>
    <row r="1480" spans="1:4" x14ac:dyDescent="0.2">
      <c r="A1480" s="5">
        <v>1419</v>
      </c>
      <c r="B1480" s="138">
        <f>'Expenditures 15-22'!K237</f>
        <v>11607</v>
      </c>
      <c r="C1480" s="2" t="s">
        <v>573</v>
      </c>
      <c r="D1480" s="2" t="str">
        <f t="shared" si="22"/>
        <v>Error?</v>
      </c>
    </row>
    <row r="1481" spans="1:4" x14ac:dyDescent="0.2">
      <c r="A1481" s="5">
        <v>1420</v>
      </c>
      <c r="B1481" s="138">
        <f>'Expenditures 15-22'!K238</f>
        <v>47425</v>
      </c>
      <c r="C1481" s="2" t="s">
        <v>573</v>
      </c>
      <c r="D1481" s="2" t="str">
        <f t="shared" si="22"/>
        <v>Error?</v>
      </c>
    </row>
    <row r="1482" spans="1:4" x14ac:dyDescent="0.2">
      <c r="A1482" s="5">
        <v>1421</v>
      </c>
      <c r="B1482" s="138">
        <f>'Expenditures 15-22'!K240</f>
        <v>1745</v>
      </c>
      <c r="C1482" s="2" t="s">
        <v>573</v>
      </c>
      <c r="D1482" s="2" t="str">
        <f t="shared" si="22"/>
        <v>Error?</v>
      </c>
    </row>
    <row r="1483" spans="1:4" x14ac:dyDescent="0.2">
      <c r="A1483" s="5">
        <v>1422</v>
      </c>
      <c r="B1483" s="138">
        <f>'Expenditures 15-22'!K241</f>
        <v>6039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7784</v>
      </c>
      <c r="C1485" s="2" t="s">
        <v>573</v>
      </c>
      <c r="D1485" s="2" t="str">
        <f t="shared" si="22"/>
        <v>Error?</v>
      </c>
    </row>
    <row r="1486" spans="1:4" x14ac:dyDescent="0.2">
      <c r="A1486" s="5">
        <v>1425</v>
      </c>
      <c r="B1486" s="138">
        <f>'Expenditures 15-22'!K245</f>
        <v>8760</v>
      </c>
      <c r="C1486" s="2" t="s">
        <v>573</v>
      </c>
      <c r="D1486" s="2" t="str">
        <f t="shared" si="22"/>
        <v>Error?</v>
      </c>
    </row>
    <row r="1487" spans="1:4" x14ac:dyDescent="0.2">
      <c r="A1487" s="5">
        <v>1426</v>
      </c>
      <c r="B1487" s="138">
        <f>'Expenditures 15-22'!K246</f>
        <v>4003</v>
      </c>
      <c r="C1487" s="2" t="s">
        <v>573</v>
      </c>
      <c r="D1487" s="2" t="str">
        <f t="shared" si="22"/>
        <v>Error?</v>
      </c>
    </row>
    <row r="1488" spans="1:4" x14ac:dyDescent="0.2">
      <c r="A1488" s="5">
        <v>1427</v>
      </c>
      <c r="B1488" s="138">
        <f>'Expenditures 15-22'!K257</f>
        <v>23745</v>
      </c>
      <c r="C1488" s="2" t="s">
        <v>573</v>
      </c>
      <c r="D1488" s="2" t="str">
        <f t="shared" si="22"/>
        <v>Error?</v>
      </c>
    </row>
    <row r="1489" spans="1:4" x14ac:dyDescent="0.2">
      <c r="A1489" s="5">
        <v>1428</v>
      </c>
      <c r="B1489" s="138">
        <f>'Expenditures 15-22'!K259</f>
        <v>48402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48402</v>
      </c>
      <c r="C1491" s="2" t="s">
        <v>573</v>
      </c>
      <c r="D1491" s="2" t="str">
        <f t="shared" si="22"/>
        <v>Error?</v>
      </c>
    </row>
    <row r="1492" spans="1:4" x14ac:dyDescent="0.2">
      <c r="A1492" s="5">
        <v>1431</v>
      </c>
      <c r="B1492" s="138">
        <f>'Expenditures 15-22'!K263</f>
        <v>1402</v>
      </c>
      <c r="C1492" s="2" t="s">
        <v>573</v>
      </c>
      <c r="D1492" s="2" t="str">
        <f t="shared" si="22"/>
        <v>Error?</v>
      </c>
    </row>
    <row r="1493" spans="1:4" x14ac:dyDescent="0.2">
      <c r="A1493" s="5">
        <v>1432</v>
      </c>
      <c r="B1493" s="138">
        <f>'Expenditures 15-22'!K264</f>
        <v>12362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31392</v>
      </c>
      <c r="C1495" s="2" t="s">
        <v>573</v>
      </c>
      <c r="D1495" s="2" t="str">
        <f t="shared" si="22"/>
        <v>Error?</v>
      </c>
    </row>
    <row r="1496" spans="1:4" x14ac:dyDescent="0.2">
      <c r="A1496" s="5">
        <v>1435</v>
      </c>
      <c r="B1496" s="138">
        <f>'Expenditures 15-22'!K267</f>
        <v>2970</v>
      </c>
      <c r="C1496" s="2" t="s">
        <v>573</v>
      </c>
      <c r="D1496" s="2" t="str">
        <f t="shared" si="22"/>
        <v>Error?</v>
      </c>
    </row>
    <row r="1497" spans="1:4" x14ac:dyDescent="0.2">
      <c r="A1497" s="5">
        <v>1436</v>
      </c>
      <c r="B1497" s="138">
        <f>'Expenditures 15-22'!K268</f>
        <v>2970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51096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24224</v>
      </c>
      <c r="C1506" s="2" t="s">
        <v>573</v>
      </c>
      <c r="D1506" s="2" t="str">
        <f t="shared" si="22"/>
        <v>Error?</v>
      </c>
    </row>
    <row r="1507" spans="1:4" x14ac:dyDescent="0.2">
      <c r="A1507" s="10">
        <v>1446</v>
      </c>
      <c r="D1507" s="2" t="str">
        <f t="shared" si="22"/>
        <v>OK</v>
      </c>
    </row>
    <row r="1508" spans="1:4" x14ac:dyDescent="0.2">
      <c r="A1508" s="5">
        <v>1447</v>
      </c>
      <c r="B1508" s="138">
        <f>'Expenditures 15-22'!K277</f>
        <v>24224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202676</v>
      </c>
      <c r="C1510" s="2" t="s">
        <v>573</v>
      </c>
      <c r="D1510" s="2" t="str">
        <f t="shared" si="22"/>
        <v>Error?</v>
      </c>
    </row>
    <row r="1511" spans="1:4" x14ac:dyDescent="0.2">
      <c r="A1511" s="5">
        <v>1450</v>
      </c>
      <c r="B1511" s="138">
        <f>'Expenditures 15-22'!K280</f>
        <v>15877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343932</v>
      </c>
      <c r="C1517" s="2" t="s">
        <v>573</v>
      </c>
      <c r="D1517" s="2" t="str">
        <f t="shared" si="22"/>
        <v>Error?</v>
      </c>
    </row>
    <row r="1518" spans="1:4" x14ac:dyDescent="0.2">
      <c r="A1518" s="5">
        <v>1457</v>
      </c>
      <c r="B1518" s="138">
        <f>'Expenditures 15-22'!K296</f>
        <v>146998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199716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199716</v>
      </c>
      <c r="C1547" s="2" t="s">
        <v>573</v>
      </c>
      <c r="D1547" s="2" t="str">
        <f t="shared" si="23"/>
        <v>Error?</v>
      </c>
    </row>
    <row r="1548" spans="1:4" x14ac:dyDescent="0.2">
      <c r="A1548" s="5">
        <v>1487</v>
      </c>
      <c r="B1548" s="138">
        <f>'Expenditures 15-22'!G312</f>
        <v>199716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199716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199716</v>
      </c>
      <c r="C1559" s="2" t="s">
        <v>573</v>
      </c>
      <c r="D1559" s="2" t="str">
        <f t="shared" si="23"/>
        <v>Error?</v>
      </c>
    </row>
    <row r="1560" spans="1:4" x14ac:dyDescent="0.2">
      <c r="A1560" s="5">
        <v>1499</v>
      </c>
      <c r="B1560" s="138">
        <f>'Expenditures 15-22'!K312</f>
        <v>199716</v>
      </c>
      <c r="C1560" s="2" t="s">
        <v>573</v>
      </c>
      <c r="D1560" s="2" t="str">
        <f t="shared" si="23"/>
        <v>Error?</v>
      </c>
    </row>
    <row r="1561" spans="1:4" x14ac:dyDescent="0.2">
      <c r="A1561" s="5">
        <v>1500</v>
      </c>
      <c r="B1561" s="138">
        <f>'Expenditures 15-22'!K313</f>
        <v>-106078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4226333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5339938</v>
      </c>
      <c r="C1630" s="2" t="s">
        <v>573</v>
      </c>
      <c r="D1630" s="2" t="str">
        <f t="shared" si="24"/>
        <v>Error?</v>
      </c>
    </row>
    <row r="1631" spans="1:4" x14ac:dyDescent="0.2">
      <c r="A1631" s="5">
        <v>1570</v>
      </c>
      <c r="B1631" s="138">
        <f>'Acct Summary 7-8'!D79</f>
        <v>343607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344806</v>
      </c>
      <c r="C1644" s="2" t="s">
        <v>573</v>
      </c>
      <c r="D1644" s="2" t="str">
        <f t="shared" si="24"/>
        <v>Error?</v>
      </c>
    </row>
    <row r="1645" spans="1:4" x14ac:dyDescent="0.2">
      <c r="A1645" s="5">
        <v>1584</v>
      </c>
      <c r="B1645" s="138">
        <f>'Acct Summary 7-8'!E79</f>
        <v>1565073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1529679</v>
      </c>
      <c r="C1658" s="2" t="s">
        <v>573</v>
      </c>
      <c r="D1658" s="2" t="str">
        <f t="shared" si="24"/>
        <v>Error?</v>
      </c>
    </row>
    <row r="1659" spans="1:4" x14ac:dyDescent="0.2">
      <c r="A1659" s="5">
        <v>1598</v>
      </c>
      <c r="B1659" s="138">
        <f>'Acct Summary 7-8'!F79</f>
        <v>473618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379576</v>
      </c>
      <c r="C1672" s="2" t="s">
        <v>573</v>
      </c>
      <c r="D1672" s="2" t="str">
        <f t="shared" si="25"/>
        <v>Error?</v>
      </c>
    </row>
    <row r="1673" spans="1:4" x14ac:dyDescent="0.2">
      <c r="A1673" s="5">
        <v>1612</v>
      </c>
      <c r="B1673" s="138">
        <f>'Acct Summary 7-8'!G79</f>
        <v>591384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738382</v>
      </c>
      <c r="C1686" s="2" t="s">
        <v>573</v>
      </c>
      <c r="D1686" s="2" t="str">
        <f t="shared" si="25"/>
        <v>Error?</v>
      </c>
    </row>
    <row r="1687" spans="1:4" x14ac:dyDescent="0.2">
      <c r="A1687" s="5">
        <v>1626</v>
      </c>
      <c r="B1687" s="138">
        <f>'Acct Summary 7-8'!H79</f>
        <v>628106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772028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5846173</v>
      </c>
      <c r="C1744" s="2" t="s">
        <v>573</v>
      </c>
      <c r="D1744" s="2" t="str">
        <f t="shared" si="26"/>
        <v>Error?</v>
      </c>
    </row>
    <row r="1745" spans="1:5" x14ac:dyDescent="0.2">
      <c r="A1745" s="5">
        <v>1684</v>
      </c>
      <c r="B1745" s="138">
        <f>'Tax Sched 23'!B5</f>
        <v>848045</v>
      </c>
      <c r="C1745" s="2" t="s">
        <v>573</v>
      </c>
      <c r="D1745" s="2" t="str">
        <f t="shared" si="26"/>
        <v>Error?</v>
      </c>
    </row>
    <row r="1746" spans="1:5" x14ac:dyDescent="0.2">
      <c r="A1746" s="5">
        <v>1685</v>
      </c>
      <c r="B1746" s="138">
        <f>'Tax Sched 23'!B6</f>
        <v>1897759</v>
      </c>
      <c r="C1746" s="2" t="s">
        <v>573</v>
      </c>
      <c r="D1746" s="2" t="str">
        <f t="shared" si="26"/>
        <v>Error?</v>
      </c>
    </row>
    <row r="1747" spans="1:5" x14ac:dyDescent="0.2">
      <c r="A1747" s="5">
        <v>1686</v>
      </c>
      <c r="B1747" s="138">
        <f>'Tax Sched 23'!B7</f>
        <v>297136</v>
      </c>
      <c r="C1747" s="2" t="s">
        <v>573</v>
      </c>
      <c r="D1747" s="2" t="str">
        <f t="shared" si="26"/>
        <v>Error?</v>
      </c>
    </row>
    <row r="1748" spans="1:5" x14ac:dyDescent="0.2">
      <c r="A1748" s="5">
        <v>1687</v>
      </c>
      <c r="B1748" s="138">
        <f>'Tax Sched 23'!B8</f>
        <v>248472</v>
      </c>
      <c r="C1748" s="2" t="s">
        <v>573</v>
      </c>
      <c r="D1748" s="2" t="str">
        <f t="shared" si="26"/>
        <v>Error?</v>
      </c>
    </row>
    <row r="1749" spans="1:5" x14ac:dyDescent="0.2">
      <c r="A1749" s="5">
        <v>1688</v>
      </c>
      <c r="B1749" s="138">
        <f>'Tax Sched 23'!B10</f>
        <v>5700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130883</v>
      </c>
      <c r="C1752" s="2" t="s">
        <v>573</v>
      </c>
      <c r="D1752" s="2" t="str">
        <f t="shared" si="26"/>
        <v>Error?</v>
      </c>
    </row>
    <row r="1753" spans="1:5" x14ac:dyDescent="0.2">
      <c r="A1753" s="5">
        <v>1692</v>
      </c>
      <c r="B1753" s="138">
        <f>'Tax Sched 23'!B12</f>
        <v>2663</v>
      </c>
      <c r="C1753" s="2" t="s">
        <v>573</v>
      </c>
      <c r="D1753" s="2" t="str">
        <f t="shared" si="26"/>
        <v>Error?</v>
      </c>
    </row>
    <row r="1754" spans="1:5" x14ac:dyDescent="0.2">
      <c r="A1754" s="5">
        <v>1693</v>
      </c>
      <c r="B1754" s="138">
        <f>'Tax Sched 23'!B14</f>
        <v>2663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9509559</v>
      </c>
      <c r="C1759" s="2" t="s">
        <v>573</v>
      </c>
      <c r="D1759" s="2" t="str">
        <f t="shared" si="26"/>
        <v>Error?</v>
      </c>
    </row>
    <row r="1760" spans="1:5" x14ac:dyDescent="0.2">
      <c r="A1760" s="5">
        <v>1699</v>
      </c>
      <c r="B1760" s="138">
        <f>'Tax Sched 23'!D4</f>
        <v>2632063.9700000002</v>
      </c>
      <c r="C1760" s="2" t="s">
        <v>573</v>
      </c>
      <c r="D1760" s="2" t="str">
        <f t="shared" si="26"/>
        <v>Error?</v>
      </c>
    </row>
    <row r="1761" spans="1:5" x14ac:dyDescent="0.2">
      <c r="A1761" s="5">
        <v>1700</v>
      </c>
      <c r="B1761" s="138">
        <f>'Tax Sched 23'!D5</f>
        <v>383781.74</v>
      </c>
      <c r="C1761" s="2" t="s">
        <v>573</v>
      </c>
      <c r="D1761" s="2" t="str">
        <f t="shared" si="26"/>
        <v>Error?</v>
      </c>
    </row>
    <row r="1762" spans="1:5" s="8" customFormat="1" x14ac:dyDescent="0.2">
      <c r="A1762" s="5">
        <v>1701</v>
      </c>
      <c r="B1762" s="138">
        <f>'Tax Sched 23'!D6</f>
        <v>878497.35</v>
      </c>
      <c r="C1762" s="2" t="s">
        <v>573</v>
      </c>
      <c r="D1762" s="2" t="str">
        <f t="shared" si="26"/>
        <v>Error?</v>
      </c>
      <c r="E1762" s="9"/>
    </row>
    <row r="1763" spans="1:5" x14ac:dyDescent="0.2">
      <c r="A1763" s="5">
        <v>1702</v>
      </c>
      <c r="B1763" s="138">
        <f>'Tax Sched 23'!D7</f>
        <v>135188.04999999999</v>
      </c>
      <c r="C1763" s="2" t="s">
        <v>573</v>
      </c>
      <c r="D1763" s="2" t="str">
        <f t="shared" si="26"/>
        <v>Error?</v>
      </c>
    </row>
    <row r="1764" spans="1:5" x14ac:dyDescent="0.2">
      <c r="A1764" s="5">
        <v>1703</v>
      </c>
      <c r="B1764" s="138">
        <f>'Tax Sched 23'!D8</f>
        <v>113042.39000000001</v>
      </c>
      <c r="C1764" s="2" t="s">
        <v>573</v>
      </c>
      <c r="D1764" s="2" t="str">
        <f t="shared" si="26"/>
        <v>Error?</v>
      </c>
    </row>
    <row r="1765" spans="1:5" x14ac:dyDescent="0.2">
      <c r="A1765" s="5">
        <v>1704</v>
      </c>
      <c r="B1765" s="138">
        <f>'Tax Sched 23'!D10</f>
        <v>2581.42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59659.789999999994</v>
      </c>
      <c r="C1768" s="2" t="s">
        <v>573</v>
      </c>
      <c r="D1768" s="2" t="str">
        <f t="shared" si="26"/>
        <v>Error?</v>
      </c>
    </row>
    <row r="1769" spans="1:5" x14ac:dyDescent="0.2">
      <c r="A1769" s="5">
        <v>1708</v>
      </c>
      <c r="B1769" s="138">
        <f>'Tax Sched 23'!D12</f>
        <v>1233.6500000000001</v>
      </c>
      <c r="C1769" s="2" t="s">
        <v>573</v>
      </c>
      <c r="D1769" s="2" t="str">
        <f t="shared" si="26"/>
        <v>Error?</v>
      </c>
    </row>
    <row r="1770" spans="1:5" x14ac:dyDescent="0.2">
      <c r="A1770" s="5">
        <v>1709</v>
      </c>
      <c r="B1770" s="138">
        <f>'Tax Sched 23'!D14</f>
        <v>1233.6500000000001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4311922.8500000006</v>
      </c>
      <c r="C1775" s="2" t="s">
        <v>573</v>
      </c>
      <c r="D1775" s="2" t="str">
        <f t="shared" si="26"/>
        <v>Error?</v>
      </c>
    </row>
    <row r="1776" spans="1:5" x14ac:dyDescent="0.2">
      <c r="A1776" s="5">
        <v>1715</v>
      </c>
      <c r="B1776" s="138">
        <f>'Tax Sched 23'!C4</f>
        <v>3214109.03</v>
      </c>
      <c r="D1776" s="2" t="str">
        <f t="shared" si="26"/>
        <v>Error?</v>
      </c>
    </row>
    <row r="1777" spans="1:4" x14ac:dyDescent="0.2">
      <c r="A1777" s="5">
        <v>1716</v>
      </c>
      <c r="B1777" s="138">
        <f>'Tax Sched 23'!C5</f>
        <v>464263.26</v>
      </c>
      <c r="D1777" s="2" t="str">
        <f t="shared" si="26"/>
        <v>Error?</v>
      </c>
    </row>
    <row r="1778" spans="1:4" x14ac:dyDescent="0.2">
      <c r="A1778" s="5">
        <v>1717</v>
      </c>
      <c r="B1778" s="138">
        <f>'Tax Sched 23'!C6</f>
        <v>1019261.65</v>
      </c>
      <c r="D1778" s="2" t="str">
        <f t="shared" si="26"/>
        <v>Error?</v>
      </c>
    </row>
    <row r="1779" spans="1:4" x14ac:dyDescent="0.2">
      <c r="A1779" s="5">
        <v>1718</v>
      </c>
      <c r="B1779" s="138">
        <f>'Tax Sched 23'!C7</f>
        <v>161947.95000000001</v>
      </c>
      <c r="D1779" s="2" t="str">
        <f t="shared" si="26"/>
        <v>Error?</v>
      </c>
    </row>
    <row r="1780" spans="1:4" x14ac:dyDescent="0.2">
      <c r="A1780" s="5">
        <v>1719</v>
      </c>
      <c r="B1780" s="138">
        <f>'Tax Sched 23'!C8</f>
        <v>135429.60999999999</v>
      </c>
      <c r="D1780" s="2" t="str">
        <f t="shared" si="26"/>
        <v>Error?</v>
      </c>
    </row>
    <row r="1781" spans="1:4" x14ac:dyDescent="0.2">
      <c r="A1781" s="5">
        <v>1720</v>
      </c>
      <c r="B1781" s="138">
        <f>'Tax Sched 23'!C10</f>
        <v>3118.58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71223.210000000006</v>
      </c>
      <c r="D1784" s="2" t="str">
        <f t="shared" si="26"/>
        <v>Error?</v>
      </c>
    </row>
    <row r="1785" spans="1:4" x14ac:dyDescent="0.2">
      <c r="A1785" s="5">
        <v>1724</v>
      </c>
      <c r="B1785" s="138">
        <f>'Tax Sched 23'!C12</f>
        <v>1429.35</v>
      </c>
      <c r="D1785" s="2" t="str">
        <f t="shared" si="26"/>
        <v>Error?</v>
      </c>
    </row>
    <row r="1786" spans="1:4" x14ac:dyDescent="0.2">
      <c r="A1786" s="5">
        <v>1725</v>
      </c>
      <c r="B1786" s="138">
        <f>'Tax Sched 23'!C14</f>
        <v>1429.35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5197636.1500000004</v>
      </c>
      <c r="C1791" s="2" t="s">
        <v>573</v>
      </c>
      <c r="D1791" s="2" t="str">
        <f t="shared" ref="D1791:D1854" si="27">IF(ISBLANK(B1791),"OK",IF(A1791-B1791=0,"OK","Error?"))</f>
        <v>Error?</v>
      </c>
    </row>
    <row r="1792" spans="1:4" x14ac:dyDescent="0.2">
      <c r="A1792" s="5">
        <v>1731</v>
      </c>
      <c r="B1792" s="138">
        <f>'Tax Sched 23'!F4</f>
        <v>3106329.97</v>
      </c>
      <c r="C1792" s="2" t="s">
        <v>573</v>
      </c>
      <c r="D1792" s="2" t="str">
        <f t="shared" si="27"/>
        <v>Error?</v>
      </c>
    </row>
    <row r="1793" spans="1:4" x14ac:dyDescent="0.2">
      <c r="A1793" s="5">
        <v>1732</v>
      </c>
      <c r="B1793" s="138">
        <f>'Tax Sched 23'!F5</f>
        <v>448696.74</v>
      </c>
      <c r="C1793" s="2" t="s">
        <v>573</v>
      </c>
      <c r="D1793" s="2" t="str">
        <f t="shared" si="27"/>
        <v>Error?</v>
      </c>
    </row>
    <row r="1794" spans="1:4" x14ac:dyDescent="0.2">
      <c r="A1794" s="5">
        <v>1733</v>
      </c>
      <c r="B1794" s="138">
        <f>'Tax Sched 23'!F6</f>
        <v>985086.35</v>
      </c>
      <c r="C1794" s="2" t="s">
        <v>573</v>
      </c>
      <c r="D1794" s="2" t="str">
        <f t="shared" si="27"/>
        <v>Error?</v>
      </c>
    </row>
    <row r="1795" spans="1:4" x14ac:dyDescent="0.2">
      <c r="A1795" s="5">
        <v>1734</v>
      </c>
      <c r="B1795" s="138">
        <f>'Tax Sched 23'!F7</f>
        <v>156514.04999999999</v>
      </c>
      <c r="C1795" s="2" t="s">
        <v>573</v>
      </c>
      <c r="D1795" s="2" t="str">
        <f t="shared" si="27"/>
        <v>Error?</v>
      </c>
    </row>
    <row r="1796" spans="1:4" x14ac:dyDescent="0.2">
      <c r="A1796" s="5">
        <v>1735</v>
      </c>
      <c r="B1796" s="138">
        <f>'Tax Sched 23'!F8</f>
        <v>130892.39000000001</v>
      </c>
      <c r="C1796" s="2" t="s">
        <v>573</v>
      </c>
      <c r="D1796" s="2" t="str">
        <f t="shared" si="27"/>
        <v>Error?</v>
      </c>
    </row>
    <row r="1797" spans="1:4" x14ac:dyDescent="0.2">
      <c r="A1797" s="5">
        <v>1736</v>
      </c>
      <c r="B1797" s="138">
        <f>'Tax Sched 23'!F10</f>
        <v>3015.42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68838.789999999994</v>
      </c>
      <c r="C1800" s="2" t="s">
        <v>573</v>
      </c>
      <c r="D1800" s="2" t="str">
        <f t="shared" si="27"/>
        <v>Error?</v>
      </c>
    </row>
    <row r="1801" spans="1:4" x14ac:dyDescent="0.2">
      <c r="A1801" s="5">
        <v>1740</v>
      </c>
      <c r="B1801" s="138">
        <f>'Tax Sched 23'!F12</f>
        <v>1381.65</v>
      </c>
      <c r="C1801" s="2" t="s">
        <v>573</v>
      </c>
      <c r="D1801" s="2" t="str">
        <f t="shared" si="27"/>
        <v>Error?</v>
      </c>
    </row>
    <row r="1802" spans="1:4" x14ac:dyDescent="0.2">
      <c r="A1802" s="5">
        <v>1741</v>
      </c>
      <c r="B1802" s="138">
        <f>'Tax Sched 23'!F14</f>
        <v>1381.65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5023354.8499999996</v>
      </c>
      <c r="C1807" s="2" t="s">
        <v>573</v>
      </c>
      <c r="D1807" s="2" t="str">
        <f t="shared" si="27"/>
        <v>Error?</v>
      </c>
    </row>
    <row r="1808" spans="1:4" x14ac:dyDescent="0.2">
      <c r="A1808" s="5">
        <v>1747</v>
      </c>
      <c r="B1808" s="138">
        <f>'Tax Sched 23'!E4</f>
        <v>6320439</v>
      </c>
      <c r="D1808" s="2" t="str">
        <f t="shared" si="27"/>
        <v>Error?</v>
      </c>
    </row>
    <row r="1809" spans="1:4" x14ac:dyDescent="0.2">
      <c r="A1809" s="5">
        <v>1748</v>
      </c>
      <c r="B1809" s="138">
        <f>'Tax Sched 23'!E5</f>
        <v>912960</v>
      </c>
      <c r="D1809" s="2" t="str">
        <f t="shared" si="27"/>
        <v>Error?</v>
      </c>
    </row>
    <row r="1810" spans="1:4" x14ac:dyDescent="0.2">
      <c r="A1810" s="5">
        <v>1749</v>
      </c>
      <c r="B1810" s="138">
        <f>'Tax Sched 23'!E6</f>
        <v>2004348</v>
      </c>
      <c r="D1810" s="2" t="str">
        <f t="shared" si="27"/>
        <v>Error?</v>
      </c>
    </row>
    <row r="1811" spans="1:4" x14ac:dyDescent="0.2">
      <c r="A1811" s="5">
        <v>1750</v>
      </c>
      <c r="B1811" s="138">
        <f>'Tax Sched 23'!E7</f>
        <v>318462</v>
      </c>
      <c r="D1811" s="2" t="str">
        <f t="shared" si="27"/>
        <v>Error?</v>
      </c>
    </row>
    <row r="1812" spans="1:4" x14ac:dyDescent="0.2">
      <c r="A1812" s="5">
        <v>1751</v>
      </c>
      <c r="B1812" s="138">
        <f>'Tax Sched 23'!E8</f>
        <v>266322</v>
      </c>
      <c r="D1812" s="2" t="str">
        <f t="shared" si="27"/>
        <v>Error?</v>
      </c>
    </row>
    <row r="1813" spans="1:4" x14ac:dyDescent="0.2">
      <c r="A1813" s="5">
        <v>1752</v>
      </c>
      <c r="B1813" s="138">
        <f>'Tax Sched 23'!E10</f>
        <v>6134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140062</v>
      </c>
      <c r="D1816" s="2" t="str">
        <f t="shared" si="27"/>
        <v>Error?</v>
      </c>
    </row>
    <row r="1817" spans="1:4" x14ac:dyDescent="0.2">
      <c r="A1817" s="5">
        <v>1756</v>
      </c>
      <c r="B1817" s="138">
        <f>'Tax Sched 23'!E12</f>
        <v>2811</v>
      </c>
      <c r="D1817" s="2" t="str">
        <f t="shared" si="27"/>
        <v>Error?</v>
      </c>
    </row>
    <row r="1818" spans="1:4" x14ac:dyDescent="0.2">
      <c r="A1818" s="5">
        <v>1757</v>
      </c>
      <c r="B1818" s="138">
        <f>'Tax Sched 23'!E14</f>
        <v>2811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10220991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6560193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2663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2663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27655847</v>
      </c>
      <c r="D2009" s="2" t="str">
        <f t="shared" si="30"/>
        <v>Error?</v>
      </c>
    </row>
    <row r="2010" spans="1:4" x14ac:dyDescent="0.2">
      <c r="A2010" s="5">
        <v>1949</v>
      </c>
      <c r="B2010" s="138">
        <f>'Cap Outlay Deprec 26'!C10</f>
        <v>594124</v>
      </c>
      <c r="D2010" s="2" t="str">
        <f t="shared" si="30"/>
        <v>Error?</v>
      </c>
    </row>
    <row r="2011" spans="1:4" x14ac:dyDescent="0.2">
      <c r="A2011" s="5">
        <v>1950</v>
      </c>
      <c r="B2011" s="138">
        <f>'Cap Outlay Deprec 26'!C12</f>
        <v>2019598</v>
      </c>
      <c r="D2011" s="2" t="str">
        <f t="shared" si="30"/>
        <v>Error?</v>
      </c>
    </row>
    <row r="2012" spans="1:4" x14ac:dyDescent="0.2">
      <c r="A2012" s="5">
        <v>1951</v>
      </c>
      <c r="B2012" s="138">
        <f>'Cap Outlay Deprec 26'!C13</f>
        <v>438933</v>
      </c>
      <c r="D2012" s="2" t="str">
        <f t="shared" si="30"/>
        <v>Error?</v>
      </c>
    </row>
    <row r="2013" spans="1:4" x14ac:dyDescent="0.2">
      <c r="A2013" s="5">
        <v>1952</v>
      </c>
      <c r="B2013" s="138">
        <f>'Cap Outlay Deprec 26'!C16</f>
        <v>30831143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336399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58922</v>
      </c>
      <c r="D2017" s="2" t="str">
        <f t="shared" si="30"/>
        <v>Error?</v>
      </c>
    </row>
    <row r="2018" spans="1:4" x14ac:dyDescent="0.2">
      <c r="A2018" s="5">
        <v>1957</v>
      </c>
      <c r="B2018" s="138">
        <f>'Cap Outlay Deprec 26'!D13</f>
        <v>6995</v>
      </c>
      <c r="D2018" s="2" t="str">
        <f t="shared" si="30"/>
        <v>Error?</v>
      </c>
    </row>
    <row r="2019" spans="1:4" x14ac:dyDescent="0.2">
      <c r="A2019" s="5">
        <v>1958</v>
      </c>
      <c r="B2019" s="138">
        <f>'Cap Outlay Deprec 26'!D16</f>
        <v>402316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152165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152165</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27992246</v>
      </c>
      <c r="C2027" s="2" t="s">
        <v>573</v>
      </c>
      <c r="D2027" s="2" t="str">
        <f t="shared" si="30"/>
        <v>Error?</v>
      </c>
    </row>
    <row r="2028" spans="1:4" x14ac:dyDescent="0.2">
      <c r="A2028" s="5">
        <v>1967</v>
      </c>
      <c r="B2028" s="138">
        <f>'Cap Outlay Deprec 26'!F10</f>
        <v>594124</v>
      </c>
      <c r="C2028" s="2" t="s">
        <v>573</v>
      </c>
      <c r="D2028" s="2" t="str">
        <f t="shared" si="30"/>
        <v>Error?</v>
      </c>
    </row>
    <row r="2029" spans="1:4" x14ac:dyDescent="0.2">
      <c r="A2029" s="5">
        <v>1968</v>
      </c>
      <c r="B2029" s="138">
        <f>'Cap Outlay Deprec 26'!F12</f>
        <v>1926355</v>
      </c>
      <c r="C2029" s="2" t="s">
        <v>573</v>
      </c>
      <c r="D2029" s="2" t="str">
        <f t="shared" si="30"/>
        <v>Error?</v>
      </c>
    </row>
    <row r="2030" spans="1:4" x14ac:dyDescent="0.2">
      <c r="A2030" s="5">
        <v>1969</v>
      </c>
      <c r="B2030" s="138">
        <f>'Cap Outlay Deprec 26'!F13</f>
        <v>445928</v>
      </c>
      <c r="C2030" s="2" t="s">
        <v>573</v>
      </c>
      <c r="D2030" s="2" t="str">
        <f t="shared" si="30"/>
        <v>Error?</v>
      </c>
    </row>
    <row r="2031" spans="1:4" x14ac:dyDescent="0.2">
      <c r="A2031" s="5">
        <v>1970</v>
      </c>
      <c r="B2031" s="138">
        <f>'Cap Outlay Deprec 26'!F16</f>
        <v>31081294</v>
      </c>
      <c r="C2031" s="2" t="s">
        <v>573</v>
      </c>
      <c r="D2031" s="2" t="str">
        <f t="shared" si="30"/>
        <v>Error?</v>
      </c>
    </row>
    <row r="2032" spans="1:4" x14ac:dyDescent="0.2">
      <c r="A2032" s="10">
        <v>1971</v>
      </c>
      <c r="D2032" s="2" t="str">
        <f t="shared" si="30"/>
        <v>OK</v>
      </c>
    </row>
    <row r="2033" spans="1:4" x14ac:dyDescent="0.2">
      <c r="A2033" s="5">
        <v>1972</v>
      </c>
      <c r="B2033" s="138">
        <f>'Cap Outlay Deprec 26'!H8</f>
        <v>14706640</v>
      </c>
      <c r="D2033" s="2" t="str">
        <f t="shared" si="30"/>
        <v>Error?</v>
      </c>
    </row>
    <row r="2034" spans="1:4" x14ac:dyDescent="0.2">
      <c r="A2034" s="5">
        <v>1973</v>
      </c>
      <c r="B2034" s="138">
        <f>'Cap Outlay Deprec 26'!H10</f>
        <v>506921</v>
      </c>
      <c r="D2034" s="2" t="str">
        <f t="shared" si="30"/>
        <v>Error?</v>
      </c>
    </row>
    <row r="2035" spans="1:4" x14ac:dyDescent="0.2">
      <c r="A2035" s="5">
        <v>1974</v>
      </c>
      <c r="B2035" s="138">
        <f>'Cap Outlay Deprec 26'!H12</f>
        <v>1910904</v>
      </c>
      <c r="D2035" s="2" t="str">
        <f t="shared" si="30"/>
        <v>Error?</v>
      </c>
    </row>
    <row r="2036" spans="1:4" x14ac:dyDescent="0.2">
      <c r="A2036" s="5">
        <v>1975</v>
      </c>
      <c r="B2036" s="138">
        <f>'Cap Outlay Deprec 26'!H13</f>
        <v>438471</v>
      </c>
      <c r="D2036" s="2" t="str">
        <f t="shared" si="30"/>
        <v>Error?</v>
      </c>
    </row>
    <row r="2037" spans="1:4" x14ac:dyDescent="0.2">
      <c r="A2037" s="5">
        <v>1976</v>
      </c>
      <c r="B2037" s="138">
        <f>'Cap Outlay Deprec 26'!H16</f>
        <v>17562936</v>
      </c>
      <c r="C2037" s="2" t="s">
        <v>573</v>
      </c>
      <c r="D2037" s="2" t="str">
        <f t="shared" si="30"/>
        <v>Error?</v>
      </c>
    </row>
    <row r="2038" spans="1:4" x14ac:dyDescent="0.2">
      <c r="A2038" s="10">
        <v>1977</v>
      </c>
      <c r="D2038" s="2" t="str">
        <f t="shared" si="30"/>
        <v>OK</v>
      </c>
    </row>
    <row r="2039" spans="1:4" x14ac:dyDescent="0.2">
      <c r="A2039" s="5">
        <v>1978</v>
      </c>
      <c r="B2039" s="138">
        <f>'Cap Outlay Deprec 26'!I8</f>
        <v>575759</v>
      </c>
      <c r="D2039" s="2" t="str">
        <f t="shared" si="30"/>
        <v>Error?</v>
      </c>
    </row>
    <row r="2040" spans="1:4" x14ac:dyDescent="0.2">
      <c r="A2040" s="5">
        <v>1979</v>
      </c>
      <c r="B2040" s="138">
        <f>'Cap Outlay Deprec 26'!I10</f>
        <v>6006</v>
      </c>
      <c r="D2040" s="2" t="str">
        <f t="shared" si="30"/>
        <v>Error?</v>
      </c>
    </row>
    <row r="2041" spans="1:4" x14ac:dyDescent="0.2">
      <c r="A2041" s="5">
        <v>1980</v>
      </c>
      <c r="B2041" s="138">
        <f>'Cap Outlay Deprec 26'!I12</f>
        <v>89649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671414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152165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152165</v>
      </c>
      <c r="C2049" s="2" t="s">
        <v>573</v>
      </c>
      <c r="D2049" s="2" t="str">
        <f t="shared" si="31"/>
        <v>Error?</v>
      </c>
    </row>
    <row r="2050" spans="1:4" x14ac:dyDescent="0.2">
      <c r="A2050" s="10">
        <v>1989</v>
      </c>
      <c r="D2050" s="2" t="str">
        <f t="shared" si="31"/>
        <v>OK</v>
      </c>
    </row>
    <row r="2051" spans="1:4" x14ac:dyDescent="0.2">
      <c r="A2051" s="5">
        <v>1990</v>
      </c>
      <c r="B2051" s="138">
        <f>'Cap Outlay Deprec 26'!K8</f>
        <v>15282399</v>
      </c>
      <c r="C2051" s="2" t="s">
        <v>573</v>
      </c>
      <c r="D2051" s="2" t="str">
        <f t="shared" si="31"/>
        <v>Error?</v>
      </c>
    </row>
    <row r="2052" spans="1:4" x14ac:dyDescent="0.2">
      <c r="A2052" s="5">
        <v>1991</v>
      </c>
      <c r="B2052" s="138">
        <f>'Cap Outlay Deprec 26'!K10</f>
        <v>512927</v>
      </c>
      <c r="C2052" s="2" t="s">
        <v>573</v>
      </c>
      <c r="D2052" s="2" t="str">
        <f t="shared" si="31"/>
        <v>Error?</v>
      </c>
    </row>
    <row r="2053" spans="1:4" x14ac:dyDescent="0.2">
      <c r="A2053" s="5">
        <v>1992</v>
      </c>
      <c r="B2053" s="138">
        <f>'Cap Outlay Deprec 26'!K12</f>
        <v>1848388</v>
      </c>
      <c r="C2053" s="2" t="s">
        <v>573</v>
      </c>
      <c r="D2053" s="2" t="str">
        <f t="shared" si="31"/>
        <v>Error?</v>
      </c>
    </row>
    <row r="2054" spans="1:4" x14ac:dyDescent="0.2">
      <c r="A2054" s="5">
        <v>1993</v>
      </c>
      <c r="B2054" s="138">
        <f>'Cap Outlay Deprec 26'!K13</f>
        <v>438471</v>
      </c>
      <c r="C2054" s="2" t="s">
        <v>573</v>
      </c>
      <c r="D2054" s="2" t="str">
        <f t="shared" si="31"/>
        <v>Error?</v>
      </c>
    </row>
    <row r="2055" spans="1:4" x14ac:dyDescent="0.2">
      <c r="A2055" s="5">
        <v>1994</v>
      </c>
      <c r="B2055" s="138">
        <f>'Cap Outlay Deprec 26'!K16</f>
        <v>18082185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12709847</v>
      </c>
      <c r="C2057" s="2" t="s">
        <v>573</v>
      </c>
      <c r="D2057" s="2" t="str">
        <f t="shared" si="31"/>
        <v>Error?</v>
      </c>
    </row>
    <row r="2058" spans="1:4" x14ac:dyDescent="0.2">
      <c r="A2058" s="5">
        <v>1997</v>
      </c>
      <c r="B2058" s="138">
        <f>'Cap Outlay Deprec 26'!L10</f>
        <v>81197</v>
      </c>
      <c r="C2058" s="2" t="s">
        <v>573</v>
      </c>
      <c r="D2058" s="2" t="str">
        <f t="shared" si="31"/>
        <v>Error?</v>
      </c>
    </row>
    <row r="2059" spans="1:4" x14ac:dyDescent="0.2">
      <c r="A2059" s="5">
        <v>1998</v>
      </c>
      <c r="B2059" s="138">
        <f>'Cap Outlay Deprec 26'!L12</f>
        <v>77967</v>
      </c>
      <c r="C2059" s="2" t="s">
        <v>573</v>
      </c>
      <c r="D2059" s="2" t="str">
        <f t="shared" si="31"/>
        <v>Error?</v>
      </c>
    </row>
    <row r="2060" spans="1:4" x14ac:dyDescent="0.2">
      <c r="A2060" s="5">
        <v>1999</v>
      </c>
      <c r="B2060" s="138">
        <f>'Cap Outlay Deprec 26'!L13</f>
        <v>7457</v>
      </c>
      <c r="C2060" s="2" t="s">
        <v>573</v>
      </c>
      <c r="D2060" s="2" t="str">
        <f t="shared" si="31"/>
        <v>Error?</v>
      </c>
    </row>
    <row r="2061" spans="1:4" x14ac:dyDescent="0.2">
      <c r="A2061" s="5">
        <v>2000</v>
      </c>
      <c r="B2061" s="138">
        <f>'Cap Outlay Deprec 26'!L16</f>
        <v>12999109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7974</v>
      </c>
      <c r="C2088" s="2" t="s">
        <v>573</v>
      </c>
      <c r="D2088" s="2" t="str">
        <f t="shared" si="31"/>
        <v>Error?</v>
      </c>
    </row>
    <row r="2089" spans="1:4" x14ac:dyDescent="0.2">
      <c r="A2089" s="5">
        <v>2028</v>
      </c>
      <c r="B2089" s="138">
        <f>'Expenditures 15-22'!K92</f>
        <v>1178214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6718409</v>
      </c>
      <c r="C2551" s="2" t="s">
        <v>573</v>
      </c>
      <c r="D2551" s="2" t="str">
        <f t="shared" si="38"/>
        <v>Error?</v>
      </c>
    </row>
    <row r="2552" spans="1:4" x14ac:dyDescent="0.2">
      <c r="A2552" s="10">
        <v>2491</v>
      </c>
      <c r="D2552" s="2" t="str">
        <f t="shared" si="38"/>
        <v>OK</v>
      </c>
    </row>
    <row r="2553" spans="1:4" x14ac:dyDescent="0.2">
      <c r="A2553" s="5">
        <v>2492</v>
      </c>
      <c r="B2553" s="138">
        <f>'Acct Summary 7-8'!C6</f>
        <v>6112619</v>
      </c>
      <c r="C2553" s="2" t="s">
        <v>573</v>
      </c>
      <c r="D2553" s="2" t="str">
        <f t="shared" si="38"/>
        <v>Error?</v>
      </c>
    </row>
    <row r="2554" spans="1:4" x14ac:dyDescent="0.2">
      <c r="A2554" s="5">
        <v>2493</v>
      </c>
      <c r="B2554" s="138">
        <f>'Acct Summary 7-8'!C7</f>
        <v>1036996</v>
      </c>
      <c r="C2554" s="2" t="s">
        <v>573</v>
      </c>
      <c r="D2554" s="2" t="str">
        <f t="shared" si="38"/>
        <v>Error?</v>
      </c>
    </row>
    <row r="2555" spans="1:4" x14ac:dyDescent="0.2">
      <c r="A2555" s="5">
        <v>2494</v>
      </c>
      <c r="B2555" s="138">
        <f>'Acct Summary 7-8'!C8</f>
        <v>13868024</v>
      </c>
      <c r="C2555" s="2" t="s">
        <v>573</v>
      </c>
      <c r="D2555" s="2" t="str">
        <f t="shared" si="38"/>
        <v>Error?</v>
      </c>
    </row>
    <row r="2556" spans="1:4" x14ac:dyDescent="0.2">
      <c r="A2556" s="5">
        <v>2495</v>
      </c>
      <c r="B2556" s="138">
        <f>'Acct Summary 7-8'!C12</f>
        <v>7499676</v>
      </c>
      <c r="C2556" s="2" t="s">
        <v>573</v>
      </c>
      <c r="D2556" s="2" t="str">
        <f t="shared" si="38"/>
        <v>Error?</v>
      </c>
    </row>
    <row r="2557" spans="1:4" x14ac:dyDescent="0.2">
      <c r="A2557" s="5">
        <v>2496</v>
      </c>
      <c r="B2557" s="138">
        <f>'Acct Summary 7-8'!C13</f>
        <v>4358364</v>
      </c>
      <c r="C2557" s="2" t="s">
        <v>573</v>
      </c>
      <c r="D2557" s="2" t="str">
        <f t="shared" si="38"/>
        <v>Error?</v>
      </c>
    </row>
    <row r="2558" spans="1:4" x14ac:dyDescent="0.2">
      <c r="A2558" s="5">
        <v>2497</v>
      </c>
      <c r="B2558" s="138">
        <f>'Acct Summary 7-8'!C14</f>
        <v>217991</v>
      </c>
      <c r="C2558" s="2" t="s">
        <v>573</v>
      </c>
      <c r="D2558" s="2" t="str">
        <f t="shared" si="38"/>
        <v>Error?</v>
      </c>
    </row>
    <row r="2559" spans="1:4" x14ac:dyDescent="0.2">
      <c r="A2559" s="5">
        <v>2498</v>
      </c>
      <c r="B2559" s="138">
        <f>'Acct Summary 7-8'!C15</f>
        <v>1186188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13262219</v>
      </c>
      <c r="C2561" s="2" t="s">
        <v>573</v>
      </c>
      <c r="D2561" s="2" t="str">
        <f t="shared" si="39"/>
        <v>Error?</v>
      </c>
    </row>
    <row r="2562" spans="1:4" x14ac:dyDescent="0.2">
      <c r="A2562" s="5">
        <v>2501</v>
      </c>
      <c r="B2562" s="138">
        <f>'Acct Summary 7-8'!C20</f>
        <v>605805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877306</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977306</v>
      </c>
      <c r="C2568" s="2" t="s">
        <v>573</v>
      </c>
      <c r="D2568" s="2" t="str">
        <f t="shared" si="39"/>
        <v>Error?</v>
      </c>
    </row>
    <row r="2569" spans="1:4" x14ac:dyDescent="0.2">
      <c r="A2569" s="5">
        <v>2508</v>
      </c>
      <c r="B2569" s="138">
        <f>'Acct Summary 7-8'!D13</f>
        <v>976107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976107</v>
      </c>
      <c r="C2573" s="2" t="s">
        <v>573</v>
      </c>
      <c r="D2573" s="2" t="str">
        <f t="shared" si="39"/>
        <v>Error?</v>
      </c>
    </row>
    <row r="2574" spans="1:4" x14ac:dyDescent="0.2">
      <c r="A2574" s="5">
        <v>2513</v>
      </c>
      <c r="B2574" s="138">
        <f>'Acct Summary 7-8'!D20</f>
        <v>1199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331933</v>
      </c>
      <c r="C2591" s="2" t="s">
        <v>573</v>
      </c>
      <c r="D2591" s="2" t="str">
        <f t="shared" si="39"/>
        <v>Error?</v>
      </c>
    </row>
    <row r="2592" spans="1:4" x14ac:dyDescent="0.2">
      <c r="A2592" s="10">
        <v>2531</v>
      </c>
      <c r="D2592" s="2" t="str">
        <f t="shared" si="39"/>
        <v>OK</v>
      </c>
    </row>
    <row r="2593" spans="1:4" x14ac:dyDescent="0.2">
      <c r="A2593" s="5">
        <v>2532</v>
      </c>
      <c r="B2593" s="138">
        <f>'Acct Summary 7-8'!F6</f>
        <v>363030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694963</v>
      </c>
      <c r="C2595" s="2" t="s">
        <v>573</v>
      </c>
      <c r="D2595" s="2" t="str">
        <f t="shared" si="39"/>
        <v>Error?</v>
      </c>
    </row>
    <row r="2596" spans="1:4" x14ac:dyDescent="0.2">
      <c r="A2596" s="5">
        <v>2535</v>
      </c>
      <c r="B2596" s="138">
        <f>'Acct Summary 7-8'!F13</f>
        <v>789005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789005</v>
      </c>
      <c r="C2600" s="2" t="s">
        <v>573</v>
      </c>
      <c r="D2600" s="2" t="str">
        <f t="shared" si="39"/>
        <v>Error?</v>
      </c>
    </row>
    <row r="2601" spans="1:4" x14ac:dyDescent="0.2">
      <c r="A2601" s="5">
        <v>2540</v>
      </c>
      <c r="B2601" s="138">
        <f>'Acct Summary 7-8'!F20</f>
        <v>-94042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490930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490930</v>
      </c>
      <c r="C2606" s="2" t="s">
        <v>573</v>
      </c>
      <c r="D2606" s="2" t="str">
        <f t="shared" si="39"/>
        <v>Error?</v>
      </c>
    </row>
    <row r="2607" spans="1:4" x14ac:dyDescent="0.2">
      <c r="A2607" s="5">
        <v>2546</v>
      </c>
      <c r="B2607" s="138">
        <f>'Acct Summary 7-8'!G12</f>
        <v>125379</v>
      </c>
      <c r="C2607" s="2" t="s">
        <v>573</v>
      </c>
      <c r="D2607" s="2" t="str">
        <f t="shared" si="39"/>
        <v>Error?</v>
      </c>
    </row>
    <row r="2608" spans="1:4" x14ac:dyDescent="0.2">
      <c r="A2608" s="5">
        <v>2547</v>
      </c>
      <c r="B2608" s="138">
        <f>'Acct Summary 7-8'!G13</f>
        <v>202676</v>
      </c>
      <c r="C2608" s="2" t="s">
        <v>573</v>
      </c>
      <c r="D2608" s="2" t="str">
        <f t="shared" si="39"/>
        <v>Error?</v>
      </c>
    </row>
    <row r="2609" spans="1:4" x14ac:dyDescent="0.2">
      <c r="A2609" s="5">
        <v>2548</v>
      </c>
      <c r="B2609" s="138">
        <f>'Acct Summary 7-8'!G14</f>
        <v>15877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343932</v>
      </c>
      <c r="C2612" s="2" t="s">
        <v>573</v>
      </c>
      <c r="D2612" s="2" t="str">
        <f t="shared" si="39"/>
        <v>Error?</v>
      </c>
    </row>
    <row r="2613" spans="1:4" x14ac:dyDescent="0.2">
      <c r="A2613" s="5">
        <v>2552</v>
      </c>
      <c r="B2613" s="138">
        <f>'Acct Summary 7-8'!G20</f>
        <v>146998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1920094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1920094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1955488</v>
      </c>
      <c r="C2634" s="2" t="s">
        <v>573</v>
      </c>
      <c r="D2634" s="2" t="str">
        <f t="shared" si="40"/>
        <v>Error?</v>
      </c>
    </row>
    <row r="2635" spans="1:4" x14ac:dyDescent="0.2">
      <c r="A2635" s="5">
        <v>2574</v>
      </c>
      <c r="B2635" s="138">
        <f>'Acct Summary 7-8'!E17</f>
        <v>1955488</v>
      </c>
      <c r="C2635" s="2" t="s">
        <v>573</v>
      </c>
      <c r="D2635" s="2" t="str">
        <f t="shared" si="40"/>
        <v>Error?</v>
      </c>
    </row>
    <row r="2636" spans="1:4" x14ac:dyDescent="0.2">
      <c r="A2636" s="5">
        <v>2575</v>
      </c>
      <c r="B2636" s="138">
        <f>'Acct Summary 7-8'!E20</f>
        <v>-35394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93638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93638</v>
      </c>
      <c r="C2658" s="2" t="s">
        <v>573</v>
      </c>
      <c r="D2658" s="2" t="str">
        <f t="shared" si="40"/>
        <v>Error?</v>
      </c>
    </row>
    <row r="2659" spans="1:4" x14ac:dyDescent="0.2">
      <c r="A2659" s="5">
        <v>2598</v>
      </c>
      <c r="B2659" s="138">
        <f>'Acct Summary 7-8'!H13</f>
        <v>199716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199716</v>
      </c>
      <c r="C2661" s="2" t="s">
        <v>573</v>
      </c>
      <c r="D2661" s="2" t="str">
        <f t="shared" si="40"/>
        <v>Error?</v>
      </c>
    </row>
    <row r="2662" spans="1:4" x14ac:dyDescent="0.2">
      <c r="A2662" s="5">
        <v>2601</v>
      </c>
      <c r="B2662" s="138">
        <f>'Acct Summary 7-8'!H20</f>
        <v>-106078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170612</v>
      </c>
      <c r="D2718" s="2" t="str">
        <f t="shared" si="41"/>
        <v>Error?</v>
      </c>
    </row>
    <row r="2719" spans="1:4" x14ac:dyDescent="0.2">
      <c r="A2719" s="5">
        <v>2658</v>
      </c>
      <c r="B2719" s="138">
        <f>'Expenditures 15-22'!D51</f>
        <v>42964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1586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509</v>
      </c>
      <c r="D2723" s="2" t="str">
        <f t="shared" si="41"/>
        <v>Error?</v>
      </c>
    </row>
    <row r="2724" spans="1:4" x14ac:dyDescent="0.2">
      <c r="A2724" s="5">
        <v>2663</v>
      </c>
      <c r="B2724" s="138">
        <f>'Expenditures 15-22'!K51</f>
        <v>220015</v>
      </c>
      <c r="C2724" s="2" t="s">
        <v>573</v>
      </c>
      <c r="D2724" s="2" t="str">
        <f t="shared" si="41"/>
        <v>Error?</v>
      </c>
    </row>
    <row r="2725" spans="1:4" x14ac:dyDescent="0.2">
      <c r="A2725" s="5">
        <v>2664</v>
      </c>
      <c r="B2725" s="138">
        <f>'Expenditures 15-22'!D247</f>
        <v>10982</v>
      </c>
      <c r="D2725" s="2" t="str">
        <f t="shared" si="41"/>
        <v>Error?</v>
      </c>
    </row>
    <row r="2726" spans="1:4" x14ac:dyDescent="0.2">
      <c r="A2726" s="5">
        <v>2665</v>
      </c>
      <c r="B2726" s="138">
        <f>'Expenditures 15-22'!K247</f>
        <v>10982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7974</v>
      </c>
      <c r="C2789" s="2" t="s">
        <v>573</v>
      </c>
      <c r="D2789" s="2" t="str">
        <f t="shared" si="42"/>
        <v>Error?</v>
      </c>
    </row>
    <row r="2790" spans="1:4" x14ac:dyDescent="0.2">
      <c r="A2790" s="5">
        <v>2729</v>
      </c>
      <c r="B2790" s="138">
        <f>'Expenditures 15-22'!E102</f>
        <v>7974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5292483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109447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5292483</v>
      </c>
      <c r="D2912" s="2" t="str">
        <f t="shared" si="44"/>
        <v>Error?</v>
      </c>
    </row>
    <row r="2913" spans="1:4" x14ac:dyDescent="0.2">
      <c r="A2913" s="5">
        <v>2852</v>
      </c>
      <c r="B2913" s="138">
        <f>'Assets-Liab 5-6'!I41</f>
        <v>5292483</v>
      </c>
      <c r="C2913" s="2" t="s">
        <v>573</v>
      </c>
      <c r="D2913" s="2" t="str">
        <f t="shared" si="44"/>
        <v>Error?</v>
      </c>
    </row>
    <row r="2914" spans="1:4" x14ac:dyDescent="0.2">
      <c r="A2914" s="5">
        <v>2853</v>
      </c>
      <c r="B2914" s="138">
        <f>'Assets-Liab 5-6'!L33</f>
        <v>109447</v>
      </c>
      <c r="D2914" s="2" t="str">
        <f t="shared" si="44"/>
        <v>Error?</v>
      </c>
    </row>
    <row r="2915" spans="1:4" x14ac:dyDescent="0.2">
      <c r="A2915" s="10">
        <v>2854</v>
      </c>
      <c r="D2915" s="2" t="str">
        <f t="shared" si="44"/>
        <v>OK</v>
      </c>
    </row>
    <row r="2916" spans="1:4" x14ac:dyDescent="0.2">
      <c r="A2916" s="5">
        <v>2855</v>
      </c>
      <c r="B2916" s="138">
        <f>'Assets-Liab 5-6'!L34</f>
        <v>109447</v>
      </c>
      <c r="C2916" s="2" t="s">
        <v>573</v>
      </c>
      <c r="D2916" s="2" t="str">
        <f t="shared" si="44"/>
        <v>Error?</v>
      </c>
    </row>
    <row r="2917" spans="1:4" x14ac:dyDescent="0.2">
      <c r="A2917" s="5">
        <v>2856</v>
      </c>
      <c r="B2917" s="138">
        <f>'Assets-Liab 5-6'!L41</f>
        <v>109447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7974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7974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77656</v>
      </c>
      <c r="D3055" s="2" t="str">
        <f t="shared" si="46"/>
        <v>Error?</v>
      </c>
    </row>
    <row r="3056" spans="1:4" x14ac:dyDescent="0.2">
      <c r="A3056" s="5">
        <v>2995</v>
      </c>
      <c r="B3056" s="138">
        <f>'Expenditures 15-22'!D10</f>
        <v>23870</v>
      </c>
      <c r="D3056" s="2" t="str">
        <f t="shared" si="46"/>
        <v>Error?</v>
      </c>
    </row>
    <row r="3057" spans="1:4" x14ac:dyDescent="0.2">
      <c r="A3057" s="5">
        <v>2996</v>
      </c>
      <c r="B3057" s="138">
        <f>'Expenditures 15-22'!E10</f>
        <v>2500</v>
      </c>
      <c r="D3057" s="2" t="str">
        <f t="shared" si="46"/>
        <v>Error?</v>
      </c>
    </row>
    <row r="3058" spans="1:4" x14ac:dyDescent="0.2">
      <c r="A3058" s="5">
        <v>2997</v>
      </c>
      <c r="B3058" s="138">
        <f>'Expenditures 15-22'!F10</f>
        <v>127699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231725</v>
      </c>
      <c r="C3062" s="2" t="s">
        <v>573</v>
      </c>
      <c r="D3062" s="2" t="str">
        <f t="shared" si="46"/>
        <v>Error?</v>
      </c>
    </row>
    <row r="3063" spans="1:4" x14ac:dyDescent="0.2">
      <c r="A3063" s="10">
        <v>3002</v>
      </c>
      <c r="D3063" s="2" t="str">
        <f t="shared" si="46"/>
        <v>OK</v>
      </c>
    </row>
    <row r="3064" spans="1:4" x14ac:dyDescent="0.2">
      <c r="A3064" s="5">
        <v>3003</v>
      </c>
      <c r="B3064" s="138">
        <f>'Expenditures 15-22'!D219</f>
        <v>979</v>
      </c>
      <c r="D3064" s="2" t="str">
        <f t="shared" si="46"/>
        <v>Error?</v>
      </c>
    </row>
    <row r="3065" spans="1:4" x14ac:dyDescent="0.2">
      <c r="A3065" s="5">
        <v>3004</v>
      </c>
      <c r="B3065" s="138">
        <f>'Expenditures 15-22'!K219</f>
        <v>979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130073</v>
      </c>
      <c r="C3225" s="2" t="s">
        <v>573</v>
      </c>
      <c r="D3225" s="2" t="str">
        <f t="shared" si="49"/>
        <v>Error?</v>
      </c>
    </row>
    <row r="3226" spans="1:4" x14ac:dyDescent="0.2">
      <c r="A3226" s="5">
        <v>3165</v>
      </c>
      <c r="B3226" s="138">
        <f>'Acct Summary 7-8'!I8</f>
        <v>130073</v>
      </c>
      <c r="C3226" s="2" t="s">
        <v>573</v>
      </c>
      <c r="D3226" s="2" t="str">
        <f t="shared" si="49"/>
        <v>Error?</v>
      </c>
    </row>
    <row r="3227" spans="1:4" x14ac:dyDescent="0.2">
      <c r="A3227" s="5">
        <v>3166</v>
      </c>
      <c r="B3227" s="138">
        <f>'Acct Summary 7-8'!I20</f>
        <v>130073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507800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507800</v>
      </c>
      <c r="C3232" s="2" t="s">
        <v>573</v>
      </c>
      <c r="D3232" s="2" t="str">
        <f t="shared" si="49"/>
        <v>Error?</v>
      </c>
    </row>
    <row r="3233" spans="1:4" x14ac:dyDescent="0.2">
      <c r="A3233" s="5">
        <v>3172</v>
      </c>
      <c r="B3233" s="138">
        <f>'Acct Summary 7-8'!C78</f>
        <v>1113605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1199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-94042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146998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-35394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250000</v>
      </c>
      <c r="C3299" s="2" t="s">
        <v>573</v>
      </c>
      <c r="D3299" s="2" t="str">
        <f t="shared" si="50"/>
        <v>Error?</v>
      </c>
    </row>
    <row r="3300" spans="1:4" x14ac:dyDescent="0.2">
      <c r="A3300" s="5">
        <v>3239</v>
      </c>
      <c r="B3300" s="138">
        <f>'Acct Summary 7-8'!H78</f>
        <v>143922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750000</v>
      </c>
      <c r="C3318" s="2" t="s">
        <v>573</v>
      </c>
      <c r="D3318" s="2" t="str">
        <f t="shared" si="50"/>
        <v>Error?</v>
      </c>
    </row>
    <row r="3319" spans="1:4" x14ac:dyDescent="0.2">
      <c r="A3319" s="5">
        <v>3258</v>
      </c>
      <c r="B3319" s="138">
        <f>'Acct Summary 7-8'!I77</f>
        <v>-750000</v>
      </c>
      <c r="C3319" s="2" t="s">
        <v>573</v>
      </c>
      <c r="D3319" s="2" t="str">
        <f t="shared" si="50"/>
        <v>Error?</v>
      </c>
    </row>
    <row r="3320" spans="1:4" x14ac:dyDescent="0.2">
      <c r="A3320" s="5">
        <v>3259</v>
      </c>
      <c r="B3320" s="138">
        <f>'Acct Summary 7-8'!I78</f>
        <v>-619927</v>
      </c>
      <c r="C3320" s="2" t="s">
        <v>573</v>
      </c>
      <c r="D3320" s="2" t="str">
        <f t="shared" si="50"/>
        <v>Error?</v>
      </c>
    </row>
    <row r="3321" spans="1:4" x14ac:dyDescent="0.2">
      <c r="A3321" s="5">
        <v>3260</v>
      </c>
      <c r="B3321" s="138">
        <f>'Acct Summary 7-8'!I79</f>
        <v>5912410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5292483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873223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170668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24741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1124990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57623</v>
      </c>
      <c r="D3387" s="2" t="str">
        <f t="shared" si="51"/>
        <v>Error?</v>
      </c>
    </row>
    <row r="3388" spans="1:4" x14ac:dyDescent="0.2">
      <c r="A3388" s="5">
        <v>3327</v>
      </c>
      <c r="B3388" s="138">
        <f>'Expenditures 15-22'!D217</f>
        <v>55787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57623</v>
      </c>
      <c r="C3390" s="2" t="s">
        <v>573</v>
      </c>
      <c r="D3390" s="2" t="str">
        <f t="shared" si="51"/>
        <v>Error?</v>
      </c>
    </row>
    <row r="3391" spans="1:4" x14ac:dyDescent="0.2">
      <c r="A3391" s="5">
        <v>3330</v>
      </c>
      <c r="B3391" s="138">
        <f>'Expenditures 15-22'!K217</f>
        <v>55787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5339938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344806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1529679</v>
      </c>
      <c r="D3417" s="2" t="str">
        <f t="shared" si="52"/>
        <v>Error?</v>
      </c>
    </row>
    <row r="3418" spans="1:4" x14ac:dyDescent="0.2">
      <c r="A3418" s="10">
        <v>3357</v>
      </c>
      <c r="D3418" s="2" t="str">
        <f t="shared" si="52"/>
        <v>OK</v>
      </c>
    </row>
    <row r="3419" spans="1:4" x14ac:dyDescent="0.2">
      <c r="A3419" s="5">
        <v>3358</v>
      </c>
      <c r="B3419" s="138">
        <f>'Assets-Liab 5-6'!F4</f>
        <v>379576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738382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772028</v>
      </c>
      <c r="D3425" s="2" t="str">
        <f t="shared" si="52"/>
        <v>Error?</v>
      </c>
    </row>
    <row r="3426" spans="1:4" x14ac:dyDescent="0.2">
      <c r="A3426" s="10">
        <v>3365</v>
      </c>
      <c r="D3426" s="2" t="str">
        <f t="shared" si="52"/>
        <v>OK</v>
      </c>
    </row>
    <row r="3427" spans="1:4" x14ac:dyDescent="0.2">
      <c r="A3427" s="5">
        <v>3366</v>
      </c>
      <c r="B3427" s="138">
        <f>'Assets-Liab 5-6'!I4</f>
        <v>5292483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109447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230065</v>
      </c>
      <c r="C3446" s="2" t="s">
        <v>573</v>
      </c>
      <c r="D3446" s="2" t="str">
        <f t="shared" si="52"/>
        <v>Error?</v>
      </c>
    </row>
    <row r="3447" spans="1:4" x14ac:dyDescent="0.2">
      <c r="A3447" s="5">
        <v>3386</v>
      </c>
      <c r="B3447" s="138">
        <f>'Tax Sched 23'!D16</f>
        <v>104640.84</v>
      </c>
      <c r="C3447" s="2" t="s">
        <v>573</v>
      </c>
      <c r="D3447" s="2" t="str">
        <f t="shared" si="52"/>
        <v>Error?</v>
      </c>
    </row>
    <row r="3448" spans="1:4" x14ac:dyDescent="0.2">
      <c r="A3448" s="5">
        <v>3387</v>
      </c>
      <c r="B3448" s="138">
        <f>'Tax Sched 23'!C16</f>
        <v>125424.16</v>
      </c>
      <c r="D3448" s="2" t="str">
        <f t="shared" si="52"/>
        <v>Error?</v>
      </c>
    </row>
    <row r="3449" spans="1:4" x14ac:dyDescent="0.2">
      <c r="A3449" s="5">
        <v>3388</v>
      </c>
      <c r="B3449" s="138">
        <f>'Tax Sched 23'!F16</f>
        <v>121217.84</v>
      </c>
      <c r="C3449" s="2" t="s">
        <v>573</v>
      </c>
      <c r="D3449" s="2" t="str">
        <f t="shared" si="52"/>
        <v>Error?</v>
      </c>
    </row>
    <row r="3450" spans="1:4" x14ac:dyDescent="0.2">
      <c r="A3450" s="5">
        <v>3389</v>
      </c>
      <c r="B3450" s="138">
        <f>'Tax Sched 23'!E16</f>
        <v>246642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7800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64242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64242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64242</v>
      </c>
      <c r="D3567" s="2" t="str">
        <f t="shared" si="54"/>
        <v>Error?</v>
      </c>
    </row>
    <row r="3568" spans="1:4" x14ac:dyDescent="0.2">
      <c r="A3568" s="5">
        <v>3507</v>
      </c>
      <c r="B3568" s="138">
        <f>'Assets-Liab 5-6'!K41</f>
        <v>64242</v>
      </c>
      <c r="C3568" s="2" t="s">
        <v>573</v>
      </c>
      <c r="D3568" s="2" t="str">
        <f t="shared" si="54"/>
        <v>Error?</v>
      </c>
    </row>
    <row r="3569" spans="1:4" x14ac:dyDescent="0.2">
      <c r="A3569" s="5">
        <v>3508</v>
      </c>
      <c r="B3569" s="138">
        <f>'Acct Summary 7-8'!K4</f>
        <v>6196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6196</v>
      </c>
      <c r="C3571" s="2" t="s">
        <v>573</v>
      </c>
      <c r="D3571" s="2" t="str">
        <f t="shared" si="54"/>
        <v>Error?</v>
      </c>
    </row>
    <row r="3572" spans="1:4" x14ac:dyDescent="0.2">
      <c r="A3572" s="5">
        <v>3511</v>
      </c>
      <c r="B3572" s="138">
        <f>'Acct Summary 7-8'!K13</f>
        <v>167401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167401</v>
      </c>
      <c r="C3575" s="2" t="s">
        <v>573</v>
      </c>
      <c r="D3575" s="2" t="str">
        <f t="shared" si="54"/>
        <v>Error?</v>
      </c>
    </row>
    <row r="3576" spans="1:4" x14ac:dyDescent="0.2">
      <c r="A3576" s="5">
        <v>3515</v>
      </c>
      <c r="B3576" s="138">
        <f>'Acct Summary 7-8'!K20</f>
        <v>-161205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-161205</v>
      </c>
      <c r="C3588" s="2" t="s">
        <v>573</v>
      </c>
      <c r="D3588" s="2" t="str">
        <f t="shared" si="55"/>
        <v>Error?</v>
      </c>
    </row>
    <row r="3589" spans="1:4" x14ac:dyDescent="0.2">
      <c r="A3589" s="5">
        <v>3528</v>
      </c>
      <c r="B3589" s="138">
        <f>'Acct Summary 7-8'!K79</f>
        <v>225447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64242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334</v>
      </c>
      <c r="D3631" s="2" t="str">
        <f t="shared" si="55"/>
        <v>Error?</v>
      </c>
    </row>
    <row r="3632" spans="1:4" x14ac:dyDescent="0.2">
      <c r="A3632" s="5">
        <v>3571</v>
      </c>
      <c r="B3632" s="138">
        <f>'Expenditures 15-22'!E349</f>
        <v>167067</v>
      </c>
      <c r="D3632" s="2" t="str">
        <f t="shared" si="55"/>
        <v>Error?</v>
      </c>
    </row>
    <row r="3633" spans="1:4" x14ac:dyDescent="0.2">
      <c r="A3633" s="5">
        <v>3572</v>
      </c>
      <c r="B3633" s="138">
        <f>'Expenditures 15-22'!E350</f>
        <v>167401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167401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334</v>
      </c>
      <c r="C3668" s="2" t="s">
        <v>573</v>
      </c>
      <c r="D3668" s="2" t="str">
        <f t="shared" si="56"/>
        <v>Error?</v>
      </c>
    </row>
    <row r="3669" spans="1:4" x14ac:dyDescent="0.2">
      <c r="A3669" s="5">
        <v>3608</v>
      </c>
      <c r="B3669" s="138">
        <f>'Expenditures 15-22'!K349</f>
        <v>167067</v>
      </c>
      <c r="C3669" s="2" t="s">
        <v>573</v>
      </c>
      <c r="D3669" s="2" t="str">
        <f t="shared" si="56"/>
        <v>Error?</v>
      </c>
    </row>
    <row r="3670" spans="1:4" x14ac:dyDescent="0.2">
      <c r="A3670" s="5">
        <v>3609</v>
      </c>
      <c r="B3670" s="138">
        <f>'Expenditures 15-22'!K350</f>
        <v>167401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167401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167401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-161205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335430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4831623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18699647</v>
      </c>
      <c r="C4122" s="2" t="s">
        <v>573</v>
      </c>
      <c r="D4122" s="2" t="str">
        <f t="shared" si="63"/>
        <v>Error?</v>
      </c>
    </row>
    <row r="4123" spans="1:4" x14ac:dyDescent="0.2">
      <c r="A4123" s="5">
        <v>4062</v>
      </c>
      <c r="B4123" s="138">
        <f>'Acct Summary 7-8'!D10</f>
        <v>977306</v>
      </c>
      <c r="C4123" s="2" t="s">
        <v>573</v>
      </c>
      <c r="D4123" s="2" t="str">
        <f t="shared" si="63"/>
        <v>Error?</v>
      </c>
    </row>
    <row r="4124" spans="1:4" x14ac:dyDescent="0.2">
      <c r="A4124" s="5">
        <v>4063</v>
      </c>
      <c r="B4124" s="138">
        <f>'Acct Summary 7-8'!E10</f>
        <v>1920094</v>
      </c>
      <c r="C4124" s="2" t="s">
        <v>573</v>
      </c>
      <c r="D4124" s="2" t="str">
        <f t="shared" si="63"/>
        <v>Error?</v>
      </c>
    </row>
    <row r="4125" spans="1:4" x14ac:dyDescent="0.2">
      <c r="A4125" s="5">
        <v>4064</v>
      </c>
      <c r="B4125" s="138">
        <f>'Acct Summary 7-8'!F10</f>
        <v>694963</v>
      </c>
      <c r="C4125" s="2" t="s">
        <v>573</v>
      </c>
      <c r="D4125" s="2" t="str">
        <f t="shared" si="63"/>
        <v>Error?</v>
      </c>
    </row>
    <row r="4126" spans="1:4" x14ac:dyDescent="0.2">
      <c r="A4126" s="5">
        <v>4065</v>
      </c>
      <c r="B4126" s="138">
        <f>'Acct Summary 7-8'!G10</f>
        <v>490930</v>
      </c>
      <c r="C4126" s="2" t="s">
        <v>573</v>
      </c>
      <c r="D4126" s="2" t="str">
        <f t="shared" si="63"/>
        <v>Error?</v>
      </c>
    </row>
    <row r="4127" spans="1:4" x14ac:dyDescent="0.2">
      <c r="A4127" s="5">
        <v>4066</v>
      </c>
      <c r="B4127" s="138">
        <f>'Acct Summary 7-8'!H10</f>
        <v>93638</v>
      </c>
      <c r="C4127" s="2" t="s">
        <v>573</v>
      </c>
      <c r="D4127" s="2" t="str">
        <f t="shared" si="63"/>
        <v>Error?</v>
      </c>
    </row>
    <row r="4128" spans="1:4" x14ac:dyDescent="0.2">
      <c r="A4128" s="5">
        <v>4067</v>
      </c>
      <c r="B4128" s="138">
        <f>'Acct Summary 7-8'!I10</f>
        <v>130073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6196</v>
      </c>
      <c r="C4130" s="2" t="s">
        <v>573</v>
      </c>
      <c r="D4130" s="2" t="str">
        <f t="shared" si="63"/>
        <v>Error?</v>
      </c>
    </row>
    <row r="4131" spans="1:4" x14ac:dyDescent="0.2">
      <c r="A4131" s="5">
        <v>4070</v>
      </c>
      <c r="B4131" s="138">
        <f>'Acct Summary 7-8'!C18</f>
        <v>4831623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18093842</v>
      </c>
      <c r="C4136" s="2" t="s">
        <v>573</v>
      </c>
      <c r="D4136" s="2" t="str">
        <f t="shared" si="63"/>
        <v>Error?</v>
      </c>
    </row>
    <row r="4137" spans="1:4" x14ac:dyDescent="0.2">
      <c r="A4137" s="5">
        <v>4076</v>
      </c>
      <c r="B4137" s="138">
        <f>'Acct Summary 7-8'!D19</f>
        <v>976107</v>
      </c>
      <c r="C4137" s="2" t="s">
        <v>573</v>
      </c>
      <c r="D4137" s="2" t="str">
        <f t="shared" si="63"/>
        <v>Error?</v>
      </c>
    </row>
    <row r="4138" spans="1:4" x14ac:dyDescent="0.2">
      <c r="A4138" s="5">
        <v>4077</v>
      </c>
      <c r="B4138" s="138">
        <f>'Acct Summary 7-8'!E19</f>
        <v>1955488</v>
      </c>
      <c r="C4138" s="2" t="s">
        <v>573</v>
      </c>
      <c r="D4138" s="2" t="str">
        <f t="shared" si="63"/>
        <v>Error?</v>
      </c>
    </row>
    <row r="4139" spans="1:4" x14ac:dyDescent="0.2">
      <c r="A4139" s="5">
        <v>4078</v>
      </c>
      <c r="B4139" s="138">
        <f>'Acct Summary 7-8'!F19</f>
        <v>789005</v>
      </c>
      <c r="C4139" s="2" t="s">
        <v>573</v>
      </c>
      <c r="D4139" s="2" t="str">
        <f t="shared" si="63"/>
        <v>Error?</v>
      </c>
    </row>
    <row r="4140" spans="1:4" x14ac:dyDescent="0.2">
      <c r="A4140" s="5">
        <v>4079</v>
      </c>
      <c r="B4140" s="138">
        <f>'Acct Summary 7-8'!G19</f>
        <v>343932</v>
      </c>
      <c r="C4140" s="2" t="s">
        <v>573</v>
      </c>
      <c r="D4140" s="2" t="str">
        <f t="shared" si="63"/>
        <v>Error?</v>
      </c>
    </row>
    <row r="4141" spans="1:4" x14ac:dyDescent="0.2">
      <c r="A4141" s="5">
        <v>4080</v>
      </c>
      <c r="B4141" s="138">
        <f>'Acct Summary 7-8'!H19</f>
        <v>199716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167401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5507123</v>
      </c>
      <c r="C4171" s="2" t="s">
        <v>573</v>
      </c>
      <c r="D4171" s="2" t="str">
        <f t="shared" si="64"/>
        <v>Error?</v>
      </c>
    </row>
    <row r="4172" spans="1:4" x14ac:dyDescent="0.2">
      <c r="A4172" s="5">
        <v>4111</v>
      </c>
      <c r="B4172" s="138">
        <f>'Short-Term Long-Term Debt 24'!J49</f>
        <v>3977444</v>
      </c>
      <c r="C4172" s="2" t="s">
        <v>573</v>
      </c>
      <c r="D4172" s="2" t="str">
        <f t="shared" si="64"/>
        <v>Error?</v>
      </c>
    </row>
    <row r="4173" spans="1:4" x14ac:dyDescent="0.2">
      <c r="A4173" s="5">
        <v>4112</v>
      </c>
      <c r="B4173" s="138">
        <f>'Short-Term Long-Term Debt 24'!H49</f>
        <v>1053070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2472.9</v>
      </c>
      <c r="C4265" s="2" t="s">
        <v>573</v>
      </c>
      <c r="D4265" s="2" t="str">
        <f t="shared" si="65"/>
        <v>Error?</v>
      </c>
      <c r="E4265" s="128"/>
    </row>
    <row r="4266" spans="1:5" x14ac:dyDescent="0.2">
      <c r="A4266" s="12">
        <v>4205</v>
      </c>
      <c r="B4266" s="138">
        <f>('FP Info 3'!F10)*100000</f>
        <v>357.2</v>
      </c>
      <c r="C4266" s="2" t="s">
        <v>573</v>
      </c>
      <c r="D4266" s="2" t="str">
        <f t="shared" si="65"/>
        <v>Error?</v>
      </c>
      <c r="E4266" s="128"/>
    </row>
    <row r="4267" spans="1:5" x14ac:dyDescent="0.2">
      <c r="A4267" s="12">
        <v>4206</v>
      </c>
      <c r="B4267" s="138">
        <f>('FP Info 3'!H10)*100000</f>
        <v>124.6</v>
      </c>
      <c r="C4267" s="2" t="s">
        <v>573</v>
      </c>
      <c r="D4267" s="2" t="str">
        <f t="shared" si="65"/>
        <v>Error?</v>
      </c>
      <c r="E4267" s="128"/>
    </row>
    <row r="4268" spans="1:5" x14ac:dyDescent="0.2">
      <c r="A4268" s="12">
        <v>4207</v>
      </c>
      <c r="B4268" s="138">
        <f>('FP Info 3'!J10)*100000</f>
        <v>2955</v>
      </c>
      <c r="C4268" s="2" t="s">
        <v>573</v>
      </c>
      <c r="D4268" s="2" t="str">
        <f t="shared" si="65"/>
        <v>Error?</v>
      </c>
    </row>
    <row r="4269" spans="1:5" x14ac:dyDescent="0.2">
      <c r="A4269" s="12">
        <v>4208</v>
      </c>
      <c r="B4269" s="138">
        <f>'FP Info 3'!J16</f>
        <v>11356803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21119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7214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17472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17327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53128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1173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255588142</v>
      </c>
      <c r="D4995" s="2" t="str">
        <f t="shared" si="77"/>
        <v>Error?</v>
      </c>
    </row>
    <row r="4996" spans="1:4" x14ac:dyDescent="0.2">
      <c r="A4996" s="12">
        <v>4935</v>
      </c>
      <c r="B4996" s="138">
        <f>'FP Info 3'!H31</f>
        <v>17635581.798</v>
      </c>
      <c r="D4996" s="2" t="str">
        <f t="shared" si="77"/>
        <v>Error?</v>
      </c>
    </row>
    <row r="4997" spans="1:4" x14ac:dyDescent="0.2">
      <c r="A4997" s="12">
        <v>4936</v>
      </c>
      <c r="B4997" s="138">
        <f>'FP Info 3'!H37</f>
        <v>5507123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5846173</v>
      </c>
      <c r="D5061" s="2" t="str">
        <f t="shared" si="78"/>
        <v>Error?</v>
      </c>
    </row>
    <row r="5062" spans="1:4" x14ac:dyDescent="0.2">
      <c r="A5062" s="10">
        <v>5001</v>
      </c>
      <c r="D5062" s="2" t="str">
        <f t="shared" si="78"/>
        <v>OK</v>
      </c>
    </row>
    <row r="5063" spans="1:4" x14ac:dyDescent="0.2">
      <c r="A5063" s="5">
        <v>5002</v>
      </c>
      <c r="B5063" s="138">
        <f>'Revenues 9-14'!C7</f>
        <v>2663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5848836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78159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78159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83080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83080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39479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323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178408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32136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32136</v>
      </c>
      <c r="C5102" s="2" t="s">
        <v>573</v>
      </c>
      <c r="D5102" s="2" t="str">
        <f t="shared" si="78"/>
        <v>Error?</v>
      </c>
    </row>
    <row r="5103" spans="1:4" x14ac:dyDescent="0.2">
      <c r="A5103" s="5">
        <v>5042</v>
      </c>
      <c r="B5103" s="138">
        <f>'Revenues 9-14'!C84</f>
        <v>144488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144488</v>
      </c>
      <c r="C5112" s="2" t="s">
        <v>573</v>
      </c>
      <c r="D5112" s="2" t="str">
        <f t="shared" si="78"/>
        <v>Error?</v>
      </c>
    </row>
    <row r="5113" spans="1:4" x14ac:dyDescent="0.2">
      <c r="A5113" s="5">
        <v>5052</v>
      </c>
      <c r="B5113" s="138">
        <f>'Revenues 9-14'!C95</f>
        <v>136700</v>
      </c>
      <c r="D5113" s="2" t="str">
        <f t="shared" si="78"/>
        <v>Error?</v>
      </c>
    </row>
    <row r="5114" spans="1:4" x14ac:dyDescent="0.2">
      <c r="A5114" s="5">
        <v>5053</v>
      </c>
      <c r="B5114" s="138">
        <f>'Revenues 9-14'!C96</f>
        <v>21816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9444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185342</v>
      </c>
      <c r="D5119" s="2" t="str">
        <f t="shared" ref="D5119:D5182" si="79">IF(ISBLANK(B5119),"OK",IF(A5119-B5119=0,"OK","Error?"))</f>
        <v>Error?</v>
      </c>
    </row>
    <row r="5120" spans="1:4" x14ac:dyDescent="0.2">
      <c r="A5120" s="5">
        <v>5059</v>
      </c>
      <c r="B5120" s="138">
        <f>'Revenues 9-14'!C108</f>
        <v>353302</v>
      </c>
      <c r="C5120" s="2" t="s">
        <v>573</v>
      </c>
      <c r="D5120" s="2" t="str">
        <f t="shared" si="79"/>
        <v>Error?</v>
      </c>
    </row>
    <row r="5121" spans="1:4" x14ac:dyDescent="0.2">
      <c r="A5121" s="5">
        <v>5060</v>
      </c>
      <c r="B5121" s="138">
        <f>'Revenues 9-14'!C109</f>
        <v>6718409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5489836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5489836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14312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14312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1547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1547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4832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600919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622783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6112619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208514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66236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274750</v>
      </c>
      <c r="C5246" s="2" t="s">
        <v>573</v>
      </c>
      <c r="D5246" s="2" t="str">
        <f t="shared" si="80"/>
        <v>Error?</v>
      </c>
    </row>
    <row r="5247" spans="1:4" x14ac:dyDescent="0.2">
      <c r="A5247" s="5">
        <v>5186</v>
      </c>
      <c r="B5247" s="138">
        <f>'Revenues 9-14'!C200</f>
        <v>186942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208061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24538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389351</v>
      </c>
      <c r="D5278" s="2" t="str">
        <f t="shared" si="81"/>
        <v>Error?</v>
      </c>
    </row>
    <row r="5279" spans="1:4" x14ac:dyDescent="0.2">
      <c r="A5279" s="5">
        <v>5218</v>
      </c>
      <c r="B5279" s="138">
        <f>'Revenues 9-14'!C214</f>
        <v>45155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459044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1036996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1036996</v>
      </c>
      <c r="C5326" s="2" t="s">
        <v>573</v>
      </c>
      <c r="D5326" s="2" t="str">
        <f t="shared" si="82"/>
        <v>Error?</v>
      </c>
    </row>
    <row r="5327" spans="1:5" x14ac:dyDescent="0.2">
      <c r="A5327" s="5">
        <v>5266</v>
      </c>
      <c r="B5327" s="138">
        <f>'Revenues 9-14'!C268</f>
        <v>13868024</v>
      </c>
      <c r="C5327" s="2" t="s">
        <v>573</v>
      </c>
      <c r="D5327" s="2" t="str">
        <f t="shared" si="82"/>
        <v>Error?</v>
      </c>
    </row>
    <row r="5328" spans="1:5" x14ac:dyDescent="0.2">
      <c r="A5328" s="5">
        <v>5267</v>
      </c>
      <c r="B5328" s="138">
        <f>'Revenues 9-14'!D5</f>
        <v>848045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848045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6071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6071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18190</v>
      </c>
      <c r="D5354" s="2" t="str">
        <f t="shared" si="82"/>
        <v>Error?</v>
      </c>
    </row>
    <row r="5355" spans="1:4" x14ac:dyDescent="0.2">
      <c r="A5355" s="5">
        <v>5294</v>
      </c>
      <c r="B5355" s="138">
        <f>'Revenues 9-14'!D108</f>
        <v>23190</v>
      </c>
      <c r="C5355" s="2" t="s">
        <v>573</v>
      </c>
      <c r="D5355" s="2" t="str">
        <f t="shared" si="82"/>
        <v>Error?</v>
      </c>
    </row>
    <row r="5356" spans="1:4" x14ac:dyDescent="0.2">
      <c r="A5356" s="5">
        <v>5295</v>
      </c>
      <c r="B5356" s="138">
        <f>'Revenues 9-14'!D109</f>
        <v>877306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977306</v>
      </c>
      <c r="C5508" s="2" t="s">
        <v>573</v>
      </c>
      <c r="D5508" s="2" t="str">
        <f t="shared" si="85"/>
        <v>Error?</v>
      </c>
    </row>
    <row r="5509" spans="1:4" x14ac:dyDescent="0.2">
      <c r="A5509" s="5">
        <v>5448</v>
      </c>
      <c r="B5509" s="138">
        <f>'Revenues 9-14'!E5</f>
        <v>1897759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1897759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22335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22335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1920094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1920094</v>
      </c>
      <c r="C5552" s="2" t="s">
        <v>573</v>
      </c>
      <c r="D5552" s="2" t="str">
        <f t="shared" si="85"/>
        <v>Error?</v>
      </c>
    </row>
    <row r="5553" spans="1:4" x14ac:dyDescent="0.2">
      <c r="A5553" s="5">
        <v>5492</v>
      </c>
      <c r="B5553" s="138">
        <f>'Revenues 9-14'!F5</f>
        <v>297136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297136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25307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25307</v>
      </c>
      <c r="C5579" s="2" t="s">
        <v>573</v>
      </c>
      <c r="D5579" s="2" t="str">
        <f t="shared" si="86"/>
        <v>Error?</v>
      </c>
    </row>
    <row r="5580" spans="1:4" x14ac:dyDescent="0.2">
      <c r="A5580" s="5">
        <v>5519</v>
      </c>
      <c r="B5580" s="138">
        <f>'Revenues 9-14'!F65</f>
        <v>9490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9490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331933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188565</v>
      </c>
      <c r="D5615" s="2" t="str">
        <f t="shared" si="86"/>
        <v>Error?</v>
      </c>
    </row>
    <row r="5616" spans="1:4" x14ac:dyDescent="0.2">
      <c r="A5616" s="10">
        <v>5555</v>
      </c>
      <c r="D5616" s="2" t="str">
        <f t="shared" si="86"/>
        <v>OK</v>
      </c>
    </row>
    <row r="5617" spans="1:5" x14ac:dyDescent="0.2">
      <c r="A5617" s="5">
        <v>5556</v>
      </c>
      <c r="B5617" s="138">
        <f>'Revenues 9-14'!F153</f>
        <v>174465</v>
      </c>
      <c r="D5617" s="2" t="str">
        <f t="shared" si="86"/>
        <v>Error?</v>
      </c>
    </row>
    <row r="5618" spans="1:5" x14ac:dyDescent="0.2">
      <c r="A5618" s="5">
        <v>5557</v>
      </c>
      <c r="B5618" s="138">
        <f>'Revenues 9-14'!F155</f>
        <v>363030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363030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363030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694963</v>
      </c>
      <c r="C5720" s="2" t="s">
        <v>573</v>
      </c>
      <c r="D5720" s="2" t="str">
        <f t="shared" si="88"/>
        <v>Error?</v>
      </c>
    </row>
    <row r="5721" spans="1:4" x14ac:dyDescent="0.2">
      <c r="A5721" s="5">
        <v>5660</v>
      </c>
      <c r="B5721" s="138">
        <f>'Revenues 9-14'!G5</f>
        <v>248472</v>
      </c>
      <c r="D5721" s="2" t="str">
        <f t="shared" si="88"/>
        <v>Error?</v>
      </c>
    </row>
    <row r="5722" spans="1:4" x14ac:dyDescent="0.2">
      <c r="A5722" s="5">
        <v>5661</v>
      </c>
      <c r="B5722" s="138">
        <f>'Revenues 9-14'!G7</f>
        <v>0</v>
      </c>
      <c r="D5722" s="2" t="str">
        <f t="shared" si="88"/>
        <v>Error?</v>
      </c>
    </row>
    <row r="5723" spans="1:4" x14ac:dyDescent="0.2">
      <c r="A5723" s="5">
        <v>5662</v>
      </c>
      <c r="B5723" s="138">
        <f>'Revenues 9-14'!G8</f>
        <v>230065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478537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12393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12393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490930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12303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12303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81335</v>
      </c>
      <c r="D5885" s="2" t="str">
        <f t="shared" si="90"/>
        <v>Error?</v>
      </c>
    </row>
    <row r="5886" spans="1:4" x14ac:dyDescent="0.2">
      <c r="A5886" s="5">
        <v>5825</v>
      </c>
      <c r="B5886" s="138">
        <f>'Revenues 9-14'!H108</f>
        <v>81335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93638</v>
      </c>
      <c r="C5915" s="2" t="s">
        <v>573</v>
      </c>
      <c r="D5915" s="2" t="str">
        <f t="shared" si="91"/>
        <v>Error?</v>
      </c>
    </row>
    <row r="5916" spans="1:4" x14ac:dyDescent="0.2">
      <c r="A5916" s="5">
        <v>5855</v>
      </c>
      <c r="B5916" s="138">
        <f>'Revenues 9-14'!I5</f>
        <v>5700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124373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124373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130073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2663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3533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3533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6196</v>
      </c>
      <c r="C6023" s="2" t="s">
        <v>573</v>
      </c>
      <c r="D6023" s="2" t="str">
        <f t="shared" si="93"/>
        <v>Error?</v>
      </c>
    </row>
    <row r="6024" spans="1:5" x14ac:dyDescent="0.2">
      <c r="A6024" s="5">
        <v>5963</v>
      </c>
      <c r="B6024" s="138">
        <f>'Revenues 9-14'!G109</f>
        <v>490930</v>
      </c>
      <c r="C6024" s="2" t="s">
        <v>573</v>
      </c>
      <c r="D6024" s="2" t="str">
        <f t="shared" si="93"/>
        <v>Error?</v>
      </c>
    </row>
    <row r="6025" spans="1:5" x14ac:dyDescent="0.2">
      <c r="A6025" s="5">
        <v>5964</v>
      </c>
      <c r="B6025" s="138">
        <f>'Revenues 9-14'!H109</f>
        <v>93638</v>
      </c>
      <c r="C6025" s="2" t="s">
        <v>573</v>
      </c>
      <c r="D6025" s="2" t="str">
        <f t="shared" si="93"/>
        <v>Error?</v>
      </c>
    </row>
    <row r="6026" spans="1:5" x14ac:dyDescent="0.2">
      <c r="A6026" s="5">
        <v>5965</v>
      </c>
      <c r="B6026" s="138">
        <f>'Revenues 9-14'!I109</f>
        <v>130073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6196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138606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37865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1541.1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228723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228723</v>
      </c>
      <c r="D6215" s="2" t="str">
        <f t="shared" si="96"/>
        <v>Error?</v>
      </c>
      <c r="E6215" s="2" t="s">
        <v>190</v>
      </c>
    </row>
    <row r="6216" spans="1:5" x14ac:dyDescent="0.2">
      <c r="A6216">
        <v>6155</v>
      </c>
      <c r="B6216" s="138">
        <f>'Assets-Liab 5-6'!J41</f>
        <v>228723</v>
      </c>
      <c r="D6216" s="2" t="str">
        <f t="shared" si="96"/>
        <v>Error?</v>
      </c>
      <c r="E6216" s="2" t="s">
        <v>190</v>
      </c>
    </row>
    <row r="6217" spans="1:5" x14ac:dyDescent="0.2">
      <c r="A6217">
        <v>6156</v>
      </c>
      <c r="B6217" s="138">
        <f>'Assets-Liab 5-6'!J4</f>
        <v>228723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133678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133678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133678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90027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90027</v>
      </c>
      <c r="D6229" s="2" t="str">
        <f t="shared" si="96"/>
        <v>Error?</v>
      </c>
      <c r="E6229" s="2" t="s">
        <v>190</v>
      </c>
    </row>
    <row r="6230" spans="1:5" x14ac:dyDescent="0.2">
      <c r="A6230">
        <v>6169</v>
      </c>
      <c r="B6230" s="138">
        <f>'Acct Summary 7-8'!J20</f>
        <v>43651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43651</v>
      </c>
      <c r="D6263" s="2" t="str">
        <f t="shared" si="96"/>
        <v>Error?</v>
      </c>
      <c r="E6263" s="2" t="s">
        <v>190</v>
      </c>
    </row>
    <row r="6264" spans="1:5" x14ac:dyDescent="0.2">
      <c r="A6264">
        <v>6203</v>
      </c>
      <c r="B6264" s="138">
        <f>'Acct Summary 7-8'!J79</f>
        <v>185072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228723</v>
      </c>
      <c r="D6266" s="2" t="str">
        <f t="shared" si="96"/>
        <v>Error?</v>
      </c>
      <c r="E6266" s="2" t="s">
        <v>190</v>
      </c>
    </row>
    <row r="6267" spans="1:5" x14ac:dyDescent="0.2">
      <c r="A6267">
        <v>6206</v>
      </c>
      <c r="B6267" s="138">
        <f>'Acct Summary 7-8'!C82</f>
        <v>1113605</v>
      </c>
      <c r="D6267" s="2" t="str">
        <f t="shared" si="96"/>
        <v>Error?</v>
      </c>
      <c r="E6267" s="2" t="s">
        <v>190</v>
      </c>
    </row>
    <row r="6268" spans="1:5" x14ac:dyDescent="0.2">
      <c r="A6268">
        <v>6207</v>
      </c>
      <c r="B6268" s="138">
        <f>'Acct Summary 7-8'!D82</f>
        <v>1199</v>
      </c>
      <c r="D6268" s="2" t="str">
        <f t="shared" si="96"/>
        <v>Error?</v>
      </c>
      <c r="E6268" s="2" t="s">
        <v>190</v>
      </c>
    </row>
    <row r="6269" spans="1:5" x14ac:dyDescent="0.2">
      <c r="A6269">
        <v>6208</v>
      </c>
      <c r="B6269" s="138">
        <f>'Acct Summary 7-8'!E82</f>
        <v>-35394</v>
      </c>
      <c r="D6269" s="2" t="str">
        <f t="shared" si="96"/>
        <v>Error?</v>
      </c>
      <c r="E6269" s="2" t="s">
        <v>190</v>
      </c>
    </row>
    <row r="6270" spans="1:5" x14ac:dyDescent="0.2">
      <c r="A6270">
        <v>6209</v>
      </c>
      <c r="B6270" s="138">
        <f>'Acct Summary 7-8'!F82</f>
        <v>-94042</v>
      </c>
      <c r="D6270" s="2" t="str">
        <f t="shared" si="96"/>
        <v>Error?</v>
      </c>
      <c r="E6270" s="2" t="s">
        <v>190</v>
      </c>
    </row>
    <row r="6271" spans="1:5" x14ac:dyDescent="0.2">
      <c r="A6271">
        <v>6210</v>
      </c>
      <c r="B6271" s="138">
        <f>'Acct Summary 7-8'!G82</f>
        <v>146998</v>
      </c>
      <c r="D6271" s="2" t="str">
        <f t="shared" ref="D6271:D6334" si="97">IF(ISBLANK(B6271),"OK",IF(A6271-B6271=0,"OK","Error?"))</f>
        <v>Error?</v>
      </c>
      <c r="E6271" s="2" t="s">
        <v>190</v>
      </c>
    </row>
    <row r="6272" spans="1:5" x14ac:dyDescent="0.2">
      <c r="A6272">
        <v>6211</v>
      </c>
      <c r="B6272" s="138">
        <f>'Acct Summary 7-8'!H82</f>
        <v>143922</v>
      </c>
      <c r="D6272" s="2" t="str">
        <f t="shared" si="97"/>
        <v>Error?</v>
      </c>
      <c r="E6272" s="2" t="s">
        <v>190</v>
      </c>
    </row>
    <row r="6273" spans="1:5" x14ac:dyDescent="0.2">
      <c r="A6273">
        <v>6212</v>
      </c>
      <c r="B6273" s="138">
        <f>'Acct Summary 7-8'!I82</f>
        <v>-619927</v>
      </c>
      <c r="D6273" s="2" t="str">
        <f t="shared" si="97"/>
        <v>Error?</v>
      </c>
      <c r="E6273" s="2" t="s">
        <v>190</v>
      </c>
    </row>
    <row r="6274" spans="1:5" x14ac:dyDescent="0.2">
      <c r="A6274">
        <v>6213</v>
      </c>
      <c r="B6274" s="138">
        <f>'Acct Summary 7-8'!J82</f>
        <v>43651</v>
      </c>
      <c r="D6274" s="2" t="str">
        <f t="shared" si="97"/>
        <v>Error?</v>
      </c>
      <c r="E6274" s="2" t="s">
        <v>190</v>
      </c>
    </row>
    <row r="6275" spans="1:5" x14ac:dyDescent="0.2">
      <c r="A6275">
        <v>6214</v>
      </c>
      <c r="B6275" s="138">
        <f>'Acct Summary 7-8'!K82</f>
        <v>-161205</v>
      </c>
      <c r="D6275" s="2" t="str">
        <f t="shared" si="97"/>
        <v>Error?</v>
      </c>
      <c r="E6275" s="2" t="s">
        <v>190</v>
      </c>
    </row>
    <row r="6276" spans="1:5" x14ac:dyDescent="0.2">
      <c r="A6276">
        <v>6215</v>
      </c>
      <c r="B6276" s="138">
        <f>'Acct Summary 7-8'!C83</f>
        <v>0.20854268345437718</v>
      </c>
      <c r="D6276" s="2" t="str">
        <f t="shared" si="97"/>
        <v>Error?</v>
      </c>
      <c r="E6276" s="2" t="s">
        <v>190</v>
      </c>
    </row>
    <row r="6277" spans="1:5" x14ac:dyDescent="0.2">
      <c r="A6277">
        <v>6216</v>
      </c>
      <c r="B6277" s="138">
        <f>'Acct Summary 7-8'!D83</f>
        <v>3.4773176800867735E-3</v>
      </c>
      <c r="D6277" s="2" t="str">
        <f t="shared" si="97"/>
        <v>Error?</v>
      </c>
      <c r="E6277" s="2" t="s">
        <v>190</v>
      </c>
    </row>
    <row r="6278" spans="1:5" x14ac:dyDescent="0.2">
      <c r="A6278">
        <v>6217</v>
      </c>
      <c r="B6278" s="138">
        <f>'Acct Summary 7-8'!E83</f>
        <v>-2.3138187815875094E-2</v>
      </c>
      <c r="D6278" s="2" t="str">
        <f t="shared" si="97"/>
        <v>Error?</v>
      </c>
      <c r="E6278" s="2" t="s">
        <v>190</v>
      </c>
    </row>
    <row r="6279" spans="1:5" x14ac:dyDescent="0.2">
      <c r="A6279">
        <v>6218</v>
      </c>
      <c r="B6279" s="138">
        <f>'Acct Summary 7-8'!F83</f>
        <v>-0.24775539022488249</v>
      </c>
      <c r="D6279" s="2" t="str">
        <f t="shared" si="97"/>
        <v>Error?</v>
      </c>
      <c r="E6279" s="2" t="s">
        <v>190</v>
      </c>
    </row>
    <row r="6280" spans="1:5" x14ac:dyDescent="0.2">
      <c r="A6280">
        <v>6219</v>
      </c>
      <c r="B6280" s="138">
        <f>'Acct Summary 7-8'!G83</f>
        <v>0.19908123437461911</v>
      </c>
      <c r="D6280" s="2" t="str">
        <f t="shared" si="97"/>
        <v>Error?</v>
      </c>
      <c r="E6280" s="2" t="s">
        <v>190</v>
      </c>
    </row>
    <row r="6281" spans="1:5" x14ac:dyDescent="0.2">
      <c r="A6281">
        <v>6220</v>
      </c>
      <c r="B6281" s="138">
        <f>'Acct Summary 7-8'!H83</f>
        <v>0.18642069976736594</v>
      </c>
      <c r="D6281" s="2" t="str">
        <f t="shared" si="97"/>
        <v>Error?</v>
      </c>
      <c r="E6281" s="2" t="s">
        <v>190</v>
      </c>
    </row>
    <row r="6282" spans="1:5" x14ac:dyDescent="0.2">
      <c r="A6282">
        <v>6221</v>
      </c>
      <c r="B6282" s="138">
        <f>'Acct Summary 7-8'!I83</f>
        <v>-0.11713348913921877</v>
      </c>
      <c r="D6282" s="2" t="str">
        <f t="shared" si="97"/>
        <v>Error?</v>
      </c>
      <c r="E6282" s="2" t="s">
        <v>190</v>
      </c>
    </row>
    <row r="6283" spans="1:5" x14ac:dyDescent="0.2">
      <c r="A6283">
        <v>6222</v>
      </c>
      <c r="B6283" s="138">
        <f>'Acct Summary 7-8'!J83</f>
        <v>0.19084656986835605</v>
      </c>
      <c r="D6283" s="2" t="str">
        <f t="shared" si="97"/>
        <v>Error?</v>
      </c>
      <c r="E6283" s="2" t="s">
        <v>190</v>
      </c>
    </row>
    <row r="6284" spans="1:5" x14ac:dyDescent="0.2">
      <c r="A6284">
        <v>6223</v>
      </c>
      <c r="B6284" s="138">
        <f>'Acct Summary 7-8'!K83</f>
        <v>-2.5093396843186699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130883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130883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133678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1728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1528</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116838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209251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3256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4344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4344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138187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138187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142531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4460</v>
      </c>
      <c r="D6981" s="2" t="str">
        <f t="shared" si="108"/>
        <v>Error?</v>
      </c>
    </row>
    <row r="6982" spans="1:4" x14ac:dyDescent="0.2">
      <c r="A6982">
        <v>6921</v>
      </c>
      <c r="B6982" s="138">
        <f>'Expenditures 15-22'!K85</f>
        <v>4460</v>
      </c>
      <c r="D6982" s="2" t="str">
        <f t="shared" si="108"/>
        <v>Error?</v>
      </c>
    </row>
    <row r="6983" spans="1:4" x14ac:dyDescent="0.2">
      <c r="A6983">
        <v>6922</v>
      </c>
      <c r="B6983" s="138">
        <f>'Expenditures 15-22'!H86</f>
        <v>1173754</v>
      </c>
      <c r="D6983" s="2" t="str">
        <f t="shared" si="108"/>
        <v>Error?</v>
      </c>
    </row>
    <row r="6984" spans="1:4" x14ac:dyDescent="0.2">
      <c r="A6984">
        <v>6923</v>
      </c>
      <c r="B6984" s="138">
        <f>'Expenditures 15-22'!K86</f>
        <v>1173754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1178214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145787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90027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133678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1284</v>
      </c>
      <c r="D7075" s="2" t="str">
        <f t="shared" si="109"/>
        <v>Error?</v>
      </c>
    </row>
    <row r="7076" spans="1:4" x14ac:dyDescent="0.2">
      <c r="A7076">
        <v>7015</v>
      </c>
      <c r="B7076" s="138">
        <f>'Expenditures 15-22'!K218</f>
        <v>1284</v>
      </c>
      <c r="D7076" s="2" t="str">
        <f t="shared" si="109"/>
        <v>Error?</v>
      </c>
    </row>
    <row r="7077" spans="1:4" x14ac:dyDescent="0.2">
      <c r="A7077">
        <v>7016</v>
      </c>
      <c r="B7077" s="138">
        <f>'Expenditures 15-22'!D220</f>
        <v>7426</v>
      </c>
      <c r="D7077" s="2" t="str">
        <f t="shared" si="109"/>
        <v>Error?</v>
      </c>
    </row>
    <row r="7078" spans="1:4" x14ac:dyDescent="0.2">
      <c r="A7078">
        <v>7017</v>
      </c>
      <c r="B7078" s="138">
        <f>'Expenditures 15-22'!K220</f>
        <v>7426</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31678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31678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23255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23255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11835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11835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23259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23259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90027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90027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90027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90027</v>
      </c>
      <c r="D7224" s="2" t="str">
        <f t="shared" si="111"/>
        <v>Error?</v>
      </c>
    </row>
    <row r="7225" spans="1:4" x14ac:dyDescent="0.2">
      <c r="A7225">
        <v>7164</v>
      </c>
      <c r="B7225" s="138">
        <f>'Expenditures 15-22'!K343</f>
        <v>43651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95614</v>
      </c>
      <c r="D7251" s="2" t="str">
        <f t="shared" si="112"/>
        <v>Error?</v>
      </c>
    </row>
    <row r="7252" spans="1:4" x14ac:dyDescent="0.2">
      <c r="A7252">
        <f t="shared" si="113"/>
        <v>7191</v>
      </c>
      <c r="B7252" s="138">
        <f>'Expenditures 15-22'!D9</f>
        <v>19696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135610</v>
      </c>
      <c r="D7257" s="2" t="str">
        <f t="shared" si="112"/>
        <v>Error?</v>
      </c>
    </row>
    <row r="7258" spans="1:4" x14ac:dyDescent="0.2">
      <c r="A7258">
        <f t="shared" si="113"/>
        <v>7197</v>
      </c>
      <c r="B7258" s="138">
        <f>'Expenditures 15-22'!D11</f>
        <v>26581</v>
      </c>
      <c r="D7258" s="2" t="str">
        <f t="shared" si="112"/>
        <v>Error?</v>
      </c>
    </row>
    <row r="7259" spans="1:4" x14ac:dyDescent="0.2">
      <c r="A7259">
        <f t="shared" si="113"/>
        <v>7198</v>
      </c>
      <c r="B7259" s="138">
        <f>'Expenditures 15-22'!E11</f>
        <v>6650</v>
      </c>
      <c r="D7259" s="2" t="str">
        <f t="shared" si="112"/>
        <v>Error?</v>
      </c>
    </row>
    <row r="7260" spans="1:4" x14ac:dyDescent="0.2">
      <c r="A7260">
        <f t="shared" si="113"/>
        <v>7199</v>
      </c>
      <c r="B7260" s="138">
        <f>'Expenditures 15-22'!F11</f>
        <v>40410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122641</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122641</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122641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145787</v>
      </c>
      <c r="D7624" s="2" t="str">
        <f t="shared" si="124"/>
        <v>Error?</v>
      </c>
      <c r="E7624" s="2" t="s">
        <v>19</v>
      </c>
    </row>
    <row r="7625" spans="1:5" x14ac:dyDescent="0.2">
      <c r="A7625">
        <f t="shared" si="123"/>
        <v>7564</v>
      </c>
      <c r="B7625" s="138">
        <f>'Cap Outlay Deprec 26'!I17</f>
        <v>14578.7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685992.7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2663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500000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250000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27968</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2968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1986</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1" t="str">
        <f>COVER!A17</f>
        <v>FOREST RIDGE SD 142</v>
      </c>
      <c r="B7" s="2412"/>
      <c r="C7" s="2412"/>
      <c r="D7" s="2413"/>
      <c r="E7" s="2414">
        <f>COVER!A13</f>
        <v>7016142002</v>
      </c>
      <c r="F7" s="2415"/>
      <c r="G7" s="2421" t="str">
        <f>COVER!T23</f>
        <v>066-004945</v>
      </c>
      <c r="H7" s="2422"/>
      <c r="I7" s="2422"/>
      <c r="J7" s="2422"/>
      <c r="K7" s="2422"/>
      <c r="L7" s="242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4"/>
      <c r="B9" s="2425"/>
      <c r="C9" s="2425"/>
      <c r="D9" s="2425"/>
      <c r="E9" s="2425"/>
      <c r="F9" s="2426"/>
      <c r="G9" s="2395" t="str">
        <f>COVER!T13</f>
        <v>GASSENSMITH &amp; MICHALESKO, LTD</v>
      </c>
      <c r="H9" s="2427"/>
      <c r="I9" s="2427"/>
      <c r="J9" s="2427"/>
      <c r="K9" s="2427"/>
      <c r="L9" s="2428"/>
    </row>
    <row r="10" spans="1:29" ht="13.5" customHeight="1" x14ac:dyDescent="0.2">
      <c r="A10" s="2401" t="str">
        <f>COVER!A38</f>
        <v>PAUL McDERMOTT</v>
      </c>
      <c r="B10" s="2402"/>
      <c r="C10" s="2402"/>
      <c r="D10" s="2402"/>
      <c r="E10" s="2402"/>
      <c r="F10" s="2403"/>
      <c r="G10" s="2395" t="str">
        <f>COVER!T17</f>
        <v>323 SPRINGFIELD</v>
      </c>
      <c r="H10" s="2396"/>
      <c r="I10" s="2396"/>
      <c r="J10" s="2396"/>
      <c r="K10" s="2396"/>
      <c r="L10" s="2397"/>
    </row>
    <row r="11" spans="1:29" ht="13.5" customHeight="1" x14ac:dyDescent="0.2">
      <c r="A11" s="1184" t="s">
        <v>1519</v>
      </c>
      <c r="B11" s="1185"/>
      <c r="C11" s="1186"/>
      <c r="D11" s="1191"/>
      <c r="E11" s="1186"/>
      <c r="F11" s="1190"/>
      <c r="G11" s="2395" t="str">
        <f>COVER!T19</f>
        <v>JOLIET</v>
      </c>
      <c r="H11" s="2396"/>
      <c r="I11" s="2396"/>
      <c r="J11" s="2396"/>
      <c r="K11" s="2396"/>
      <c r="L11" s="2397"/>
    </row>
    <row r="12" spans="1:29" ht="13.5" customHeight="1" x14ac:dyDescent="0.2">
      <c r="A12" s="2404" t="s">
        <v>1518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1520</v>
      </c>
      <c r="H13" s="2391"/>
      <c r="I13" s="2407" t="str">
        <f>COVER!T25</f>
        <v>JILLE@GASSENSMITH.COM</v>
      </c>
      <c r="J13" s="2408"/>
      <c r="K13" s="2408"/>
      <c r="L13" s="2409"/>
    </row>
    <row r="14" spans="1:29" ht="13.5" customHeight="1" x14ac:dyDescent="0.2">
      <c r="A14" s="2395" t="str">
        <f>COVER!A19</f>
        <v>15000 S LARAMIE</v>
      </c>
      <c r="B14" s="2396"/>
      <c r="C14" s="2396"/>
      <c r="D14" s="2396"/>
      <c r="E14" s="2396"/>
      <c r="F14" s="2397"/>
      <c r="G14" s="1195" t="s">
        <v>1185</v>
      </c>
      <c r="H14" s="1193"/>
      <c r="I14" s="1193"/>
      <c r="J14" s="1193"/>
      <c r="K14" s="1193"/>
      <c r="L14" s="1194"/>
    </row>
    <row r="15" spans="1:29" ht="13.5" customHeight="1" x14ac:dyDescent="0.2">
      <c r="A15" s="2395" t="str">
        <f>COVER!A21</f>
        <v>OAK FOREST</v>
      </c>
      <c r="B15" s="2396"/>
      <c r="C15" s="2396"/>
      <c r="D15" s="2396"/>
      <c r="E15" s="2396"/>
      <c r="F15" s="2397"/>
      <c r="G15" s="2392" t="str">
        <f>COVER!T15</f>
        <v>JILL GASSENSMITH</v>
      </c>
      <c r="H15" s="2393"/>
      <c r="I15" s="2393"/>
      <c r="J15" s="2393"/>
      <c r="K15" s="2393"/>
      <c r="L15" s="2394"/>
    </row>
    <row r="16" spans="1:29" ht="12.2" customHeight="1" x14ac:dyDescent="0.2">
      <c r="A16" s="2417">
        <f>COVER!A25</f>
        <v>60452</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5" t="s">
        <v>1184</v>
      </c>
      <c r="H17" s="1193"/>
      <c r="I17" s="1193"/>
      <c r="J17" s="1193"/>
      <c r="K17" s="1197" t="s">
        <v>1183</v>
      </c>
      <c r="L17" s="1190"/>
      <c r="M17" s="1183"/>
    </row>
    <row r="18" spans="1:13" ht="12.2" customHeight="1" x14ac:dyDescent="0.2">
      <c r="A18" s="2401"/>
      <c r="B18" s="2402"/>
      <c r="C18" s="2402"/>
      <c r="D18" s="2402"/>
      <c r="E18" s="2402"/>
      <c r="F18" s="2403"/>
      <c r="G18" s="2411" t="str">
        <f>COVER!T21</f>
        <v>815-744-6200</v>
      </c>
      <c r="H18" s="2412"/>
      <c r="I18" s="2412"/>
      <c r="J18" s="2412"/>
      <c r="K18" s="2411" t="str">
        <f>COVER!X21</f>
        <v>815-744-3822</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FOREST RIDGE SD 142</v>
      </c>
      <c r="B1" s="2410"/>
      <c r="C1" s="2410"/>
      <c r="D1" s="2410"/>
    </row>
    <row r="2" spans="1:11" s="1212" customFormat="1" ht="12.75" x14ac:dyDescent="0.2">
      <c r="A2" s="2434">
        <f>'Single Audit Cover'!E7</f>
        <v>7016142002</v>
      </c>
      <c r="B2" s="2435"/>
      <c r="C2" s="2435"/>
      <c r="D2" s="2435"/>
    </row>
    <row r="3" spans="1:11" s="1212" customFormat="1" ht="12.75" x14ac:dyDescent="0.2">
      <c r="A3" s="2433" t="s">
        <v>1513</v>
      </c>
      <c r="B3" s="2410"/>
      <c r="C3" s="2410"/>
      <c r="D3" s="241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FOREST RIDGE SD 142</v>
      </c>
      <c r="B1" s="2437"/>
      <c r="C1" s="2437"/>
      <c r="D1" s="2437"/>
      <c r="E1" s="2437"/>
    </row>
    <row r="2" spans="1:5" x14ac:dyDescent="0.2">
      <c r="A2" s="2438">
        <f>'Single Audit Cover'!E7</f>
        <v>7016142002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1036996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37865</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-17472</v>
      </c>
    </row>
    <row r="19" spans="1:4" ht="13.5" thickBot="1" x14ac:dyDescent="0.25">
      <c r="A19" s="1262" t="s">
        <v>1235</v>
      </c>
      <c r="D19" s="1263">
        <f>SUM(D10:D17)</f>
        <v>1057389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1057389</v>
      </c>
    </row>
    <row r="33" spans="1:4" x14ac:dyDescent="0.2">
      <c r="D33" s="1266"/>
    </row>
    <row r="34" spans="1:4" x14ac:dyDescent="0.2">
      <c r="A34" s="317" t="s">
        <v>1232</v>
      </c>
    </row>
    <row r="35" spans="1:4" x14ac:dyDescent="0.2">
      <c r="A35" s="317" t="s">
        <v>1231</v>
      </c>
      <c r="B35" s="1255" t="s">
        <v>1230</v>
      </c>
      <c r="D35" s="1267">
        <f>+' SEFA'!F46</f>
        <v>1057389</v>
      </c>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1057389</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pageSetUpPr fitToPage="1"/>
  </sheetPr>
  <dimension ref="B1:N171"/>
  <sheetViews>
    <sheetView showGridLines="0" topLeftCell="A28" zoomScaleNormal="100" workbookViewId="0">
      <selection activeCell="I68" sqref="I68"/>
    </sheetView>
  </sheetViews>
  <sheetFormatPr defaultColWidth="33.5703125" defaultRowHeight="12.75" x14ac:dyDescent="0.2"/>
  <cols>
    <col min="1" max="1" width="0.140625" style="317" customWidth="1"/>
    <col min="2" max="2" width="40.42578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FOREST RIDGE SD 142</v>
      </c>
      <c r="C1" s="2441"/>
      <c r="D1" s="2441"/>
      <c r="E1" s="2441"/>
      <c r="F1" s="2441"/>
      <c r="G1" s="2441"/>
      <c r="H1" s="2441"/>
      <c r="I1" s="2441"/>
      <c r="J1" s="2441"/>
      <c r="K1" s="2441"/>
      <c r="L1" s="2441"/>
      <c r="M1" s="2441"/>
    </row>
    <row r="2" spans="2:14" ht="15" x14ac:dyDescent="0.2">
      <c r="B2" s="2442">
        <f>'Single Audit Cover'!E7</f>
        <v>7016142002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x14ac:dyDescent="0.2">
      <c r="B11" s="1334" t="s">
        <v>2085</v>
      </c>
      <c r="C11" s="1335"/>
      <c r="D11" s="1336"/>
      <c r="E11" s="1939"/>
      <c r="F11" s="1939"/>
      <c r="G11" s="1939"/>
      <c r="H11" s="1939"/>
      <c r="I11" s="1939"/>
      <c r="J11" s="1939"/>
      <c r="K11" s="1939"/>
      <c r="L11" s="1337"/>
      <c r="M11" s="1337"/>
    </row>
    <row r="12" spans="2:14" x14ac:dyDescent="0.2">
      <c r="B12" s="1938" t="s">
        <v>2086</v>
      </c>
      <c r="C12" s="1338"/>
      <c r="D12" s="1339"/>
      <c r="E12" s="1940"/>
      <c r="F12" s="1940"/>
      <c r="G12" s="1940"/>
      <c r="H12" s="1940"/>
      <c r="I12" s="1940"/>
      <c r="J12" s="1940"/>
      <c r="K12" s="1940"/>
      <c r="L12" s="1337"/>
      <c r="M12" s="1340"/>
    </row>
    <row r="13" spans="2:14" x14ac:dyDescent="0.2">
      <c r="B13" s="1938" t="s">
        <v>2087</v>
      </c>
      <c r="C13" s="1338"/>
      <c r="D13" s="1339"/>
      <c r="E13" s="1940"/>
      <c r="F13" s="1940"/>
      <c r="G13" s="1940"/>
      <c r="H13" s="1940"/>
      <c r="I13" s="1940"/>
      <c r="J13" s="1940"/>
      <c r="K13" s="1940"/>
      <c r="L13" s="1337"/>
      <c r="M13" s="1340"/>
    </row>
    <row r="14" spans="2:14" ht="20.100000000000001" customHeight="1" x14ac:dyDescent="0.2">
      <c r="B14" s="1941" t="s">
        <v>2088</v>
      </c>
      <c r="C14" s="1942">
        <v>10.555</v>
      </c>
      <c r="D14" s="1943" t="s">
        <v>2109</v>
      </c>
      <c r="E14" s="1944">
        <v>0</v>
      </c>
      <c r="F14" s="1944">
        <f>181202-3910</f>
        <v>177292</v>
      </c>
      <c r="G14" s="1944">
        <v>0</v>
      </c>
      <c r="H14" s="1944">
        <v>0</v>
      </c>
      <c r="I14" s="1944">
        <v>181202</v>
      </c>
      <c r="J14" s="1944">
        <v>0</v>
      </c>
      <c r="K14" s="1944">
        <v>0</v>
      </c>
      <c r="L14" s="1945">
        <f t="shared" ref="L14:L23" si="0">G14+I14+K14</f>
        <v>181202</v>
      </c>
      <c r="M14" s="1946" t="s">
        <v>2119</v>
      </c>
    </row>
    <row r="15" spans="2:14" ht="20.100000000000001" customHeight="1" x14ac:dyDescent="0.2">
      <c r="B15" s="1941" t="s">
        <v>2088</v>
      </c>
      <c r="C15" s="1942">
        <v>10.555</v>
      </c>
      <c r="D15" s="1943" t="s">
        <v>2110</v>
      </c>
      <c r="E15" s="1944">
        <v>186843</v>
      </c>
      <c r="F15" s="1944">
        <v>31221</v>
      </c>
      <c r="G15" s="1944">
        <v>186843</v>
      </c>
      <c r="H15" s="1944">
        <v>0</v>
      </c>
      <c r="I15" s="1944">
        <v>31221</v>
      </c>
      <c r="J15" s="1944">
        <v>0</v>
      </c>
      <c r="K15" s="1944">
        <v>0</v>
      </c>
      <c r="L15" s="1945">
        <f t="shared" si="0"/>
        <v>218064</v>
      </c>
      <c r="M15" s="1946" t="s">
        <v>2119</v>
      </c>
    </row>
    <row r="16" spans="2:14" ht="20.100000000000001" customHeight="1" x14ac:dyDescent="0.2">
      <c r="B16" s="1941" t="s">
        <v>2089</v>
      </c>
      <c r="C16" s="1942">
        <v>10.553000000000001</v>
      </c>
      <c r="D16" s="1943" t="s">
        <v>2111</v>
      </c>
      <c r="E16" s="1944">
        <v>0</v>
      </c>
      <c r="F16" s="1944">
        <f>59442-1641</f>
        <v>57801</v>
      </c>
      <c r="G16" s="1944">
        <v>0</v>
      </c>
      <c r="H16" s="1944">
        <v>0</v>
      </c>
      <c r="I16" s="1944">
        <v>59442</v>
      </c>
      <c r="J16" s="1944">
        <v>0</v>
      </c>
      <c r="K16" s="1944">
        <v>0</v>
      </c>
      <c r="L16" s="1945">
        <f t="shared" si="0"/>
        <v>59442</v>
      </c>
      <c r="M16" s="1946" t="s">
        <v>2119</v>
      </c>
    </row>
    <row r="17" spans="2:13" ht="20.100000000000001" customHeight="1" x14ac:dyDescent="0.2">
      <c r="B17" s="1941" t="s">
        <v>2089</v>
      </c>
      <c r="C17" s="1942">
        <v>10.553000000000001</v>
      </c>
      <c r="D17" s="1943" t="s">
        <v>2112</v>
      </c>
      <c r="E17" s="1944">
        <v>53996</v>
      </c>
      <c r="F17" s="1944">
        <v>8435</v>
      </c>
      <c r="G17" s="1944">
        <v>53996</v>
      </c>
      <c r="H17" s="1944">
        <v>0</v>
      </c>
      <c r="I17" s="1944">
        <v>8435</v>
      </c>
      <c r="J17" s="1944">
        <v>0</v>
      </c>
      <c r="K17" s="1944">
        <v>0</v>
      </c>
      <c r="L17" s="1945">
        <f t="shared" si="0"/>
        <v>62431</v>
      </c>
      <c r="M17" s="1946" t="s">
        <v>2119</v>
      </c>
    </row>
    <row r="18" spans="2:13" ht="20.100000000000001" customHeight="1" x14ac:dyDescent="0.2">
      <c r="B18" s="1941" t="s">
        <v>2090</v>
      </c>
      <c r="C18" s="1942">
        <v>10.555</v>
      </c>
      <c r="D18" s="1943">
        <v>2019</v>
      </c>
      <c r="E18" s="1944">
        <v>0</v>
      </c>
      <c r="F18" s="1944">
        <v>22926</v>
      </c>
      <c r="G18" s="1944">
        <v>0</v>
      </c>
      <c r="H18" s="1944">
        <v>0</v>
      </c>
      <c r="I18" s="1944">
        <v>22926</v>
      </c>
      <c r="J18" s="1944">
        <v>0</v>
      </c>
      <c r="K18" s="1944">
        <v>0</v>
      </c>
      <c r="L18" s="1945">
        <f t="shared" si="0"/>
        <v>22926</v>
      </c>
      <c r="M18" s="1946" t="s">
        <v>2119</v>
      </c>
    </row>
    <row r="19" spans="2:13" ht="20.100000000000001" customHeight="1" x14ac:dyDescent="0.2">
      <c r="B19" s="1941" t="s">
        <v>2091</v>
      </c>
      <c r="C19" s="1942">
        <v>10.555</v>
      </c>
      <c r="D19" s="1943">
        <v>2019</v>
      </c>
      <c r="E19" s="1944">
        <v>0</v>
      </c>
      <c r="F19" s="1944">
        <v>14939</v>
      </c>
      <c r="G19" s="1944">
        <v>0</v>
      </c>
      <c r="H19" s="1944">
        <v>0</v>
      </c>
      <c r="I19" s="1944">
        <v>14939</v>
      </c>
      <c r="J19" s="1944">
        <v>0</v>
      </c>
      <c r="K19" s="1944">
        <v>0</v>
      </c>
      <c r="L19" s="1945">
        <f t="shared" si="0"/>
        <v>14939</v>
      </c>
      <c r="M19" s="1946" t="s">
        <v>2119</v>
      </c>
    </row>
    <row r="20" spans="2:13" ht="20.100000000000001" customHeight="1" x14ac:dyDescent="0.2">
      <c r="B20" s="1941" t="s">
        <v>2090</v>
      </c>
      <c r="C20" s="1942">
        <v>10.555</v>
      </c>
      <c r="D20" s="1943">
        <v>2018</v>
      </c>
      <c r="E20" s="1944">
        <v>21512</v>
      </c>
      <c r="F20" s="1944">
        <v>0</v>
      </c>
      <c r="G20" s="1944">
        <v>21512</v>
      </c>
      <c r="H20" s="1944">
        <v>0</v>
      </c>
      <c r="I20" s="1944">
        <v>0</v>
      </c>
      <c r="J20" s="1944">
        <v>0</v>
      </c>
      <c r="K20" s="1944">
        <v>0</v>
      </c>
      <c r="L20" s="1945">
        <f t="shared" si="0"/>
        <v>21512</v>
      </c>
      <c r="M20" s="1946" t="s">
        <v>2119</v>
      </c>
    </row>
    <row r="21" spans="2:13" ht="20.100000000000001" customHeight="1" x14ac:dyDescent="0.2">
      <c r="B21" s="1941" t="s">
        <v>2091</v>
      </c>
      <c r="C21" s="1942">
        <v>10.555</v>
      </c>
      <c r="D21" s="1943">
        <v>2018</v>
      </c>
      <c r="E21" s="1944">
        <v>18322</v>
      </c>
      <c r="F21" s="1944">
        <v>0</v>
      </c>
      <c r="G21" s="1944">
        <v>18322</v>
      </c>
      <c r="H21" s="1944">
        <v>0</v>
      </c>
      <c r="I21" s="1944">
        <v>0</v>
      </c>
      <c r="J21" s="1944">
        <v>0</v>
      </c>
      <c r="K21" s="1944">
        <v>0</v>
      </c>
      <c r="L21" s="1945">
        <f t="shared" si="0"/>
        <v>18322</v>
      </c>
      <c r="M21" s="1946" t="s">
        <v>2119</v>
      </c>
    </row>
    <row r="22" spans="2:13" ht="20.100000000000001" customHeight="1" x14ac:dyDescent="0.2">
      <c r="B22" s="1941" t="s">
        <v>2092</v>
      </c>
      <c r="C22" s="1942"/>
      <c r="D22" s="1943"/>
      <c r="E22" s="1944">
        <f>SUBTOTAL(109,E14:E21)</f>
        <v>280673</v>
      </c>
      <c r="F22" s="1944">
        <f>SUBTOTAL(109,F14:F21)</f>
        <v>312614</v>
      </c>
      <c r="G22" s="1944">
        <f>SUBTOTAL(109,G14:G21)</f>
        <v>280673</v>
      </c>
      <c r="H22" s="1944">
        <v>0</v>
      </c>
      <c r="I22" s="1944">
        <f>SUBTOTAL(109,I14:I21)</f>
        <v>318165</v>
      </c>
      <c r="J22" s="1944">
        <v>0</v>
      </c>
      <c r="K22" s="1944">
        <v>0</v>
      </c>
      <c r="L22" s="1945">
        <f t="shared" si="0"/>
        <v>598838</v>
      </c>
      <c r="M22" s="1946" t="s">
        <v>2119</v>
      </c>
    </row>
    <row r="23" spans="2:13" ht="20.100000000000001" customHeight="1" x14ac:dyDescent="0.2">
      <c r="B23" s="1941" t="s">
        <v>2093</v>
      </c>
      <c r="C23" s="1942"/>
      <c r="D23" s="1943"/>
      <c r="E23" s="1944">
        <f>SUBTOTAL(109,E14:E21)</f>
        <v>280673</v>
      </c>
      <c r="F23" s="1944">
        <f>SUBTOTAL(109,F14:F21)</f>
        <v>312614</v>
      </c>
      <c r="G23" s="1944">
        <f>SUBTOTAL(109,G14:G21)</f>
        <v>280673</v>
      </c>
      <c r="H23" s="1944">
        <v>0</v>
      </c>
      <c r="I23" s="1944">
        <f>SUBTOTAL(109,I14:I21)</f>
        <v>318165</v>
      </c>
      <c r="J23" s="1944">
        <v>0</v>
      </c>
      <c r="K23" s="1944">
        <v>0</v>
      </c>
      <c r="L23" s="1945">
        <f t="shared" si="0"/>
        <v>598838</v>
      </c>
      <c r="M23" s="1946" t="s">
        <v>2119</v>
      </c>
    </row>
    <row r="24" spans="2:13" x14ac:dyDescent="0.2">
      <c r="B24" s="1941" t="s">
        <v>2094</v>
      </c>
      <c r="C24" s="1942"/>
      <c r="D24" s="1943"/>
      <c r="E24" s="1944"/>
      <c r="F24" s="1944"/>
      <c r="G24" s="1944"/>
      <c r="H24" s="1944"/>
      <c r="I24" s="1944"/>
      <c r="J24" s="1944"/>
      <c r="K24" s="1944"/>
      <c r="L24" s="1947"/>
      <c r="M24" s="1946"/>
    </row>
    <row r="25" spans="2:13" x14ac:dyDescent="0.2">
      <c r="B25" s="1948" t="s">
        <v>2086</v>
      </c>
      <c r="C25" s="1942"/>
      <c r="D25" s="1943"/>
      <c r="E25" s="1944"/>
      <c r="F25" s="1944"/>
      <c r="G25" s="1944"/>
      <c r="H25" s="1944"/>
      <c r="I25" s="1944"/>
      <c r="J25" s="1944"/>
      <c r="K25" s="1944"/>
      <c r="L25" s="1947"/>
      <c r="M25" s="1946"/>
    </row>
    <row r="26" spans="2:13" ht="20.100000000000001" customHeight="1" x14ac:dyDescent="0.2">
      <c r="B26" s="1941" t="s">
        <v>2095</v>
      </c>
      <c r="C26" s="1942" t="s">
        <v>2113</v>
      </c>
      <c r="D26" s="1943" t="s">
        <v>2128</v>
      </c>
      <c r="E26" s="1944">
        <v>0</v>
      </c>
      <c r="F26" s="1944">
        <f>186942-F27</f>
        <v>98680</v>
      </c>
      <c r="G26" s="1944">
        <v>0</v>
      </c>
      <c r="H26" s="1944">
        <v>0</v>
      </c>
      <c r="I26" s="1944">
        <v>222096</v>
      </c>
      <c r="J26" s="1944">
        <v>0</v>
      </c>
      <c r="K26" s="1944">
        <v>27314</v>
      </c>
      <c r="L26" s="1945">
        <f t="shared" ref="L26:L46" si="1">+G26+I26+K26</f>
        <v>249410</v>
      </c>
      <c r="M26" s="1944">
        <v>252008</v>
      </c>
    </row>
    <row r="27" spans="2:13" ht="20.100000000000001" customHeight="1" x14ac:dyDescent="0.2">
      <c r="B27" s="1941" t="s">
        <v>2095</v>
      </c>
      <c r="C27" s="1942" t="s">
        <v>2113</v>
      </c>
      <c r="D27" s="1943" t="s">
        <v>2120</v>
      </c>
      <c r="E27" s="1944">
        <f>134933+5930</f>
        <v>140863</v>
      </c>
      <c r="F27" s="1944">
        <v>88262</v>
      </c>
      <c r="G27" s="1944">
        <v>200036</v>
      </c>
      <c r="H27" s="1944">
        <v>0</v>
      </c>
      <c r="I27" s="1944">
        <v>29089</v>
      </c>
      <c r="J27" s="1944">
        <v>0</v>
      </c>
      <c r="K27" s="1944">
        <v>0</v>
      </c>
      <c r="L27" s="1945">
        <f t="shared" si="1"/>
        <v>229125</v>
      </c>
      <c r="M27" s="1944">
        <v>229125</v>
      </c>
    </row>
    <row r="28" spans="2:13" ht="20.100000000000001" customHeight="1" x14ac:dyDescent="0.2">
      <c r="B28" s="1941" t="s">
        <v>2133</v>
      </c>
      <c r="C28" s="1942" t="s">
        <v>2113</v>
      </c>
      <c r="D28" s="1943" t="s">
        <v>2132</v>
      </c>
      <c r="E28" s="1944">
        <v>0</v>
      </c>
      <c r="F28" s="1944">
        <v>21119</v>
      </c>
      <c r="G28" s="1944">
        <v>0</v>
      </c>
      <c r="H28" s="1944"/>
      <c r="I28" s="1944">
        <v>46279</v>
      </c>
      <c r="J28" s="1944">
        <v>0</v>
      </c>
      <c r="K28" s="1944">
        <v>0</v>
      </c>
      <c r="L28" s="1945">
        <f t="shared" ref="L28" si="2">+G28+I28+K28</f>
        <v>46279</v>
      </c>
      <c r="M28" s="1944" t="s">
        <v>2134</v>
      </c>
    </row>
    <row r="29" spans="2:13" ht="20.100000000000001" customHeight="1" x14ac:dyDescent="0.2">
      <c r="B29" s="1941" t="s">
        <v>2096</v>
      </c>
      <c r="C29" s="1942" t="s">
        <v>2114</v>
      </c>
      <c r="D29" s="1943" t="s">
        <v>2129</v>
      </c>
      <c r="E29" s="1944">
        <v>0</v>
      </c>
      <c r="F29" s="1944">
        <v>14283</v>
      </c>
      <c r="G29" s="1944">
        <v>0</v>
      </c>
      <c r="H29" s="1944">
        <v>0</v>
      </c>
      <c r="I29" s="1944">
        <v>16584</v>
      </c>
      <c r="J29" s="1944">
        <v>0</v>
      </c>
      <c r="K29" s="1944">
        <v>0</v>
      </c>
      <c r="L29" s="1945">
        <f t="shared" si="1"/>
        <v>16584</v>
      </c>
      <c r="M29" s="1944">
        <v>17444</v>
      </c>
    </row>
    <row r="30" spans="2:13" ht="20.100000000000001" customHeight="1" x14ac:dyDescent="0.2">
      <c r="B30" s="1941" t="s">
        <v>2096</v>
      </c>
      <c r="C30" s="1942" t="s">
        <v>2115</v>
      </c>
      <c r="D30" s="1943" t="s">
        <v>2121</v>
      </c>
      <c r="E30" s="1944">
        <v>9674</v>
      </c>
      <c r="F30" s="1944">
        <v>3044</v>
      </c>
      <c r="G30" s="1944">
        <v>12718</v>
      </c>
      <c r="H30" s="1944">
        <v>0</v>
      </c>
      <c r="I30" s="1944">
        <v>0</v>
      </c>
      <c r="J30" s="1944">
        <v>0</v>
      </c>
      <c r="K30" s="1944">
        <v>0</v>
      </c>
      <c r="L30" s="1945">
        <f t="shared" si="1"/>
        <v>12718</v>
      </c>
      <c r="M30" s="1944">
        <v>14770</v>
      </c>
    </row>
    <row r="31" spans="2:13" ht="20.100000000000001" customHeight="1" x14ac:dyDescent="0.2">
      <c r="B31" s="1941" t="s">
        <v>2097</v>
      </c>
      <c r="C31" s="1942" t="s">
        <v>2116</v>
      </c>
      <c r="D31" s="1943" t="s">
        <v>2130</v>
      </c>
      <c r="E31" s="1944">
        <v>0</v>
      </c>
      <c r="F31" s="1944">
        <v>31035</v>
      </c>
      <c r="G31" s="1944">
        <v>0</v>
      </c>
      <c r="H31" s="1944">
        <v>0</v>
      </c>
      <c r="I31" s="1944">
        <v>36930</v>
      </c>
      <c r="J31" s="1944">
        <v>0</v>
      </c>
      <c r="K31" s="1944">
        <v>4716</v>
      </c>
      <c r="L31" s="1945">
        <f t="shared" si="1"/>
        <v>41646</v>
      </c>
      <c r="M31" s="1944">
        <v>41646</v>
      </c>
    </row>
    <row r="32" spans="2:13" ht="20.100000000000001" customHeight="1" x14ac:dyDescent="0.2">
      <c r="B32" s="1941" t="s">
        <v>2097</v>
      </c>
      <c r="C32" s="1942" t="s">
        <v>2116</v>
      </c>
      <c r="D32" s="1943" t="s">
        <v>2122</v>
      </c>
      <c r="E32" s="1944">
        <v>23086</v>
      </c>
      <c r="F32" s="1944">
        <f>45179-E32</f>
        <v>22093</v>
      </c>
      <c r="G32" s="1944">
        <v>35914</v>
      </c>
      <c r="H32" s="1944">
        <v>0</v>
      </c>
      <c r="I32" s="1944">
        <v>9265</v>
      </c>
      <c r="J32" s="1944">
        <v>0</v>
      </c>
      <c r="K32" s="1944">
        <v>0</v>
      </c>
      <c r="L32" s="1945">
        <f t="shared" si="1"/>
        <v>45179</v>
      </c>
      <c r="M32" s="1944">
        <v>50369</v>
      </c>
    </row>
    <row r="33" spans="2:14" x14ac:dyDescent="0.2">
      <c r="B33" s="1948" t="s">
        <v>2098</v>
      </c>
      <c r="C33" s="1942"/>
      <c r="D33" s="1943"/>
      <c r="E33" s="1944"/>
      <c r="F33" s="1944"/>
      <c r="G33" s="1944"/>
      <c r="H33" s="1944"/>
      <c r="I33" s="1944"/>
      <c r="J33" s="1944"/>
      <c r="K33" s="1944"/>
      <c r="L33" s="1947"/>
      <c r="M33" s="1946"/>
    </row>
    <row r="34" spans="2:14" ht="20.100000000000001" customHeight="1" x14ac:dyDescent="0.2">
      <c r="B34" s="1941" t="s">
        <v>2135</v>
      </c>
      <c r="C34" s="1942" t="s">
        <v>2117</v>
      </c>
      <c r="D34" s="1943" t="s">
        <v>2125</v>
      </c>
      <c r="E34" s="1944">
        <v>0</v>
      </c>
      <c r="F34" s="1944">
        <v>24538</v>
      </c>
      <c r="G34" s="1944">
        <v>0</v>
      </c>
      <c r="H34" s="1944">
        <v>0</v>
      </c>
      <c r="I34" s="1944">
        <v>24538</v>
      </c>
      <c r="J34" s="1944">
        <v>0</v>
      </c>
      <c r="K34" s="1944">
        <v>0</v>
      </c>
      <c r="L34" s="1945">
        <f t="shared" si="1"/>
        <v>24538</v>
      </c>
      <c r="M34" s="1944">
        <v>31257</v>
      </c>
    </row>
    <row r="35" spans="2:14" ht="20.100000000000001" customHeight="1" x14ac:dyDescent="0.2">
      <c r="B35" s="1941" t="s">
        <v>2099</v>
      </c>
      <c r="C35" s="1942" t="s">
        <v>2117</v>
      </c>
      <c r="D35" s="1943" t="s">
        <v>2123</v>
      </c>
      <c r="E35" s="1944">
        <v>28591</v>
      </c>
      <c r="F35" s="1944"/>
      <c r="G35" s="1944">
        <v>28591</v>
      </c>
      <c r="H35" s="1944">
        <v>0</v>
      </c>
      <c r="I35" s="1944"/>
      <c r="J35" s="1944">
        <v>0</v>
      </c>
      <c r="K35" s="1944">
        <v>0</v>
      </c>
      <c r="L35" s="1945">
        <f t="shared" si="1"/>
        <v>28591</v>
      </c>
      <c r="M35" s="1944">
        <v>28591</v>
      </c>
    </row>
    <row r="36" spans="2:14" ht="20.100000000000001" customHeight="1" x14ac:dyDescent="0.2">
      <c r="B36" s="1941" t="s">
        <v>2136</v>
      </c>
      <c r="C36" s="1942" t="s">
        <v>2118</v>
      </c>
      <c r="D36" s="1943" t="s">
        <v>2126</v>
      </c>
      <c r="E36" s="1944">
        <v>0</v>
      </c>
      <c r="F36" s="1944">
        <v>389352</v>
      </c>
      <c r="G36" s="1944">
        <v>0</v>
      </c>
      <c r="H36" s="1944">
        <v>0</v>
      </c>
      <c r="I36" s="1944">
        <v>389352</v>
      </c>
      <c r="J36" s="1944">
        <v>0</v>
      </c>
      <c r="K36" s="1944">
        <v>0</v>
      </c>
      <c r="L36" s="1945">
        <f t="shared" si="1"/>
        <v>389352</v>
      </c>
      <c r="M36" s="1944">
        <v>428396</v>
      </c>
    </row>
    <row r="37" spans="2:14" ht="20.100000000000001" customHeight="1" x14ac:dyDescent="0.2">
      <c r="B37" s="1941" t="s">
        <v>2100</v>
      </c>
      <c r="C37" s="1942" t="s">
        <v>2118</v>
      </c>
      <c r="D37" s="1943" t="s">
        <v>2124</v>
      </c>
      <c r="E37" s="1944">
        <v>439726</v>
      </c>
      <c r="F37" s="1944"/>
      <c r="G37" s="1944">
        <v>439726</v>
      </c>
      <c r="H37" s="1944">
        <v>0</v>
      </c>
      <c r="I37" s="1944"/>
      <c r="J37" s="1944">
        <v>0</v>
      </c>
      <c r="K37" s="1944">
        <v>0</v>
      </c>
      <c r="L37" s="1945">
        <f t="shared" si="1"/>
        <v>439726</v>
      </c>
      <c r="M37" s="1944">
        <v>439726</v>
      </c>
    </row>
    <row r="38" spans="2:14" ht="20.100000000000001" customHeight="1" x14ac:dyDescent="0.2">
      <c r="B38" s="1941" t="s">
        <v>2101</v>
      </c>
      <c r="C38" s="1942" t="s">
        <v>2118</v>
      </c>
      <c r="D38" s="1943" t="s">
        <v>2127</v>
      </c>
      <c r="E38" s="1944">
        <v>0</v>
      </c>
      <c r="F38" s="1944">
        <v>45155</v>
      </c>
      <c r="G38" s="1944">
        <v>0</v>
      </c>
      <c r="H38" s="1944">
        <v>0</v>
      </c>
      <c r="I38" s="1944">
        <v>45155</v>
      </c>
      <c r="J38" s="1944">
        <v>0</v>
      </c>
      <c r="K38" s="1944">
        <v>0</v>
      </c>
      <c r="L38" s="1945">
        <f t="shared" si="1"/>
        <v>45155</v>
      </c>
      <c r="M38" s="1946" t="s">
        <v>2119</v>
      </c>
    </row>
    <row r="39" spans="2:14" ht="20.100000000000001" customHeight="1" x14ac:dyDescent="0.2">
      <c r="B39" s="1941" t="s">
        <v>2102</v>
      </c>
      <c r="C39" s="1942"/>
      <c r="D39" s="1943"/>
      <c r="E39" s="1944">
        <f>SUBTOTAL(109,E34:E38)</f>
        <v>468317</v>
      </c>
      <c r="F39" s="1944">
        <f>SUBTOTAL(109,F34:F38)</f>
        <v>459045</v>
      </c>
      <c r="G39" s="1944">
        <f>SUBTOTAL(109,G34:G38)</f>
        <v>468317</v>
      </c>
      <c r="H39" s="1944">
        <v>0</v>
      </c>
      <c r="I39" s="1944">
        <f>SUBTOTAL(109,I34:I38)</f>
        <v>459045</v>
      </c>
      <c r="J39" s="1944">
        <v>0</v>
      </c>
      <c r="K39" s="1944">
        <f>SUBTOTAL(109,K34:K38)</f>
        <v>0</v>
      </c>
      <c r="L39" s="1945">
        <f>G39+I39+K39</f>
        <v>927362</v>
      </c>
      <c r="M39" s="1946" t="s">
        <v>2119</v>
      </c>
    </row>
    <row r="40" spans="2:14" ht="20.100000000000001" customHeight="1" x14ac:dyDescent="0.2">
      <c r="B40" s="1941" t="s">
        <v>2103</v>
      </c>
      <c r="C40" s="1942"/>
      <c r="D40" s="1943"/>
      <c r="E40" s="1944">
        <f>SUBTOTAL(109,E26:E38)</f>
        <v>641940</v>
      </c>
      <c r="F40" s="1944">
        <f>SUBTOTAL(109,F26:F38)</f>
        <v>737561</v>
      </c>
      <c r="G40" s="1944">
        <f>SUBTOTAL(109,G26:G38)</f>
        <v>716985</v>
      </c>
      <c r="H40" s="1944">
        <v>0</v>
      </c>
      <c r="I40" s="1944">
        <f>SUBTOTAL(109,I26:I38)</f>
        <v>819288</v>
      </c>
      <c r="J40" s="1944">
        <v>0</v>
      </c>
      <c r="K40" s="1944">
        <f>SUBTOTAL(109,K26:K38)</f>
        <v>32030</v>
      </c>
      <c r="L40" s="1945">
        <f>G40+I40+K40</f>
        <v>1568303</v>
      </c>
      <c r="M40" s="1946" t="s">
        <v>2119</v>
      </c>
    </row>
    <row r="41" spans="2:14" x14ac:dyDescent="0.2">
      <c r="B41" s="1941" t="s">
        <v>2104</v>
      </c>
      <c r="C41" s="1942"/>
      <c r="D41" s="1943"/>
      <c r="E41" s="1944"/>
      <c r="F41" s="1944"/>
      <c r="G41" s="1944"/>
      <c r="H41" s="1944"/>
      <c r="I41" s="1944"/>
      <c r="J41" s="1944"/>
      <c r="K41" s="1944"/>
      <c r="L41" s="1947"/>
      <c r="M41" s="1946"/>
    </row>
    <row r="42" spans="2:14" x14ac:dyDescent="0.2">
      <c r="B42" s="1948" t="s">
        <v>2105</v>
      </c>
      <c r="C42" s="1942"/>
      <c r="D42" s="1943"/>
      <c r="E42" s="1944"/>
      <c r="F42" s="1944"/>
      <c r="G42" s="1944"/>
      <c r="H42" s="1944"/>
      <c r="I42" s="1944"/>
      <c r="J42" s="1944"/>
      <c r="K42" s="1944"/>
      <c r="L42" s="1947"/>
      <c r="M42" s="1946"/>
    </row>
    <row r="43" spans="2:14" ht="20.100000000000001" customHeight="1" x14ac:dyDescent="0.2">
      <c r="B43" s="1941" t="s">
        <v>2106</v>
      </c>
      <c r="C43" s="1942">
        <v>93.778000000000006</v>
      </c>
      <c r="D43" s="1943">
        <v>2019</v>
      </c>
      <c r="E43" s="1944">
        <v>0</v>
      </c>
      <c r="F43" s="1944">
        <v>7214</v>
      </c>
      <c r="G43" s="1944">
        <v>0</v>
      </c>
      <c r="H43" s="1944">
        <v>0</v>
      </c>
      <c r="I43" s="1944">
        <v>7214</v>
      </c>
      <c r="J43" s="1944">
        <v>0</v>
      </c>
      <c r="K43" s="1944">
        <v>0</v>
      </c>
      <c r="L43" s="1945">
        <f>G43+I43+K43</f>
        <v>7214</v>
      </c>
      <c r="M43" s="1946" t="s">
        <v>2119</v>
      </c>
    </row>
    <row r="44" spans="2:14" ht="20.100000000000001" customHeight="1" x14ac:dyDescent="0.2">
      <c r="B44" s="1941" t="s">
        <v>2106</v>
      </c>
      <c r="C44" s="1942">
        <v>93.778000000000006</v>
      </c>
      <c r="D44" s="1943">
        <v>2018</v>
      </c>
      <c r="E44" s="1944">
        <v>12407</v>
      </c>
      <c r="F44" s="1944">
        <v>0</v>
      </c>
      <c r="G44" s="1944">
        <v>12407</v>
      </c>
      <c r="H44" s="1944">
        <v>0</v>
      </c>
      <c r="I44" s="1944">
        <v>0</v>
      </c>
      <c r="J44" s="1944">
        <v>0</v>
      </c>
      <c r="K44" s="1944">
        <v>0</v>
      </c>
      <c r="L44" s="1945">
        <f>G44+I44+K44</f>
        <v>12407</v>
      </c>
      <c r="M44" s="1946" t="s">
        <v>2119</v>
      </c>
    </row>
    <row r="45" spans="2:14" ht="20.100000000000001" customHeight="1" x14ac:dyDescent="0.2">
      <c r="B45" s="1941" t="s">
        <v>2107</v>
      </c>
      <c r="C45" s="1942"/>
      <c r="D45" s="1943"/>
      <c r="E45" s="1944">
        <f>SUBTOTAL(109,E43:E44)</f>
        <v>12407</v>
      </c>
      <c r="F45" s="1944">
        <f>SUBTOTAL(109,F43:F44)</f>
        <v>7214</v>
      </c>
      <c r="G45" s="1944">
        <f>SUBTOTAL(109,G43:G44)</f>
        <v>12407</v>
      </c>
      <c r="H45" s="1944">
        <v>0</v>
      </c>
      <c r="I45" s="1944">
        <f>SUBTOTAL(109,I43:I44)</f>
        <v>7214</v>
      </c>
      <c r="J45" s="1944">
        <v>0</v>
      </c>
      <c r="K45" s="1944">
        <v>0</v>
      </c>
      <c r="L45" s="1945">
        <f>G45+I45+K45</f>
        <v>19621</v>
      </c>
      <c r="M45" s="1946" t="s">
        <v>2119</v>
      </c>
    </row>
    <row r="46" spans="2:14" ht="20.100000000000001" customHeight="1" x14ac:dyDescent="0.2">
      <c r="B46" s="1941" t="s">
        <v>2108</v>
      </c>
      <c r="C46" s="1942"/>
      <c r="D46" s="1943"/>
      <c r="E46" s="1944">
        <f>SUBTOTAL(109,E14:E44)</f>
        <v>935020</v>
      </c>
      <c r="F46" s="1944">
        <f>SUBTOTAL(109,F14:F44)</f>
        <v>1057389</v>
      </c>
      <c r="G46" s="1944">
        <f>SUBTOTAL(109,G14:G44)</f>
        <v>1010065</v>
      </c>
      <c r="H46" s="1944">
        <v>0</v>
      </c>
      <c r="I46" s="1944">
        <f>SUBTOTAL(109,I14:I44)</f>
        <v>1144667</v>
      </c>
      <c r="J46" s="1944">
        <v>0</v>
      </c>
      <c r="K46" s="1944">
        <f>SUBTOTAL(109,K14:K44)</f>
        <v>32030</v>
      </c>
      <c r="L46" s="1945">
        <f t="shared" si="1"/>
        <v>2186762</v>
      </c>
      <c r="M46" s="1946" t="s">
        <v>2119</v>
      </c>
      <c r="N46" s="1341"/>
    </row>
    <row r="47" spans="2:14" ht="12.75" customHeight="1" x14ac:dyDescent="0.2">
      <c r="B47" s="1342"/>
      <c r="C47" s="1343"/>
      <c r="D47" s="1344"/>
      <c r="E47" s="1345"/>
      <c r="F47" s="1345"/>
      <c r="G47" s="1345"/>
      <c r="H47" s="1345"/>
      <c r="I47" s="1345"/>
      <c r="J47" s="1345"/>
      <c r="K47" s="1345"/>
      <c r="L47" s="1345"/>
      <c r="M47" s="1345"/>
      <c r="N47" s="1341"/>
    </row>
    <row r="48" spans="2:14" x14ac:dyDescent="0.2">
      <c r="B48" s="1254"/>
      <c r="C48" s="1346"/>
      <c r="D48" s="1347"/>
      <c r="E48" s="1254"/>
      <c r="F48" s="1254"/>
      <c r="G48" s="1247"/>
      <c r="H48" s="1247"/>
      <c r="I48" s="1247"/>
      <c r="J48" s="1247"/>
      <c r="K48" s="1247"/>
      <c r="L48" s="1247"/>
      <c r="M48" s="1254"/>
      <c r="N48" s="1341"/>
    </row>
    <row r="49" spans="2:14" ht="13.5" customHeight="1" x14ac:dyDescent="0.2">
      <c r="B49" s="1279" t="s">
        <v>1734</v>
      </c>
      <c r="C49" s="1346"/>
      <c r="D49" s="1347"/>
      <c r="E49" s="1254"/>
      <c r="F49" s="1254"/>
      <c r="G49" s="1247"/>
      <c r="H49" s="1247"/>
      <c r="I49" s="1247"/>
      <c r="J49" s="1247"/>
      <c r="K49" s="1247"/>
      <c r="L49" s="1247"/>
      <c r="M49" s="1254"/>
      <c r="N49" s="1341"/>
    </row>
    <row r="50" spans="2:14" ht="8.25" customHeight="1" x14ac:dyDescent="0.2">
      <c r="B50" s="1279"/>
      <c r="C50" s="1346"/>
      <c r="D50" s="1347"/>
      <c r="E50" s="1254"/>
      <c r="F50" s="1254"/>
      <c r="G50" s="1247"/>
      <c r="H50" s="1247"/>
      <c r="I50" s="1247"/>
      <c r="J50" s="1247"/>
      <c r="K50" s="1247"/>
      <c r="L50" s="1247"/>
      <c r="M50" s="1254"/>
      <c r="N50" s="1341"/>
    </row>
    <row r="51" spans="2:14" x14ac:dyDescent="0.2">
      <c r="B51" s="1348" t="s">
        <v>1837</v>
      </c>
      <c r="C51" s="1349"/>
      <c r="D51" s="1350"/>
      <c r="E51" s="1351"/>
      <c r="F51" s="1351"/>
      <c r="G51" s="1351"/>
      <c r="H51" s="1351"/>
      <c r="I51" s="317"/>
      <c r="J51" s="317"/>
    </row>
    <row r="52" spans="2:14" x14ac:dyDescent="0.2">
      <c r="B52" s="1274"/>
      <c r="C52" s="1352"/>
      <c r="D52" s="1353"/>
      <c r="E52" s="1275"/>
      <c r="F52" s="1275"/>
      <c r="G52" s="317"/>
      <c r="H52" s="317"/>
      <c r="I52" s="317"/>
      <c r="J52" s="317"/>
    </row>
    <row r="53" spans="2:14" ht="13.5" customHeight="1" x14ac:dyDescent="0.2">
      <c r="B53" s="1273" t="s">
        <v>1246</v>
      </c>
      <c r="G53" s="317"/>
      <c r="H53" s="317"/>
      <c r="I53" s="317"/>
      <c r="J53" s="317"/>
    </row>
    <row r="54" spans="2:14" ht="13.5" customHeight="1" x14ac:dyDescent="0.2">
      <c r="B54" s="1356"/>
      <c r="C54" s="1357"/>
      <c r="D54" s="1358"/>
      <c r="E54" s="1294"/>
      <c r="F54" s="1294"/>
      <c r="G54" s="1294"/>
      <c r="H54" s="1294"/>
      <c r="I54" s="1294"/>
      <c r="J54" s="1294"/>
      <c r="K54" s="1359"/>
      <c r="L54" s="1359"/>
      <c r="M54" s="1294"/>
    </row>
    <row r="55" spans="2:14" ht="9.6" customHeight="1" x14ac:dyDescent="0.2">
      <c r="B55" s="1360"/>
      <c r="G55" s="317"/>
      <c r="H55" s="317"/>
      <c r="I55" s="317"/>
      <c r="J55" s="317"/>
    </row>
    <row r="56" spans="2:14" ht="11.25" customHeight="1" x14ac:dyDescent="0.2">
      <c r="B56" s="1361" t="s">
        <v>1735</v>
      </c>
      <c r="C56" s="1362"/>
      <c r="D56" s="1362"/>
      <c r="E56" s="1362"/>
      <c r="F56" s="1362"/>
      <c r="G56" s="1362"/>
      <c r="H56" s="1362"/>
      <c r="I56" s="1363"/>
      <c r="J56" s="1363"/>
      <c r="K56" s="1363"/>
      <c r="L56" s="1363"/>
      <c r="M56" s="1363"/>
    </row>
    <row r="57" spans="2:14" ht="11.25" customHeight="1" x14ac:dyDescent="0.2">
      <c r="B57" s="1364" t="s">
        <v>1584</v>
      </c>
      <c r="C57" s="1363"/>
      <c r="D57" s="1363"/>
      <c r="E57" s="1363"/>
      <c r="F57" s="1363"/>
      <c r="G57" s="1363"/>
      <c r="H57" s="1363"/>
      <c r="I57" s="1363"/>
      <c r="J57" s="1363"/>
      <c r="K57" s="1363"/>
      <c r="L57" s="1363"/>
      <c r="M57" s="1363"/>
    </row>
    <row r="58" spans="2:14" ht="3.95" customHeight="1" x14ac:dyDescent="0.2">
      <c r="B58" s="1364"/>
      <c r="C58" s="1363"/>
      <c r="D58" s="1363"/>
      <c r="E58" s="1363"/>
      <c r="F58" s="1363"/>
      <c r="G58" s="1363"/>
      <c r="H58" s="1363"/>
      <c r="I58" s="1363"/>
      <c r="J58" s="1363"/>
      <c r="K58" s="1363"/>
      <c r="L58" s="1363"/>
      <c r="M58" s="1363"/>
    </row>
    <row r="59" spans="2:14" ht="11.25" customHeight="1" x14ac:dyDescent="0.2">
      <c r="B59" s="1361" t="s">
        <v>1736</v>
      </c>
      <c r="C59" s="1363"/>
      <c r="D59" s="1363"/>
      <c r="E59" s="1363"/>
      <c r="F59" s="1363"/>
      <c r="G59" s="1363"/>
      <c r="H59" s="1363"/>
      <c r="I59" s="1363"/>
      <c r="J59" s="1363"/>
      <c r="K59" s="1363"/>
      <c r="L59" s="1363"/>
      <c r="M59" s="1363"/>
    </row>
    <row r="60" spans="2:14" ht="11.25" customHeight="1" x14ac:dyDescent="0.2">
      <c r="B60" s="1297" t="s">
        <v>1585</v>
      </c>
      <c r="C60" s="1365"/>
      <c r="D60" s="1366"/>
      <c r="E60" s="1297"/>
      <c r="F60" s="1297"/>
      <c r="G60" s="1297"/>
      <c r="H60" s="1297"/>
      <c r="I60" s="1297"/>
      <c r="J60" s="1297"/>
      <c r="K60" s="1367"/>
      <c r="L60" s="1367"/>
      <c r="M60" s="1297"/>
    </row>
    <row r="61" spans="2:14" ht="3.95" customHeight="1" x14ac:dyDescent="0.2">
      <c r="B61" s="1297"/>
      <c r="C61" s="1365"/>
      <c r="D61" s="1366"/>
      <c r="E61" s="1297"/>
      <c r="F61" s="1297"/>
      <c r="G61" s="1297"/>
      <c r="H61" s="1297"/>
      <c r="I61" s="1297"/>
      <c r="J61" s="1297"/>
      <c r="K61" s="1367"/>
      <c r="L61" s="1367"/>
      <c r="M61" s="1297"/>
    </row>
    <row r="62" spans="2:14" ht="11.25" customHeight="1" x14ac:dyDescent="0.2">
      <c r="B62" s="1368" t="s">
        <v>1737</v>
      </c>
      <c r="C62" s="1365"/>
      <c r="D62" s="1366"/>
      <c r="E62" s="1297"/>
      <c r="F62" s="1297"/>
      <c r="G62" s="1297"/>
      <c r="H62" s="1297"/>
      <c r="I62" s="1297"/>
      <c r="J62" s="1297"/>
      <c r="K62" s="1367"/>
      <c r="L62" s="1367"/>
      <c r="M62" s="1297"/>
    </row>
    <row r="63" spans="2:14" ht="3.95" customHeight="1" x14ac:dyDescent="0.2">
      <c r="B63" s="1368"/>
      <c r="C63" s="1365"/>
      <c r="D63" s="1366"/>
      <c r="E63" s="1297"/>
      <c r="F63" s="1297"/>
      <c r="G63" s="1297"/>
      <c r="H63" s="1297"/>
      <c r="I63" s="1297"/>
      <c r="J63" s="1297"/>
      <c r="K63" s="1367"/>
      <c r="L63" s="1367"/>
      <c r="M63" s="1297"/>
    </row>
    <row r="64" spans="2:14" ht="11.25" customHeight="1" x14ac:dyDescent="0.2">
      <c r="B64" s="1369" t="s">
        <v>1738</v>
      </c>
      <c r="C64" s="1365"/>
      <c r="D64" s="1366"/>
      <c r="E64" s="1297"/>
      <c r="F64" s="1297"/>
      <c r="G64" s="1297"/>
      <c r="H64" s="1297"/>
      <c r="I64" s="1297"/>
      <c r="J64" s="1297"/>
      <c r="K64" s="1367"/>
      <c r="L64" s="1367"/>
      <c r="M64" s="1297"/>
    </row>
    <row r="65" spans="2:13" ht="11.25" customHeight="1" x14ac:dyDescent="0.2">
      <c r="B65" s="1297" t="s">
        <v>1586</v>
      </c>
      <c r="G65" s="317"/>
      <c r="H65" s="317"/>
      <c r="I65" s="317"/>
      <c r="J65" s="317"/>
    </row>
    <row r="66" spans="2:13" ht="11.1" customHeight="1" x14ac:dyDescent="0.2">
      <c r="B66" s="1297"/>
      <c r="G66" s="317"/>
      <c r="H66" s="317"/>
      <c r="I66" s="317"/>
      <c r="J66" s="317"/>
    </row>
    <row r="67" spans="2:13" ht="11.1" customHeight="1" x14ac:dyDescent="0.2">
      <c r="B67" s="1297"/>
      <c r="G67" s="317"/>
      <c r="H67" s="317"/>
      <c r="I67" s="317"/>
      <c r="J67" s="317"/>
    </row>
    <row r="68" spans="2:13" ht="13.5" customHeight="1" x14ac:dyDescent="0.2">
      <c r="M68" s="1370"/>
    </row>
    <row r="69" spans="2:13" ht="13.5" customHeight="1" x14ac:dyDescent="0.2">
      <c r="M69" s="1370"/>
    </row>
    <row r="70" spans="2:13" ht="13.5" customHeight="1" x14ac:dyDescent="0.2">
      <c r="M70" s="1370"/>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row r="79" spans="2:13" ht="13.5" customHeight="1" x14ac:dyDescent="0.2"/>
    <row r="80" spans="2:13" ht="13.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4.7" customHeight="1" x14ac:dyDescent="0.2"/>
    <row r="171" ht="12.2" customHeight="1" x14ac:dyDescent="0.2"/>
  </sheetData>
  <mergeCells count="4">
    <mergeCell ref="B1:M1"/>
    <mergeCell ref="B2:M2"/>
    <mergeCell ref="B3:M3"/>
    <mergeCell ref="B4:M4"/>
  </mergeCells>
  <pageMargins left="0.09" right="0" top="0.5" bottom="0.5" header="0.25" footer="0.25"/>
  <pageSetup scale="5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FOREST RIDGE SD 142</v>
      </c>
      <c r="B1" s="2454"/>
      <c r="C1" s="2454"/>
      <c r="D1" s="2454"/>
      <c r="E1" s="2454"/>
      <c r="F1" s="2454"/>
    </row>
    <row r="2" spans="1:7" ht="13.5" customHeight="1" x14ac:dyDescent="0.2">
      <c r="A2" s="2442">
        <f>'Single Audit Cover'!E7</f>
        <v>7016142002</v>
      </c>
      <c r="B2" s="2442"/>
      <c r="C2" s="2442"/>
      <c r="D2" s="2442"/>
      <c r="E2" s="2442"/>
      <c r="F2" s="2442"/>
      <c r="G2" s="1272"/>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1728</v>
      </c>
      <c r="C6" s="317"/>
      <c r="D6" s="317"/>
    </row>
    <row r="7" spans="1:7" ht="60.95" customHeight="1" x14ac:dyDescent="0.2">
      <c r="A7" s="2453" t="s">
        <v>2137</v>
      </c>
      <c r="B7" s="2453"/>
      <c r="C7" s="2453"/>
      <c r="D7" s="2453"/>
      <c r="E7" s="2453"/>
      <c r="F7" s="245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3" t="s">
        <v>2138</v>
      </c>
      <c r="B13" s="2453"/>
      <c r="C13" s="2453"/>
      <c r="D13" s="2453"/>
      <c r="E13" s="2453"/>
      <c r="F13" s="2453"/>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t="s">
        <v>2139</v>
      </c>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2140</v>
      </c>
      <c r="B32" s="2447"/>
      <c r="C32" s="2447"/>
      <c r="D32" s="2447"/>
      <c r="E32" s="2447"/>
      <c r="F32" s="2447"/>
    </row>
    <row r="33" spans="1:6" ht="13.5" customHeight="1" x14ac:dyDescent="0.2">
      <c r="A33" s="328" t="s">
        <v>1434</v>
      </c>
      <c r="B33" s="328"/>
      <c r="C33" s="1285">
        <v>22926</v>
      </c>
      <c r="D33" s="1903"/>
      <c r="E33" s="1283"/>
    </row>
    <row r="34" spans="1:6" ht="13.5" customHeight="1" x14ac:dyDescent="0.2">
      <c r="A34" s="328" t="s">
        <v>1835</v>
      </c>
      <c r="B34" s="328"/>
      <c r="C34" s="1286">
        <v>14939</v>
      </c>
      <c r="D34" s="1903" t="s">
        <v>1589</v>
      </c>
      <c r="E34" s="2448">
        <f>+C33+C34</f>
        <v>37865</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2131</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H51" sqref="H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FOREST RIDGE SD 142</v>
      </c>
      <c r="C1" s="2469"/>
      <c r="D1" s="2469"/>
      <c r="E1" s="2469"/>
      <c r="F1" s="2469"/>
      <c r="G1" s="2469"/>
      <c r="H1" s="2469"/>
      <c r="I1" s="2469"/>
      <c r="J1" s="1406"/>
    </row>
    <row r="2" spans="2:10" s="317" customFormat="1" ht="12.75" customHeight="1" x14ac:dyDescent="0.2">
      <c r="B2" s="2470">
        <f>'Single Audit Cover'!E7</f>
        <v>7016142002</v>
      </c>
      <c r="C2" s="2471"/>
      <c r="D2" s="2471"/>
      <c r="E2" s="2471"/>
      <c r="F2" s="2471"/>
      <c r="G2" s="2471"/>
      <c r="H2" s="2471"/>
      <c r="I2" s="2471"/>
      <c r="J2" s="1406"/>
    </row>
    <row r="3" spans="2:10" s="317" customFormat="1" ht="12.75" customHeight="1" x14ac:dyDescent="0.2">
      <c r="B3" s="2472" t="s">
        <v>1285</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1284</v>
      </c>
      <c r="C7" s="2473"/>
      <c r="D7" s="2473"/>
      <c r="E7" s="2473"/>
      <c r="F7" s="2473"/>
      <c r="G7" s="2473"/>
      <c r="H7" s="2473"/>
      <c r="I7" s="247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4" t="s">
        <v>1164</v>
      </c>
      <c r="D11" s="247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5" t="s">
        <v>2141</v>
      </c>
      <c r="E29" s="2475"/>
      <c r="F29" s="2475"/>
      <c r="G29" s="2475"/>
      <c r="H29" s="2475"/>
      <c r="I29" s="247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6" t="s">
        <v>1748</v>
      </c>
      <c r="D37" s="2477"/>
      <c r="E37" s="2477"/>
      <c r="F37" s="2478"/>
      <c r="G37" s="2476" t="s">
        <v>1592</v>
      </c>
      <c r="H37" s="2477"/>
      <c r="I37" s="2478"/>
    </row>
    <row r="38" spans="2:9" ht="16.5" customHeight="1" x14ac:dyDescent="0.2">
      <c r="B38" s="1428" t="s">
        <v>2142</v>
      </c>
      <c r="C38" s="2464" t="s">
        <v>2098</v>
      </c>
      <c r="D38" s="2465"/>
      <c r="E38" s="2465"/>
      <c r="F38" s="2466"/>
      <c r="G38" s="2479">
        <v>459045</v>
      </c>
      <c r="H38" s="2480"/>
      <c r="I38" s="2481"/>
    </row>
    <row r="39" spans="2:9" ht="16.5" customHeight="1" x14ac:dyDescent="0.2">
      <c r="B39" s="1428"/>
      <c r="C39" s="2464"/>
      <c r="D39" s="2465"/>
      <c r="E39" s="2465"/>
      <c r="F39" s="2466"/>
      <c r="G39" s="2467"/>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57" t="s">
        <v>1593</v>
      </c>
      <c r="D43" s="2458"/>
      <c r="E43" s="2458"/>
      <c r="F43" s="2459"/>
      <c r="G43" s="2460">
        <f>SUM(G38:I42)</f>
        <v>459045</v>
      </c>
      <c r="H43" s="2460"/>
      <c r="I43" s="2460"/>
    </row>
    <row r="44" spans="2:9" ht="12.75" customHeight="1" x14ac:dyDescent="0.2"/>
    <row r="45" spans="2:9" ht="12.75" customHeight="1" x14ac:dyDescent="0.2">
      <c r="B45" s="1419" t="s">
        <v>1838</v>
      </c>
      <c r="D45" s="2461">
        <f>+' SEFA'!I46</f>
        <v>1144667</v>
      </c>
      <c r="E45" s="2462"/>
    </row>
    <row r="46" spans="2:9" ht="5.25" customHeight="1" x14ac:dyDescent="0.2">
      <c r="B46" s="1429"/>
      <c r="D46" s="1430"/>
      <c r="E46" s="1431"/>
    </row>
    <row r="47" spans="2:9" ht="12.75" customHeight="1" x14ac:dyDescent="0.2">
      <c r="B47" s="1297" t="s">
        <v>1594</v>
      </c>
      <c r="C47" s="1297"/>
      <c r="D47" s="1432">
        <f>+G43/D45</f>
        <v>0.40102929498273299</v>
      </c>
      <c r="E47" s="1433"/>
      <c r="F47" s="1434"/>
      <c r="I47" s="1435"/>
    </row>
    <row r="48" spans="2:9" ht="9.9499999999999993" customHeight="1" x14ac:dyDescent="0.2"/>
    <row r="49" spans="1:9" x14ac:dyDescent="0.2">
      <c r="B49" s="1365" t="s">
        <v>1273</v>
      </c>
      <c r="C49" s="1279"/>
      <c r="D49" s="1279"/>
      <c r="E49" s="2463">
        <v>750000</v>
      </c>
      <c r="F49" s="2463"/>
      <c r="G49" s="246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FOREST RIDGE SD 142</v>
      </c>
      <c r="C1" s="2468"/>
      <c r="D1" s="2468"/>
      <c r="E1" s="2468"/>
      <c r="F1" s="2468"/>
      <c r="G1" s="2468"/>
      <c r="H1" s="2468"/>
      <c r="I1" s="2468"/>
      <c r="J1" s="2468"/>
      <c r="K1" s="2468"/>
      <c r="L1" s="1371"/>
      <c r="M1" s="1371"/>
    </row>
    <row r="2" spans="1:13" ht="12" customHeight="1" x14ac:dyDescent="0.2">
      <c r="B2" s="2470">
        <f>'Single Audit Cover'!E7</f>
        <v>7016142002</v>
      </c>
      <c r="C2" s="2470"/>
      <c r="D2" s="2470"/>
      <c r="E2" s="2470"/>
      <c r="F2" s="2470"/>
      <c r="G2" s="2470"/>
      <c r="H2" s="2470"/>
      <c r="I2" s="2470"/>
      <c r="J2" s="2470"/>
      <c r="K2" s="2470"/>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7"/>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2"/>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FOREST RIDGE SD 142</v>
      </c>
      <c r="C1" s="2491"/>
      <c r="D1" s="2491"/>
      <c r="E1" s="2491"/>
      <c r="F1" s="2491"/>
      <c r="G1" s="2491"/>
      <c r="H1" s="2491"/>
      <c r="I1" s="2491"/>
      <c r="J1" s="2491"/>
      <c r="K1" s="2491"/>
      <c r="L1" s="1449"/>
    </row>
    <row r="2" spans="1:12" ht="12.75" customHeight="1" x14ac:dyDescent="0.2">
      <c r="B2" s="2492">
        <f>'Single Audit Cover'!E7</f>
        <v>7016142002</v>
      </c>
      <c r="C2" s="2492"/>
      <c r="D2" s="2492"/>
      <c r="E2" s="2492"/>
      <c r="F2" s="2492"/>
      <c r="G2" s="2492"/>
      <c r="H2" s="2492"/>
      <c r="I2" s="2492"/>
      <c r="J2" s="2492"/>
      <c r="K2" s="2492"/>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5"/>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FOREST RIDGE SD 142</v>
      </c>
      <c r="C1" s="2468"/>
      <c r="D1" s="2468"/>
      <c r="E1" s="1469"/>
    </row>
    <row r="2" spans="2:5" s="1279" customFormat="1" ht="12.75" customHeight="1" x14ac:dyDescent="0.2">
      <c r="B2" s="2470">
        <f>'Single Audit Cover'!E7</f>
        <v>7016142002</v>
      </c>
      <c r="C2" s="2470"/>
      <c r="D2" s="2470"/>
      <c r="E2" s="1470"/>
    </row>
    <row r="3" spans="2:5" ht="12.75" customHeight="1" x14ac:dyDescent="0.2">
      <c r="B3" s="2484" t="s">
        <v>1763</v>
      </c>
      <c r="C3" s="2484"/>
      <c r="D3" s="2484"/>
      <c r="E3" s="1271"/>
    </row>
    <row r="4" spans="2:5" s="1279" customFormat="1" ht="12.75" customHeight="1" x14ac:dyDescent="0.2">
      <c r="B4" s="2494" t="str">
        <f>'Single Audit Cover'!A4</f>
        <v>Year Ending June 30, 2019</v>
      </c>
      <c r="C4" s="2494"/>
      <c r="D4" s="249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2139</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255588142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2.4729000000000001E-2</v>
      </c>
      <c r="E10" s="356" t="s">
        <v>1005</v>
      </c>
      <c r="F10" s="355">
        <v>3.5720000000000001E-3</v>
      </c>
      <c r="G10" s="356" t="s">
        <v>1005</v>
      </c>
      <c r="H10" s="355">
        <v>1.2459999999999999E-3</v>
      </c>
      <c r="I10" s="356" t="s">
        <v>1006</v>
      </c>
      <c r="J10" s="1732">
        <f>ROUND(D10+F10+H10,5)</f>
        <v>2.955E-2</v>
      </c>
      <c r="K10" s="222"/>
      <c r="L10" s="355">
        <v>2.4000000000000001E-5</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15670366</v>
      </c>
      <c r="E16" s="356"/>
      <c r="F16" s="1733">
        <f>SUM('Acct Summary 7-8'!C17,'Acct Summary 7-8'!D17,'Acct Summary 7-8'!F17)</f>
        <v>15027331</v>
      </c>
      <c r="G16" s="356"/>
      <c r="H16" s="1733">
        <f>SUM(D16-F16)</f>
        <v>643035</v>
      </c>
      <c r="I16" s="222"/>
      <c r="J16" s="1733">
        <f>SUM('Acct Summary 7-8'!C81,'Acct Summary 7-8'!D81,'Acct Summary 7-8'!F81,'Acct Summary 7-8'!I81)</f>
        <v>11356803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35">
        <f>IF(B31="X",(J7*0.069),IF(B32="X",(J7*0.138),"Enter x in a.or b."))</f>
        <v>17635581.798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5507123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FOREST RIDGE SD 142</v>
      </c>
      <c r="E7" s="391"/>
      <c r="G7" s="252"/>
      <c r="H7" s="387"/>
      <c r="I7" s="387"/>
      <c r="J7" s="387"/>
      <c r="K7" s="387"/>
      <c r="L7" s="329"/>
      <c r="M7" s="329"/>
      <c r="N7" s="329"/>
      <c r="O7" s="329"/>
      <c r="P7" s="329"/>
    </row>
    <row r="8" spans="1:18" ht="12.75" x14ac:dyDescent="0.2">
      <c r="A8" s="329"/>
      <c r="B8" s="329"/>
      <c r="C8" s="389" t="s">
        <v>1125</v>
      </c>
      <c r="D8" s="392">
        <f>COVER!A13</f>
        <v>7016142002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11356803</v>
      </c>
      <c r="I12" s="404"/>
      <c r="J12" s="404"/>
      <c r="K12" s="405">
        <f>TRUNC((H12/H13*100000),5)/100000</f>
        <v>0.72473119000000008</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15670366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15027331</v>
      </c>
      <c r="I17" s="404"/>
      <c r="J17" s="416"/>
      <c r="K17" s="405">
        <f>TRUNC((H17/H18*100000),5)/100000</f>
        <v>0.95896490220000008</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15670366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11356803</v>
      </c>
      <c r="I24" s="422"/>
      <c r="J24" s="422"/>
      <c r="K24" s="423">
        <f>TRUNC(((H24/H25*100000)/100000),2)</f>
        <v>272.06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41742.586109999997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6419735.1566899996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5507123</v>
      </c>
      <c r="I32" s="420"/>
      <c r="J32" s="420"/>
      <c r="K32" s="423">
        <f>TRUNC(100-((((H32/H33*100))*100)/100),2)</f>
        <v>68.77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17635581.798</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5339938</v>
      </c>
      <c r="D4" s="466">
        <v>344806</v>
      </c>
      <c r="E4" s="466">
        <v>1529679</v>
      </c>
      <c r="F4" s="466">
        <f>379576</f>
        <v>379576</v>
      </c>
      <c r="G4" s="466">
        <v>738382</v>
      </c>
      <c r="H4" s="466">
        <v>772028</v>
      </c>
      <c r="I4" s="466">
        <v>5292483</v>
      </c>
      <c r="J4" s="467">
        <v>228723</v>
      </c>
      <c r="K4" s="466">
        <v>64242</v>
      </c>
      <c r="L4" s="466">
        <v>109447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5339938</v>
      </c>
      <c r="D13" s="1737">
        <f t="shared" ref="D13:L13" si="0">SUM(D4:D12)</f>
        <v>344806</v>
      </c>
      <c r="E13" s="1737">
        <f t="shared" si="0"/>
        <v>1529679</v>
      </c>
      <c r="F13" s="1737">
        <f t="shared" si="0"/>
        <v>379576</v>
      </c>
      <c r="G13" s="1737">
        <f t="shared" si="0"/>
        <v>738382</v>
      </c>
      <c r="H13" s="1737">
        <f t="shared" si="0"/>
        <v>772028</v>
      </c>
      <c r="I13" s="1737">
        <f t="shared" si="0"/>
        <v>5292483</v>
      </c>
      <c r="J13" s="1737">
        <f t="shared" si="0"/>
        <v>228723</v>
      </c>
      <c r="K13" s="1737">
        <f t="shared" si="0"/>
        <v>64242</v>
      </c>
      <c r="L13" s="1737">
        <f t="shared" si="0"/>
        <v>109447</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122641</v>
      </c>
      <c r="N16" s="484"/>
    </row>
    <row r="17" spans="1:14" s="485" customFormat="1" ht="12.75" customHeight="1" x14ac:dyDescent="0.2">
      <c r="A17" s="482" t="s">
        <v>1403</v>
      </c>
      <c r="B17" s="483">
        <v>230</v>
      </c>
      <c r="C17" s="477"/>
      <c r="D17" s="477"/>
      <c r="E17" s="477"/>
      <c r="F17" s="477"/>
      <c r="G17" s="477"/>
      <c r="H17" s="477"/>
      <c r="I17" s="477"/>
      <c r="J17" s="477"/>
      <c r="K17" s="477"/>
      <c r="L17" s="477"/>
      <c r="M17" s="467">
        <v>27992246</v>
      </c>
      <c r="N17" s="484"/>
    </row>
    <row r="18" spans="1:14" s="485" customFormat="1" ht="12.75" customHeight="1" x14ac:dyDescent="0.2">
      <c r="A18" s="482" t="s">
        <v>1404</v>
      </c>
      <c r="B18" s="483">
        <v>240</v>
      </c>
      <c r="C18" s="477"/>
      <c r="D18" s="477"/>
      <c r="E18" s="477"/>
      <c r="F18" s="477"/>
      <c r="G18" s="477"/>
      <c r="H18" s="477"/>
      <c r="I18" s="477"/>
      <c r="J18" s="477"/>
      <c r="K18" s="477"/>
      <c r="L18" s="477"/>
      <c r="M18" s="467">
        <v>594124</v>
      </c>
      <c r="N18" s="484"/>
    </row>
    <row r="19" spans="1:14" s="485" customFormat="1" ht="12.75" customHeight="1" x14ac:dyDescent="0.2">
      <c r="A19" s="482" t="s">
        <v>1405</v>
      </c>
      <c r="B19" s="483">
        <v>250</v>
      </c>
      <c r="C19" s="477"/>
      <c r="D19" s="477"/>
      <c r="E19" s="477"/>
      <c r="F19" s="477"/>
      <c r="G19" s="477"/>
      <c r="H19" s="477"/>
      <c r="I19" s="477"/>
      <c r="J19" s="477"/>
      <c r="K19" s="477"/>
      <c r="L19" s="477"/>
      <c r="M19" s="467">
        <f>445928+1926355</f>
        <v>2372283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1529679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3977444</v>
      </c>
    </row>
    <row r="23" spans="1:14" ht="13.5" customHeight="1" thickBot="1" x14ac:dyDescent="0.25">
      <c r="A23" s="1736" t="s">
        <v>643</v>
      </c>
      <c r="B23" s="1741"/>
      <c r="C23" s="468"/>
      <c r="D23" s="468"/>
      <c r="E23" s="468"/>
      <c r="F23" s="468"/>
      <c r="G23" s="468"/>
      <c r="H23" s="468"/>
      <c r="I23" s="468"/>
      <c r="J23" s="468"/>
      <c r="K23" s="468"/>
      <c r="L23" s="468"/>
      <c r="M23" s="1688">
        <f>SUM(M15:M22)</f>
        <v>31081294</v>
      </c>
      <c r="N23" s="1688">
        <f>SUM(N21:N22)</f>
        <v>5507123</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109447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109447</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5507123</v>
      </c>
    </row>
    <row r="37" spans="1:14" ht="13.5" thickBot="1" x14ac:dyDescent="0.25">
      <c r="A37" s="1736" t="s">
        <v>653</v>
      </c>
      <c r="B37" s="1741"/>
      <c r="C37" s="477"/>
      <c r="D37" s="477"/>
      <c r="E37" s="477"/>
      <c r="F37" s="477"/>
      <c r="G37" s="477"/>
      <c r="H37" s="477"/>
      <c r="I37" s="477"/>
      <c r="J37" s="477"/>
      <c r="K37" s="477"/>
      <c r="L37" s="480"/>
      <c r="M37" s="468"/>
      <c r="N37" s="1688">
        <f>SUM(N36:N36)</f>
        <v>5507123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5339938</v>
      </c>
      <c r="D39" s="466">
        <v>344806</v>
      </c>
      <c r="E39" s="466">
        <v>1529679</v>
      </c>
      <c r="F39" s="466">
        <v>379576</v>
      </c>
      <c r="G39" s="466">
        <v>738382</v>
      </c>
      <c r="H39" s="466">
        <v>772028</v>
      </c>
      <c r="I39" s="466">
        <v>5292483</v>
      </c>
      <c r="J39" s="467">
        <v>228723</v>
      </c>
      <c r="K39" s="466">
        <v>64242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31081294</v>
      </c>
      <c r="N40" s="497"/>
    </row>
    <row r="41" spans="1:14" ht="13.5" customHeight="1" thickBot="1" x14ac:dyDescent="0.25">
      <c r="A41" s="1736" t="s">
        <v>655</v>
      </c>
      <c r="B41" s="1706"/>
      <c r="C41" s="1688">
        <f>(SUM(C34,C37,C38,C39))</f>
        <v>5339938</v>
      </c>
      <c r="D41" s="1688">
        <f t="shared" ref="D41:L41" si="2">SUM(D34,D37,D38:D39)</f>
        <v>344806</v>
      </c>
      <c r="E41" s="1688">
        <f t="shared" si="2"/>
        <v>1529679</v>
      </c>
      <c r="F41" s="1688">
        <f t="shared" si="2"/>
        <v>379576</v>
      </c>
      <c r="G41" s="1688">
        <f t="shared" si="2"/>
        <v>738382</v>
      </c>
      <c r="H41" s="1688">
        <f t="shared" si="2"/>
        <v>772028</v>
      </c>
      <c r="I41" s="1688">
        <f t="shared" si="2"/>
        <v>5292483</v>
      </c>
      <c r="J41" s="1688">
        <f t="shared" si="2"/>
        <v>228723</v>
      </c>
      <c r="K41" s="1688">
        <f t="shared" si="2"/>
        <v>64242</v>
      </c>
      <c r="L41" s="1688">
        <f t="shared" si="2"/>
        <v>109447</v>
      </c>
      <c r="M41" s="1688">
        <f>SUM(M40)</f>
        <v>31081294</v>
      </c>
      <c r="N41" s="1688">
        <f>SUM(N37)</f>
        <v>5507123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6718409</v>
      </c>
      <c r="D4" s="1742">
        <f>'Revenues 9-14'!D109</f>
        <v>877306</v>
      </c>
      <c r="E4" s="1742">
        <f>'Revenues 9-14'!E109</f>
        <v>1920094</v>
      </c>
      <c r="F4" s="1742">
        <f>'Revenues 9-14'!F109</f>
        <v>331933</v>
      </c>
      <c r="G4" s="1742">
        <f>'Revenues 9-14'!G109</f>
        <v>490930</v>
      </c>
      <c r="H4" s="1742">
        <f>'Revenues 9-14'!H109</f>
        <v>93638</v>
      </c>
      <c r="I4" s="1742">
        <f>'Revenues 9-14'!I109</f>
        <v>130073</v>
      </c>
      <c r="J4" s="1742">
        <f>'Revenues 9-14'!J109</f>
        <v>133678</v>
      </c>
      <c r="K4" s="1742">
        <f>'Revenues 9-14'!K109</f>
        <v>6196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6112619</v>
      </c>
      <c r="D6" s="1743">
        <f>'Revenues 9-14'!D170</f>
        <v>100000</v>
      </c>
      <c r="E6" s="1743">
        <f>'Revenues 9-14'!E170</f>
        <v>0</v>
      </c>
      <c r="F6" s="1743">
        <f>'Revenues 9-14'!F170</f>
        <v>363030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1036996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13868024</v>
      </c>
      <c r="D8" s="1688">
        <f t="shared" ref="D8:K8" si="0">SUM(D4:D7)</f>
        <v>977306</v>
      </c>
      <c r="E8" s="1688">
        <f t="shared" si="0"/>
        <v>1920094</v>
      </c>
      <c r="F8" s="1688">
        <f t="shared" si="0"/>
        <v>694963</v>
      </c>
      <c r="G8" s="1688">
        <f t="shared" si="0"/>
        <v>490930</v>
      </c>
      <c r="H8" s="1688">
        <f t="shared" si="0"/>
        <v>93638</v>
      </c>
      <c r="I8" s="1688">
        <f t="shared" si="0"/>
        <v>130073</v>
      </c>
      <c r="J8" s="1688">
        <f t="shared" si="0"/>
        <v>133678</v>
      </c>
      <c r="K8" s="1688">
        <f t="shared" si="0"/>
        <v>6196</v>
      </c>
      <c r="L8" s="347"/>
    </row>
    <row r="9" spans="1:13" ht="15.75" thickTop="1" x14ac:dyDescent="0.2">
      <c r="A9" s="514" t="s">
        <v>1653</v>
      </c>
      <c r="B9" s="515">
        <v>3998</v>
      </c>
      <c r="C9" s="481">
        <v>4831623</v>
      </c>
      <c r="D9" s="516"/>
      <c r="E9" s="481"/>
      <c r="F9" s="481"/>
      <c r="G9" s="517"/>
      <c r="H9" s="481"/>
      <c r="I9" s="509" t="s">
        <v>1169</v>
      </c>
      <c r="J9" s="478"/>
      <c r="K9" s="481"/>
      <c r="L9" s="347"/>
    </row>
    <row r="10" spans="1:13" s="519" customFormat="1" ht="13.5" thickBot="1" x14ac:dyDescent="0.25">
      <c r="A10" s="1736" t="s">
        <v>1173</v>
      </c>
      <c r="B10" s="1709"/>
      <c r="C10" s="1688">
        <f>SUM(C8:C9)</f>
        <v>18699647</v>
      </c>
      <c r="D10" s="1688">
        <f t="shared" ref="D10:K10" si="1">SUM(D8:D9)</f>
        <v>977306</v>
      </c>
      <c r="E10" s="1688">
        <f t="shared" si="1"/>
        <v>1920094</v>
      </c>
      <c r="F10" s="1688">
        <f t="shared" si="1"/>
        <v>694963</v>
      </c>
      <c r="G10" s="1688">
        <f t="shared" si="1"/>
        <v>490930</v>
      </c>
      <c r="H10" s="1688">
        <f t="shared" si="1"/>
        <v>93638</v>
      </c>
      <c r="I10" s="1688">
        <f t="shared" si="1"/>
        <v>130073</v>
      </c>
      <c r="J10" s="1688">
        <f t="shared" si="1"/>
        <v>133678</v>
      </c>
      <c r="K10" s="1688">
        <f t="shared" si="1"/>
        <v>6196</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7499676</v>
      </c>
      <c r="D12" s="520" t="s">
        <v>1169</v>
      </c>
      <c r="E12" s="468" t="s">
        <v>1169</v>
      </c>
      <c r="F12" s="468" t="s">
        <v>1169</v>
      </c>
      <c r="G12" s="1742">
        <f>'Expenditures 15-22'!K229</f>
        <v>125379</v>
      </c>
      <c r="H12" s="521"/>
      <c r="I12" s="468" t="s">
        <v>1169</v>
      </c>
      <c r="J12" s="468" t="s">
        <v>1169</v>
      </c>
      <c r="K12" s="521" t="s">
        <v>1169</v>
      </c>
      <c r="L12" s="347"/>
    </row>
    <row r="13" spans="1:13" ht="15.75" customHeight="1" x14ac:dyDescent="0.2">
      <c r="A13" s="1576" t="s">
        <v>457</v>
      </c>
      <c r="B13" s="1578">
        <v>2000</v>
      </c>
      <c r="C13" s="1743">
        <f>'Expenditures 15-22'!K74</f>
        <v>4358364</v>
      </c>
      <c r="D13" s="1743">
        <f>'Expenditures 15-22'!K129</f>
        <v>976107</v>
      </c>
      <c r="E13" s="469" t="s">
        <v>1169</v>
      </c>
      <c r="F13" s="1743">
        <f>'Expenditures 15-22'!K184</f>
        <v>789005</v>
      </c>
      <c r="G13" s="1743">
        <f>'Expenditures 15-22'!K279</f>
        <v>202676</v>
      </c>
      <c r="H13" s="1743">
        <f>'Expenditures 15-22'!K303</f>
        <v>199716</v>
      </c>
      <c r="I13" s="468" t="s">
        <v>1169</v>
      </c>
      <c r="J13" s="1743">
        <f>'Expenditures 15-22'!K330</f>
        <v>90027</v>
      </c>
      <c r="K13" s="1747">
        <f>'Expenditures 15-22'!K352</f>
        <v>167401</v>
      </c>
      <c r="L13" s="347"/>
    </row>
    <row r="14" spans="1:13" ht="15.75" customHeight="1" x14ac:dyDescent="0.2">
      <c r="A14" s="1576" t="s">
        <v>449</v>
      </c>
      <c r="B14" s="1578">
        <v>3000</v>
      </c>
      <c r="C14" s="1743">
        <f>'Expenditures 15-22'!K75</f>
        <v>217991</v>
      </c>
      <c r="D14" s="1743">
        <f>'Expenditures 15-22'!K130</f>
        <v>0</v>
      </c>
      <c r="E14" s="520" t="s">
        <v>1169</v>
      </c>
      <c r="F14" s="1743">
        <f>'Expenditures 15-22'!K185</f>
        <v>0</v>
      </c>
      <c r="G14" s="1743">
        <f>'Expenditures 15-22'!K280</f>
        <v>15877</v>
      </c>
      <c r="H14" s="512"/>
      <c r="I14" s="468" t="s">
        <v>1169</v>
      </c>
      <c r="J14" s="468" t="s">
        <v>1169</v>
      </c>
      <c r="K14" s="512" t="s">
        <v>1169</v>
      </c>
      <c r="L14" s="347"/>
    </row>
    <row r="15" spans="1:13" ht="15.75" customHeight="1" x14ac:dyDescent="0.2">
      <c r="A15" s="1576" t="s">
        <v>107</v>
      </c>
      <c r="B15" s="1578">
        <v>4000</v>
      </c>
      <c r="C15" s="1743">
        <f>'Expenditures 15-22'!K102</f>
        <v>1186188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1955488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13262219</v>
      </c>
      <c r="D17" s="1688">
        <f t="shared" si="2"/>
        <v>976107</v>
      </c>
      <c r="E17" s="1688">
        <f t="shared" si="2"/>
        <v>1955488</v>
      </c>
      <c r="F17" s="1688">
        <f t="shared" si="2"/>
        <v>789005</v>
      </c>
      <c r="G17" s="1688">
        <f t="shared" si="2"/>
        <v>343932</v>
      </c>
      <c r="H17" s="1688">
        <f t="shared" si="2"/>
        <v>199716</v>
      </c>
      <c r="I17" s="468"/>
      <c r="J17" s="1688">
        <f>SUM(J12:J16)</f>
        <v>90027</v>
      </c>
      <c r="K17" s="1688">
        <f>SUM(K12:K16)</f>
        <v>167401</v>
      </c>
      <c r="L17" s="347"/>
    </row>
    <row r="18" spans="1:12" ht="15" customHeight="1" thickTop="1" x14ac:dyDescent="0.2">
      <c r="A18" s="1744" t="s">
        <v>1654</v>
      </c>
      <c r="B18" s="1745">
        <v>4180</v>
      </c>
      <c r="C18" s="1742">
        <f t="shared" ref="C18:H18" si="3">C9</f>
        <v>4831623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18093842</v>
      </c>
      <c r="D19" s="1688">
        <f t="shared" si="4"/>
        <v>976107</v>
      </c>
      <c r="E19" s="1688">
        <f t="shared" si="4"/>
        <v>1955488</v>
      </c>
      <c r="F19" s="1688">
        <f t="shared" si="4"/>
        <v>789005</v>
      </c>
      <c r="G19" s="1688">
        <f t="shared" si="4"/>
        <v>343932</v>
      </c>
      <c r="H19" s="1688">
        <f t="shared" si="4"/>
        <v>199716</v>
      </c>
      <c r="I19" s="468"/>
      <c r="J19" s="1688">
        <f>SUM(J17:J18)</f>
        <v>90027</v>
      </c>
      <c r="K19" s="1688">
        <f>SUM(K17:K18)</f>
        <v>167401</v>
      </c>
      <c r="L19" s="347"/>
    </row>
    <row r="20" spans="1:12" ht="16.5" thickTop="1" thickBot="1" x14ac:dyDescent="0.25">
      <c r="A20" s="2134" t="s">
        <v>1655</v>
      </c>
      <c r="B20" s="2135"/>
      <c r="C20" s="1746">
        <f>C8-C17</f>
        <v>605805</v>
      </c>
      <c r="D20" s="1746">
        <f t="shared" ref="D20:K20" si="5">D8-D17</f>
        <v>1199</v>
      </c>
      <c r="E20" s="1746">
        <f t="shared" si="5"/>
        <v>-35394</v>
      </c>
      <c r="F20" s="1746">
        <f t="shared" si="5"/>
        <v>-94042</v>
      </c>
      <c r="G20" s="1746">
        <f t="shared" si="5"/>
        <v>146998</v>
      </c>
      <c r="H20" s="1746">
        <f t="shared" si="5"/>
        <v>-106078</v>
      </c>
      <c r="I20" s="1746">
        <f t="shared" si="5"/>
        <v>130073</v>
      </c>
      <c r="J20" s="1746">
        <f t="shared" si="5"/>
        <v>43651</v>
      </c>
      <c r="K20" s="1746">
        <f t="shared" si="5"/>
        <v>-161205</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500000</v>
      </c>
      <c r="D25" s="467"/>
      <c r="E25" s="467"/>
      <c r="F25" s="467"/>
      <c r="G25" s="467"/>
      <c r="H25" s="467">
        <v>250000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7800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507800</v>
      </c>
      <c r="D44" s="1703">
        <f t="shared" ref="D44:K44" si="6">SUM(D24:D43)</f>
        <v>0</v>
      </c>
      <c r="E44" s="1703">
        <f t="shared" si="6"/>
        <v>0</v>
      </c>
      <c r="F44" s="1703">
        <f t="shared" si="6"/>
        <v>0</v>
      </c>
      <c r="G44" s="1703">
        <f t="shared" si="6"/>
        <v>0</v>
      </c>
      <c r="H44" s="1703">
        <f t="shared" si="6"/>
        <v>250000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750000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0</v>
      </c>
      <c r="I76" s="1703">
        <f t="shared" si="7"/>
        <v>750000</v>
      </c>
      <c r="J76" s="1703">
        <f t="shared" si="7"/>
        <v>0</v>
      </c>
      <c r="K76" s="1703">
        <f t="shared" si="7"/>
        <v>0</v>
      </c>
      <c r="L76" s="524"/>
    </row>
    <row r="77" spans="1:12" ht="14.25" thickTop="1" thickBot="1" x14ac:dyDescent="0.25">
      <c r="A77" s="2126" t="s">
        <v>1177</v>
      </c>
      <c r="B77" s="2127"/>
      <c r="C77" s="1703">
        <f t="shared" ref="C77:K77" si="8">C44-C76</f>
        <v>507800</v>
      </c>
      <c r="D77" s="1703">
        <f t="shared" si="8"/>
        <v>0</v>
      </c>
      <c r="E77" s="1703">
        <f t="shared" si="8"/>
        <v>0</v>
      </c>
      <c r="F77" s="1703">
        <f t="shared" si="8"/>
        <v>0</v>
      </c>
      <c r="G77" s="1703">
        <f t="shared" si="8"/>
        <v>0</v>
      </c>
      <c r="H77" s="1703">
        <f t="shared" si="8"/>
        <v>250000</v>
      </c>
      <c r="I77" s="1703">
        <f t="shared" si="8"/>
        <v>-750000</v>
      </c>
      <c r="J77" s="1703">
        <f t="shared" si="8"/>
        <v>0</v>
      </c>
      <c r="K77" s="1703">
        <f t="shared" si="8"/>
        <v>0</v>
      </c>
      <c r="L77" s="347"/>
    </row>
    <row r="78" spans="1:12" ht="21.75" customHeight="1" thickTop="1" thickBot="1" x14ac:dyDescent="0.25">
      <c r="A78" s="2130" t="s">
        <v>597</v>
      </c>
      <c r="B78" s="2131"/>
      <c r="C78" s="1702">
        <f t="shared" ref="C78:K78" si="9">C20+C77</f>
        <v>1113605</v>
      </c>
      <c r="D78" s="1702">
        <f t="shared" si="9"/>
        <v>1199</v>
      </c>
      <c r="E78" s="1702">
        <f t="shared" si="9"/>
        <v>-35394</v>
      </c>
      <c r="F78" s="1702">
        <f t="shared" si="9"/>
        <v>-94042</v>
      </c>
      <c r="G78" s="1702">
        <f t="shared" si="9"/>
        <v>146998</v>
      </c>
      <c r="H78" s="1702">
        <f t="shared" si="9"/>
        <v>143922</v>
      </c>
      <c r="I78" s="1702">
        <f t="shared" si="9"/>
        <v>-619927</v>
      </c>
      <c r="J78" s="1702">
        <f t="shared" si="9"/>
        <v>43651</v>
      </c>
      <c r="K78" s="1702">
        <f t="shared" si="9"/>
        <v>-161205</v>
      </c>
      <c r="L78" s="533"/>
    </row>
    <row r="79" spans="1:12" ht="13.5" thickTop="1" x14ac:dyDescent="0.2">
      <c r="A79" s="1494" t="s">
        <v>1946</v>
      </c>
      <c r="B79" s="534"/>
      <c r="C79" s="478">
        <v>4226333</v>
      </c>
      <c r="D79" s="535">
        <v>343607</v>
      </c>
      <c r="E79" s="535">
        <v>1565073</v>
      </c>
      <c r="F79" s="535">
        <v>473618</v>
      </c>
      <c r="G79" s="535">
        <v>591384</v>
      </c>
      <c r="H79" s="535">
        <v>628106</v>
      </c>
      <c r="I79" s="535">
        <v>5912410</v>
      </c>
      <c r="J79" s="535">
        <v>185072</v>
      </c>
      <c r="K79" s="535">
        <v>225447</v>
      </c>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1947</v>
      </c>
      <c r="B81" s="2129"/>
      <c r="C81" s="1688">
        <f>(SUM(C78:C80))</f>
        <v>5339938</v>
      </c>
      <c r="D81" s="1688">
        <f>SUM(D78:D80)</f>
        <v>344806</v>
      </c>
      <c r="E81" s="1688">
        <f t="shared" ref="E81:K81" si="10">SUM(E78:E80)</f>
        <v>1529679</v>
      </c>
      <c r="F81" s="1688">
        <f t="shared" si="10"/>
        <v>379576</v>
      </c>
      <c r="G81" s="1688">
        <f t="shared" si="10"/>
        <v>738382</v>
      </c>
      <c r="H81" s="1688">
        <f t="shared" si="10"/>
        <v>772028</v>
      </c>
      <c r="I81" s="1688">
        <f t="shared" si="10"/>
        <v>5292483</v>
      </c>
      <c r="J81" s="1688">
        <f t="shared" si="10"/>
        <v>228723</v>
      </c>
      <c r="K81" s="1688">
        <f t="shared" si="10"/>
        <v>64242</v>
      </c>
      <c r="L81" s="347"/>
    </row>
    <row r="82" spans="1:12" ht="0.75" customHeight="1" thickTop="1" thickBot="1" x14ac:dyDescent="0.25">
      <c r="A82" s="536" t="s">
        <v>343</v>
      </c>
      <c r="B82" s="537"/>
      <c r="C82" s="538">
        <f>(C81-C79)</f>
        <v>1113605</v>
      </c>
      <c r="D82" s="538">
        <f t="shared" ref="D82:K82" si="11">(D81-D79)</f>
        <v>1199</v>
      </c>
      <c r="E82" s="538">
        <f t="shared" si="11"/>
        <v>-35394</v>
      </c>
      <c r="F82" s="538">
        <f t="shared" si="11"/>
        <v>-94042</v>
      </c>
      <c r="G82" s="538">
        <f t="shared" si="11"/>
        <v>146998</v>
      </c>
      <c r="H82" s="538">
        <f t="shared" si="11"/>
        <v>143922</v>
      </c>
      <c r="I82" s="538">
        <f t="shared" si="11"/>
        <v>-619927</v>
      </c>
      <c r="J82" s="538">
        <f t="shared" si="11"/>
        <v>43651</v>
      </c>
      <c r="K82" s="538">
        <f t="shared" si="11"/>
        <v>-161205</v>
      </c>
    </row>
    <row r="83" spans="1:12" ht="14.25" hidden="1" thickTop="1" thickBot="1" x14ac:dyDescent="0.25">
      <c r="A83" s="539" t="s">
        <v>344</v>
      </c>
      <c r="B83" s="464"/>
      <c r="C83" s="540">
        <f>C82/C81</f>
        <v>0.20854268345437718</v>
      </c>
      <c r="D83" s="540">
        <f t="shared" ref="D83:K83" si="12">D82/D81</f>
        <v>3.4773176800867735E-3</v>
      </c>
      <c r="E83" s="540">
        <f t="shared" si="12"/>
        <v>-2.3138187815875094E-2</v>
      </c>
      <c r="F83" s="540">
        <f t="shared" si="12"/>
        <v>-0.24775539022488249</v>
      </c>
      <c r="G83" s="540">
        <f t="shared" si="12"/>
        <v>0.19908123437461911</v>
      </c>
      <c r="H83" s="540">
        <f t="shared" si="12"/>
        <v>0.18642069976736594</v>
      </c>
      <c r="I83" s="540">
        <f t="shared" si="12"/>
        <v>-0.11713348913921877</v>
      </c>
      <c r="J83" s="540">
        <f t="shared" si="12"/>
        <v>0.19084656986835605</v>
      </c>
      <c r="K83" s="540">
        <f t="shared" si="12"/>
        <v>-2.5093396843186699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90" zoomScaleNormal="90" zoomScaleSheetLayoutView="75" workbookViewId="0">
      <pane ySplit="2" topLeftCell="A3" activePane="bottomLeft" state="frozen"/>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5846173</v>
      </c>
      <c r="D5" s="481">
        <v>848045</v>
      </c>
      <c r="E5" s="466">
        <v>1897759</v>
      </c>
      <c r="F5" s="548">
        <v>297136</v>
      </c>
      <c r="G5" s="466">
        <v>248472</v>
      </c>
      <c r="H5" s="466">
        <v>0</v>
      </c>
      <c r="I5" s="466">
        <v>5700</v>
      </c>
      <c r="J5" s="467">
        <v>130883</v>
      </c>
      <c r="K5" s="466">
        <v>2663</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2663</v>
      </c>
      <c r="D7" s="466">
        <v>0</v>
      </c>
      <c r="E7" s="468"/>
      <c r="F7" s="467">
        <v>0</v>
      </c>
      <c r="G7" s="467">
        <v>0</v>
      </c>
      <c r="H7" s="467">
        <v>0</v>
      </c>
      <c r="I7" s="468"/>
      <c r="J7" s="468"/>
      <c r="K7" s="468"/>
    </row>
    <row r="8" spans="1:12" x14ac:dyDescent="0.2">
      <c r="A8" s="463" t="s">
        <v>413</v>
      </c>
      <c r="B8" s="470">
        <v>1150</v>
      </c>
      <c r="C8" s="475"/>
      <c r="D8" s="475"/>
      <c r="E8" s="477"/>
      <c r="F8" s="477"/>
      <c r="G8" s="481">
        <v>230065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5848836</v>
      </c>
      <c r="D12" s="1707">
        <f t="shared" si="0"/>
        <v>848045</v>
      </c>
      <c r="E12" s="1707">
        <f t="shared" si="0"/>
        <v>1897759</v>
      </c>
      <c r="F12" s="1707">
        <f t="shared" si="0"/>
        <v>297136</v>
      </c>
      <c r="G12" s="1707">
        <f t="shared" si="0"/>
        <v>478537</v>
      </c>
      <c r="H12" s="1707">
        <f t="shared" si="0"/>
        <v>0</v>
      </c>
      <c r="I12" s="1707">
        <f t="shared" si="0"/>
        <v>5700</v>
      </c>
      <c r="J12" s="1707">
        <f t="shared" si="0"/>
        <v>130883</v>
      </c>
      <c r="K12" s="1688">
        <f t="shared" si="0"/>
        <v>2663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78159</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78159</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25307</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25307</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83080</v>
      </c>
      <c r="D65" s="466">
        <v>6071</v>
      </c>
      <c r="E65" s="466">
        <v>22335</v>
      </c>
      <c r="F65" s="467">
        <v>9490</v>
      </c>
      <c r="G65" s="466">
        <v>12393</v>
      </c>
      <c r="H65" s="466">
        <v>12303</v>
      </c>
      <c r="I65" s="466">
        <v>124373</v>
      </c>
      <c r="J65" s="467">
        <v>2795</v>
      </c>
      <c r="K65" s="466">
        <v>3533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83080</v>
      </c>
      <c r="D67" s="1688">
        <f t="shared" ref="D67:K67" si="2">SUM(D65:D66)</f>
        <v>6071</v>
      </c>
      <c r="E67" s="1688">
        <f t="shared" si="2"/>
        <v>22335</v>
      </c>
      <c r="F67" s="1688">
        <f t="shared" si="2"/>
        <v>9490</v>
      </c>
      <c r="G67" s="1688">
        <f t="shared" si="2"/>
        <v>12393</v>
      </c>
      <c r="H67" s="1688">
        <f t="shared" si="2"/>
        <v>12303</v>
      </c>
      <c r="I67" s="1688">
        <f t="shared" si="2"/>
        <v>124373</v>
      </c>
      <c r="J67" s="1688">
        <f t="shared" si="2"/>
        <v>2795</v>
      </c>
      <c r="K67" s="1688">
        <f t="shared" si="2"/>
        <v>3533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138606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39479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323</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178408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32136</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32136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144488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144488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136700</v>
      </c>
      <c r="D95" s="551">
        <v>0</v>
      </c>
      <c r="E95" s="521"/>
      <c r="F95" s="521"/>
      <c r="G95" s="521"/>
      <c r="H95" s="521"/>
      <c r="I95" s="521"/>
      <c r="J95" s="521"/>
      <c r="K95" s="521"/>
    </row>
    <row r="96" spans="1:11" ht="12.75" customHeight="1" x14ac:dyDescent="0.2">
      <c r="A96" s="463" t="s">
        <v>391</v>
      </c>
      <c r="B96" s="470">
        <v>1920</v>
      </c>
      <c r="C96" s="551">
        <v>21816</v>
      </c>
      <c r="D96" s="551">
        <v>5000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9444</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185342</v>
      </c>
      <c r="D107" s="466">
        <v>18190</v>
      </c>
      <c r="E107" s="466">
        <v>0</v>
      </c>
      <c r="F107" s="466">
        <v>0</v>
      </c>
      <c r="G107" s="466">
        <v>0</v>
      </c>
      <c r="H107" s="466">
        <v>81335</v>
      </c>
      <c r="I107" s="466">
        <v>0</v>
      </c>
      <c r="J107" s="467">
        <v>0</v>
      </c>
      <c r="K107" s="466">
        <v>0</v>
      </c>
    </row>
    <row r="108" spans="1:12" ht="12.75" customHeight="1" thickBot="1" x14ac:dyDescent="0.25">
      <c r="A108" s="1708" t="s">
        <v>487</v>
      </c>
      <c r="B108" s="1712"/>
      <c r="C108" s="1707">
        <f>SUM(C95:C107)</f>
        <v>353302</v>
      </c>
      <c r="D108" s="1707">
        <f t="shared" ref="D108:K108" si="3">SUM(D95:D107)</f>
        <v>23190</v>
      </c>
      <c r="E108" s="1707">
        <f t="shared" si="3"/>
        <v>0</v>
      </c>
      <c r="F108" s="1707">
        <f t="shared" si="3"/>
        <v>0</v>
      </c>
      <c r="G108" s="1707">
        <f t="shared" si="3"/>
        <v>0</v>
      </c>
      <c r="H108" s="1707">
        <f t="shared" si="3"/>
        <v>81335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6718409</v>
      </c>
      <c r="D109" s="1715">
        <f t="shared" si="4"/>
        <v>877306</v>
      </c>
      <c r="E109" s="1715">
        <f t="shared" si="4"/>
        <v>1920094</v>
      </c>
      <c r="F109" s="1715">
        <f t="shared" si="4"/>
        <v>331933</v>
      </c>
      <c r="G109" s="1715">
        <f t="shared" si="4"/>
        <v>490930</v>
      </c>
      <c r="H109" s="1715">
        <f t="shared" si="4"/>
        <v>93638</v>
      </c>
      <c r="I109" s="1715">
        <f t="shared" si="4"/>
        <v>130073</v>
      </c>
      <c r="J109" s="1715">
        <f t="shared" si="4"/>
        <v>133678</v>
      </c>
      <c r="K109" s="1702">
        <f t="shared" si="4"/>
        <v>6196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5489836</v>
      </c>
      <c r="D117" s="481">
        <v>100000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30" t="s">
        <v>1933</v>
      </c>
      <c r="B120" s="562">
        <v>3030</v>
      </c>
      <c r="C120" s="551">
        <v>0</v>
      </c>
      <c r="D120" s="466">
        <v>0</v>
      </c>
      <c r="E120" s="466">
        <v>0</v>
      </c>
      <c r="F120" s="466">
        <v>0</v>
      </c>
      <c r="G120" s="466">
        <v>0</v>
      </c>
      <c r="H120" s="466">
        <v>0</v>
      </c>
      <c r="I120" s="468"/>
      <c r="J120" s="467">
        <v>0</v>
      </c>
      <c r="K120" s="466">
        <v>0</v>
      </c>
    </row>
    <row r="121" spans="1:11" x14ac:dyDescent="0.2">
      <c r="A121" s="1496"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5489836</v>
      </c>
      <c r="D122" s="1707">
        <f t="shared" si="5"/>
        <v>100000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14312</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14312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1547</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1547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4832</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188565</v>
      </c>
      <c r="G152" s="467">
        <v>0</v>
      </c>
      <c r="H152" s="468"/>
      <c r="I152" s="468"/>
      <c r="J152" s="468"/>
      <c r="K152" s="468"/>
    </row>
    <row r="153" spans="1:11" ht="12.75" customHeight="1" x14ac:dyDescent="0.2">
      <c r="A153" s="463" t="s">
        <v>1057</v>
      </c>
      <c r="B153" s="562">
        <v>3510</v>
      </c>
      <c r="C153" s="551">
        <v>0</v>
      </c>
      <c r="D153" s="466">
        <v>0</v>
      </c>
      <c r="E153" s="561"/>
      <c r="F153" s="466">
        <v>174465</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363030</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600919</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1173</v>
      </c>
      <c r="D168" s="580">
        <v>0</v>
      </c>
      <c r="E168" s="580">
        <v>0</v>
      </c>
      <c r="F168" s="580">
        <v>0</v>
      </c>
      <c r="G168" s="581">
        <v>0</v>
      </c>
      <c r="H168" s="582">
        <v>0</v>
      </c>
      <c r="I168" s="581">
        <v>0</v>
      </c>
      <c r="J168" s="581">
        <v>0</v>
      </c>
      <c r="K168" s="582">
        <v>0</v>
      </c>
    </row>
    <row r="169" spans="1:11" ht="12.75" customHeight="1" thickTop="1" thickBot="1" x14ac:dyDescent="0.25">
      <c r="A169" s="2152" t="s">
        <v>398</v>
      </c>
      <c r="B169" s="2153"/>
      <c r="C169" s="1722">
        <f t="shared" ref="C169:K169" si="6">SUM(C132,C141,C145,C146:C150,C155,C156:C167,C168)</f>
        <v>622783</v>
      </c>
      <c r="D169" s="1722">
        <f t="shared" si="6"/>
        <v>0</v>
      </c>
      <c r="E169" s="1722">
        <f t="shared" si="6"/>
        <v>0</v>
      </c>
      <c r="F169" s="1722">
        <f t="shared" si="6"/>
        <v>363030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6112619</v>
      </c>
      <c r="D170" s="1715">
        <f t="shared" si="7"/>
        <v>100000</v>
      </c>
      <c r="E170" s="1715">
        <f t="shared" si="7"/>
        <v>0</v>
      </c>
      <c r="F170" s="1715">
        <f t="shared" si="7"/>
        <v>363030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8" t="s">
        <v>1665</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208514</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66236</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274750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186942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21119</v>
      </c>
      <c r="D203" s="466">
        <v>0</v>
      </c>
      <c r="E203" s="468"/>
      <c r="F203" s="466">
        <v>0</v>
      </c>
      <c r="G203" s="466">
        <v>0</v>
      </c>
      <c r="H203" s="468"/>
      <c r="I203" s="468"/>
      <c r="J203" s="468"/>
      <c r="K203" s="468"/>
    </row>
    <row r="204" spans="1:11" ht="12.75" customHeight="1" thickBot="1" x14ac:dyDescent="0.25">
      <c r="A204" s="1708" t="s">
        <v>400</v>
      </c>
      <c r="B204" s="1709"/>
      <c r="C204" s="1707">
        <f>SUM(C200:C203)</f>
        <v>208061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24538</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389351</v>
      </c>
      <c r="D213" s="466">
        <v>0</v>
      </c>
      <c r="E213" s="468"/>
      <c r="F213" s="466">
        <v>0</v>
      </c>
      <c r="G213" s="466">
        <v>0</v>
      </c>
      <c r="H213" s="468"/>
      <c r="I213" s="468"/>
      <c r="J213" s="468"/>
      <c r="K213" s="468"/>
    </row>
    <row r="214" spans="1:11" ht="12.75" customHeight="1" x14ac:dyDescent="0.2">
      <c r="A214" s="463" t="s">
        <v>1054</v>
      </c>
      <c r="B214" s="470">
        <v>4625</v>
      </c>
      <c r="C214" s="551">
        <v>45155</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459044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17327</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53128</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7214</v>
      </c>
      <c r="D263" s="576">
        <v>0</v>
      </c>
      <c r="E263" s="468"/>
      <c r="F263" s="576">
        <v>0</v>
      </c>
      <c r="G263" s="576">
        <v>0</v>
      </c>
      <c r="H263" s="468"/>
      <c r="I263" s="468"/>
      <c r="J263" s="468"/>
      <c r="K263" s="468"/>
    </row>
    <row r="264" spans="1:11" ht="12.75" customHeight="1" thickTop="1" thickBot="1" x14ac:dyDescent="0.25">
      <c r="A264" s="463" t="s">
        <v>377</v>
      </c>
      <c r="B264" s="470">
        <v>4992</v>
      </c>
      <c r="C264" s="575">
        <v>17472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1036996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1036996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13868024</v>
      </c>
      <c r="D268" s="1715">
        <f t="shared" si="12"/>
        <v>977306</v>
      </c>
      <c r="E268" s="1715">
        <f t="shared" si="12"/>
        <v>1920094</v>
      </c>
      <c r="F268" s="1715">
        <f t="shared" si="12"/>
        <v>694963</v>
      </c>
      <c r="G268" s="1715">
        <f t="shared" si="12"/>
        <v>490930</v>
      </c>
      <c r="H268" s="1715">
        <f t="shared" si="12"/>
        <v>93638</v>
      </c>
      <c r="I268" s="1715">
        <f t="shared" si="12"/>
        <v>130073</v>
      </c>
      <c r="J268" s="1715">
        <f t="shared" si="12"/>
        <v>133678</v>
      </c>
      <c r="K268" s="1702">
        <f t="shared" si="12"/>
        <v>6196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6" colorId="8" zoomScale="80" zoomScaleNormal="80" workbookViewId="0">
      <selection activeCell="E63" sqref="E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4216263</v>
      </c>
      <c r="D5" s="466">
        <v>742043</v>
      </c>
      <c r="E5" s="466">
        <v>127161</v>
      </c>
      <c r="F5" s="466">
        <v>550773</v>
      </c>
      <c r="G5" s="466">
        <v>0</v>
      </c>
      <c r="H5" s="466">
        <v>480</v>
      </c>
      <c r="I5" s="466">
        <v>0</v>
      </c>
      <c r="J5" s="466">
        <v>0</v>
      </c>
      <c r="K5" s="1671">
        <f>SUM(C5:J5)</f>
        <v>5636720</v>
      </c>
      <c r="L5" s="466">
        <v>6253500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873223</v>
      </c>
      <c r="D8" s="466">
        <v>170668</v>
      </c>
      <c r="E8" s="466">
        <v>24741</v>
      </c>
      <c r="F8" s="466">
        <v>54630</v>
      </c>
      <c r="G8" s="466">
        <v>0</v>
      </c>
      <c r="H8" s="466">
        <v>0</v>
      </c>
      <c r="I8" s="467">
        <v>1728</v>
      </c>
      <c r="J8" s="467">
        <v>0</v>
      </c>
      <c r="K8" s="1671">
        <f t="shared" si="0"/>
        <v>1124990</v>
      </c>
      <c r="L8" s="466">
        <v>1248145</v>
      </c>
    </row>
    <row r="9" spans="1:14" x14ac:dyDescent="0.2">
      <c r="A9" s="1504" t="s">
        <v>721</v>
      </c>
      <c r="B9" s="614" t="s">
        <v>968</v>
      </c>
      <c r="C9" s="467">
        <v>95614</v>
      </c>
      <c r="D9" s="467">
        <v>19696</v>
      </c>
      <c r="E9" s="467">
        <v>0</v>
      </c>
      <c r="F9" s="467">
        <v>0</v>
      </c>
      <c r="G9" s="467">
        <v>0</v>
      </c>
      <c r="H9" s="467">
        <v>0</v>
      </c>
      <c r="I9" s="467">
        <v>1528</v>
      </c>
      <c r="J9" s="467">
        <v>0</v>
      </c>
      <c r="K9" s="1671">
        <f t="shared" si="0"/>
        <v>116838</v>
      </c>
      <c r="L9" s="466">
        <v>148000</v>
      </c>
    </row>
    <row r="10" spans="1:14" x14ac:dyDescent="0.2">
      <c r="A10" s="1504" t="s">
        <v>722</v>
      </c>
      <c r="B10" s="614">
        <v>1250</v>
      </c>
      <c r="C10" s="466">
        <v>77656</v>
      </c>
      <c r="D10" s="466">
        <v>23870</v>
      </c>
      <c r="E10" s="466">
        <v>2500</v>
      </c>
      <c r="F10" s="466">
        <v>127699</v>
      </c>
      <c r="G10" s="466">
        <v>0</v>
      </c>
      <c r="H10" s="466">
        <v>0</v>
      </c>
      <c r="I10" s="467">
        <v>0</v>
      </c>
      <c r="J10" s="467">
        <v>0</v>
      </c>
      <c r="K10" s="1671">
        <f t="shared" si="0"/>
        <v>231725</v>
      </c>
      <c r="L10" s="466">
        <v>255624</v>
      </c>
    </row>
    <row r="11" spans="1:14" x14ac:dyDescent="0.2">
      <c r="A11" s="1504" t="s">
        <v>1130</v>
      </c>
      <c r="B11" s="614" t="s">
        <v>161</v>
      </c>
      <c r="C11" s="467">
        <v>135610</v>
      </c>
      <c r="D11" s="467">
        <v>26581</v>
      </c>
      <c r="E11" s="467">
        <v>6650</v>
      </c>
      <c r="F11" s="467">
        <v>40410</v>
      </c>
      <c r="G11" s="467">
        <v>0</v>
      </c>
      <c r="H11" s="467">
        <v>0</v>
      </c>
      <c r="I11" s="467">
        <v>0</v>
      </c>
      <c r="J11" s="467">
        <v>0</v>
      </c>
      <c r="K11" s="1671">
        <f t="shared" si="0"/>
        <v>209251</v>
      </c>
      <c r="L11" s="466">
        <v>202449</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37914</v>
      </c>
      <c r="D14" s="466">
        <v>568</v>
      </c>
      <c r="E14" s="466">
        <v>0</v>
      </c>
      <c r="F14" s="466">
        <v>0</v>
      </c>
      <c r="G14" s="466">
        <v>0</v>
      </c>
      <c r="H14" s="466">
        <v>5202</v>
      </c>
      <c r="I14" s="467">
        <v>0</v>
      </c>
      <c r="J14" s="467">
        <v>0</v>
      </c>
      <c r="K14" s="1671">
        <f t="shared" si="0"/>
        <v>43684</v>
      </c>
      <c r="L14" s="466">
        <v>56403</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117686</v>
      </c>
      <c r="D18" s="466">
        <v>12071</v>
      </c>
      <c r="E18" s="466">
        <v>2201</v>
      </c>
      <c r="F18" s="466">
        <v>4510</v>
      </c>
      <c r="G18" s="466">
        <v>0</v>
      </c>
      <c r="H18" s="466">
        <v>0</v>
      </c>
      <c r="I18" s="467">
        <v>0</v>
      </c>
      <c r="J18" s="467">
        <v>0</v>
      </c>
      <c r="K18" s="1671">
        <f t="shared" si="0"/>
        <v>136468</v>
      </c>
      <c r="L18" s="466">
        <v>163417</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5553966</v>
      </c>
      <c r="D33" s="1670">
        <f t="shared" ref="D33:L33" si="1">SUM(D5:D32)</f>
        <v>995497</v>
      </c>
      <c r="E33" s="1670">
        <f t="shared" si="1"/>
        <v>163253</v>
      </c>
      <c r="F33" s="1670">
        <f t="shared" si="1"/>
        <v>778022</v>
      </c>
      <c r="G33" s="1670">
        <f t="shared" si="1"/>
        <v>0</v>
      </c>
      <c r="H33" s="1670">
        <f t="shared" si="1"/>
        <v>5682</v>
      </c>
      <c r="I33" s="1670">
        <f t="shared" si="1"/>
        <v>3256</v>
      </c>
      <c r="J33" s="1670">
        <f t="shared" si="1"/>
        <v>0</v>
      </c>
      <c r="K33" s="1670">
        <f t="shared" si="1"/>
        <v>7499676</v>
      </c>
      <c r="L33" s="1670">
        <f t="shared" si="1"/>
        <v>8327538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186859</v>
      </c>
      <c r="D36" s="481">
        <v>28505</v>
      </c>
      <c r="E36" s="481">
        <v>21210</v>
      </c>
      <c r="F36" s="481">
        <v>0</v>
      </c>
      <c r="G36" s="481">
        <v>0</v>
      </c>
      <c r="H36" s="481">
        <v>0</v>
      </c>
      <c r="I36" s="467">
        <v>0</v>
      </c>
      <c r="J36" s="467">
        <v>0</v>
      </c>
      <c r="K36" s="1671">
        <f t="shared" ref="K36:K41" si="2">SUM(C36:J36)</f>
        <v>236574</v>
      </c>
      <c r="L36" s="466">
        <v>273800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165422</v>
      </c>
      <c r="D38" s="466">
        <v>29767</v>
      </c>
      <c r="E38" s="466">
        <v>1499</v>
      </c>
      <c r="F38" s="466">
        <v>3851</v>
      </c>
      <c r="G38" s="466">
        <v>0</v>
      </c>
      <c r="H38" s="466">
        <v>0</v>
      </c>
      <c r="I38" s="467">
        <v>0</v>
      </c>
      <c r="J38" s="467">
        <v>0</v>
      </c>
      <c r="K38" s="1671">
        <f t="shared" si="2"/>
        <v>200539</v>
      </c>
      <c r="L38" s="466">
        <v>209100</v>
      </c>
    </row>
    <row r="39" spans="1:14" x14ac:dyDescent="0.2">
      <c r="A39" s="1504" t="s">
        <v>199</v>
      </c>
      <c r="B39" s="614">
        <v>2140</v>
      </c>
      <c r="C39" s="466">
        <v>160647</v>
      </c>
      <c r="D39" s="466">
        <v>34460</v>
      </c>
      <c r="E39" s="466">
        <v>0</v>
      </c>
      <c r="F39" s="466">
        <v>3077</v>
      </c>
      <c r="G39" s="466">
        <v>0</v>
      </c>
      <c r="H39" s="466">
        <v>0</v>
      </c>
      <c r="I39" s="467">
        <v>0</v>
      </c>
      <c r="J39" s="467">
        <v>0</v>
      </c>
      <c r="K39" s="1671">
        <f t="shared" si="2"/>
        <v>198184</v>
      </c>
      <c r="L39" s="466">
        <v>187200</v>
      </c>
    </row>
    <row r="40" spans="1:14" x14ac:dyDescent="0.2">
      <c r="A40" s="1504" t="s">
        <v>200</v>
      </c>
      <c r="B40" s="614">
        <v>2150</v>
      </c>
      <c r="C40" s="466">
        <v>215295</v>
      </c>
      <c r="D40" s="466">
        <v>5320</v>
      </c>
      <c r="E40" s="466">
        <v>0</v>
      </c>
      <c r="F40" s="466">
        <v>1210</v>
      </c>
      <c r="G40" s="466">
        <v>0</v>
      </c>
      <c r="H40" s="466">
        <v>600</v>
      </c>
      <c r="I40" s="467">
        <v>0</v>
      </c>
      <c r="J40" s="467">
        <v>0</v>
      </c>
      <c r="K40" s="1671">
        <f t="shared" si="2"/>
        <v>222425</v>
      </c>
      <c r="L40" s="466">
        <v>250900</v>
      </c>
    </row>
    <row r="41" spans="1:14" x14ac:dyDescent="0.2">
      <c r="A41" s="1504" t="s">
        <v>1669</v>
      </c>
      <c r="B41" s="614">
        <v>2190</v>
      </c>
      <c r="C41" s="466">
        <v>112851</v>
      </c>
      <c r="D41" s="466">
        <v>1829</v>
      </c>
      <c r="E41" s="466">
        <v>32309</v>
      </c>
      <c r="F41" s="466">
        <v>2595</v>
      </c>
      <c r="G41" s="466">
        <v>0</v>
      </c>
      <c r="H41" s="466">
        <v>0</v>
      </c>
      <c r="I41" s="467">
        <v>0</v>
      </c>
      <c r="J41" s="467">
        <v>0</v>
      </c>
      <c r="K41" s="1671">
        <f t="shared" si="2"/>
        <v>149584</v>
      </c>
      <c r="L41" s="466">
        <v>158700</v>
      </c>
    </row>
    <row r="42" spans="1:14" ht="12.75" customHeight="1" thickBot="1" x14ac:dyDescent="0.25">
      <c r="A42" s="1668" t="s">
        <v>560</v>
      </c>
      <c r="B42" s="1669" t="s">
        <v>716</v>
      </c>
      <c r="C42" s="1670">
        <f>SUM(C36:C41)</f>
        <v>841074</v>
      </c>
      <c r="D42" s="1670">
        <f t="shared" ref="D42:L42" si="3">SUM(D36:D41)</f>
        <v>99881</v>
      </c>
      <c r="E42" s="1670">
        <f t="shared" si="3"/>
        <v>55018</v>
      </c>
      <c r="F42" s="1670">
        <f t="shared" si="3"/>
        <v>10733</v>
      </c>
      <c r="G42" s="1670">
        <f t="shared" si="3"/>
        <v>0</v>
      </c>
      <c r="H42" s="1670">
        <f t="shared" si="3"/>
        <v>600</v>
      </c>
      <c r="I42" s="1670">
        <f t="shared" si="3"/>
        <v>0</v>
      </c>
      <c r="J42" s="1670">
        <f t="shared" si="3"/>
        <v>0</v>
      </c>
      <c r="K42" s="1670">
        <f t="shared" si="3"/>
        <v>1007306</v>
      </c>
      <c r="L42" s="1670">
        <f t="shared" si="3"/>
        <v>1079700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37677</v>
      </c>
      <c r="D44" s="481">
        <v>583</v>
      </c>
      <c r="E44" s="481">
        <v>70849</v>
      </c>
      <c r="F44" s="481">
        <v>7021</v>
      </c>
      <c r="G44" s="481">
        <v>0</v>
      </c>
      <c r="H44" s="481">
        <v>0</v>
      </c>
      <c r="I44" s="467">
        <v>0</v>
      </c>
      <c r="J44" s="467">
        <v>0</v>
      </c>
      <c r="K44" s="1672">
        <f>SUM(C44:J44)</f>
        <v>116130</v>
      </c>
      <c r="L44" s="481">
        <v>132424</v>
      </c>
    </row>
    <row r="45" spans="1:14" x14ac:dyDescent="0.2">
      <c r="A45" s="1504" t="s">
        <v>815</v>
      </c>
      <c r="B45" s="614">
        <v>2220</v>
      </c>
      <c r="C45" s="466">
        <v>149112</v>
      </c>
      <c r="D45" s="466">
        <v>40539</v>
      </c>
      <c r="E45" s="466">
        <v>0</v>
      </c>
      <c r="F45" s="466">
        <v>5060</v>
      </c>
      <c r="G45" s="466">
        <v>0</v>
      </c>
      <c r="H45" s="466">
        <v>0</v>
      </c>
      <c r="I45" s="467">
        <v>0</v>
      </c>
      <c r="J45" s="467">
        <v>0</v>
      </c>
      <c r="K45" s="1672">
        <f>SUM(C45:J45)</f>
        <v>194711</v>
      </c>
      <c r="L45" s="466">
        <v>178433</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186789</v>
      </c>
      <c r="D47" s="1670">
        <f t="shared" ref="D47:K47" si="4">SUM(D44:D46)</f>
        <v>41122</v>
      </c>
      <c r="E47" s="1670">
        <f t="shared" si="4"/>
        <v>70849</v>
      </c>
      <c r="F47" s="1670">
        <f t="shared" si="4"/>
        <v>12081</v>
      </c>
      <c r="G47" s="1670">
        <f t="shared" si="4"/>
        <v>0</v>
      </c>
      <c r="H47" s="1670">
        <f t="shared" si="4"/>
        <v>0</v>
      </c>
      <c r="I47" s="1670">
        <f t="shared" si="4"/>
        <v>0</v>
      </c>
      <c r="J47" s="1670">
        <f t="shared" si="4"/>
        <v>0</v>
      </c>
      <c r="K47" s="1670">
        <f t="shared" si="4"/>
        <v>310841</v>
      </c>
      <c r="L47" s="1670">
        <f>SUM(L44:L46)</f>
        <v>310857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51122</v>
      </c>
      <c r="D49" s="481">
        <v>16774</v>
      </c>
      <c r="E49" s="481">
        <v>118650</v>
      </c>
      <c r="F49" s="481">
        <v>5589</v>
      </c>
      <c r="G49" s="481">
        <v>0</v>
      </c>
      <c r="H49" s="481">
        <v>6290</v>
      </c>
      <c r="I49" s="467">
        <v>0</v>
      </c>
      <c r="J49" s="467">
        <v>0</v>
      </c>
      <c r="K49" s="1672">
        <f>SUM(C49:J49)</f>
        <v>198425</v>
      </c>
      <c r="L49" s="481">
        <v>245425</v>
      </c>
    </row>
    <row r="50" spans="1:14" x14ac:dyDescent="0.2">
      <c r="A50" s="1504" t="s">
        <v>818</v>
      </c>
      <c r="B50" s="614">
        <v>2320</v>
      </c>
      <c r="C50" s="466">
        <v>250995</v>
      </c>
      <c r="D50" s="466">
        <v>55017</v>
      </c>
      <c r="E50" s="466">
        <v>7926</v>
      </c>
      <c r="F50" s="466">
        <v>0</v>
      </c>
      <c r="G50" s="466">
        <v>0</v>
      </c>
      <c r="H50" s="466">
        <v>3834</v>
      </c>
      <c r="I50" s="467">
        <v>0</v>
      </c>
      <c r="J50" s="467">
        <v>0</v>
      </c>
      <c r="K50" s="1672">
        <f>SUM(C50:J50)</f>
        <v>317772</v>
      </c>
      <c r="L50" s="466">
        <v>333845</v>
      </c>
    </row>
    <row r="51" spans="1:14" x14ac:dyDescent="0.2">
      <c r="A51" s="1504" t="s">
        <v>42</v>
      </c>
      <c r="B51" s="614">
        <v>2330</v>
      </c>
      <c r="C51" s="466">
        <v>170612</v>
      </c>
      <c r="D51" s="466">
        <v>42964</v>
      </c>
      <c r="E51" s="466">
        <v>0</v>
      </c>
      <c r="F51" s="466">
        <v>1586</v>
      </c>
      <c r="G51" s="466">
        <v>0</v>
      </c>
      <c r="H51" s="466">
        <v>509</v>
      </c>
      <c r="I51" s="467">
        <v>4344</v>
      </c>
      <c r="J51" s="467">
        <v>0</v>
      </c>
      <c r="K51" s="1672">
        <f>SUM(C51:J51)</f>
        <v>220015</v>
      </c>
      <c r="L51" s="466">
        <v>209740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472729</v>
      </c>
      <c r="D53" s="1670">
        <f t="shared" ref="D53:L53" si="5">SUM(D49:D52)</f>
        <v>114755</v>
      </c>
      <c r="E53" s="1670">
        <f t="shared" si="5"/>
        <v>126576</v>
      </c>
      <c r="F53" s="1670">
        <f t="shared" si="5"/>
        <v>7175</v>
      </c>
      <c r="G53" s="1670">
        <f t="shared" si="5"/>
        <v>0</v>
      </c>
      <c r="H53" s="1670">
        <f t="shared" si="5"/>
        <v>10633</v>
      </c>
      <c r="I53" s="1670">
        <f t="shared" si="5"/>
        <v>4344</v>
      </c>
      <c r="J53" s="1670">
        <f t="shared" si="5"/>
        <v>0</v>
      </c>
      <c r="K53" s="1670">
        <f t="shared" si="5"/>
        <v>736212</v>
      </c>
      <c r="L53" s="1670">
        <f t="shared" si="5"/>
        <v>789010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612804</v>
      </c>
      <c r="D55" s="481">
        <v>200560</v>
      </c>
      <c r="E55" s="481">
        <v>6714</v>
      </c>
      <c r="F55" s="481">
        <v>0</v>
      </c>
      <c r="G55" s="481">
        <v>0</v>
      </c>
      <c r="H55" s="481">
        <v>3367</v>
      </c>
      <c r="I55" s="467">
        <v>0</v>
      </c>
      <c r="J55" s="467">
        <v>0</v>
      </c>
      <c r="K55" s="1672">
        <f>SUM(C55:J55)</f>
        <v>823445</v>
      </c>
      <c r="L55" s="481">
        <v>819160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612804</v>
      </c>
      <c r="D57" s="1674">
        <f t="shared" ref="D57:K57" si="6">SUM(D55:D56)</f>
        <v>200560</v>
      </c>
      <c r="E57" s="1674">
        <f t="shared" si="6"/>
        <v>6714</v>
      </c>
      <c r="F57" s="1674">
        <f t="shared" si="6"/>
        <v>0</v>
      </c>
      <c r="G57" s="1674">
        <f t="shared" si="6"/>
        <v>0</v>
      </c>
      <c r="H57" s="1674">
        <f t="shared" si="6"/>
        <v>3367</v>
      </c>
      <c r="I57" s="1674">
        <f t="shared" si="6"/>
        <v>0</v>
      </c>
      <c r="J57" s="1674">
        <f t="shared" si="6"/>
        <v>0</v>
      </c>
      <c r="K57" s="1674">
        <f t="shared" si="6"/>
        <v>823445</v>
      </c>
      <c r="L57" s="1670">
        <f>SUM(L55:L56)</f>
        <v>819160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90000</v>
      </c>
      <c r="D59" s="481">
        <v>25607</v>
      </c>
      <c r="E59" s="481">
        <v>109</v>
      </c>
      <c r="F59" s="481">
        <v>0</v>
      </c>
      <c r="G59" s="481">
        <v>0</v>
      </c>
      <c r="H59" s="481">
        <v>200</v>
      </c>
      <c r="I59" s="467">
        <v>0</v>
      </c>
      <c r="J59" s="467">
        <v>0</v>
      </c>
      <c r="K59" s="1672">
        <f t="shared" ref="K59:K64" si="7">SUM(C59:J59)</f>
        <v>115916</v>
      </c>
      <c r="L59" s="481">
        <v>120500</v>
      </c>
      <c r="M59" s="609"/>
      <c r="N59" s="609"/>
    </row>
    <row r="60" spans="1:14" s="343" customFormat="1" x14ac:dyDescent="0.2">
      <c r="A60" s="1504" t="s">
        <v>463</v>
      </c>
      <c r="B60" s="614">
        <v>2520</v>
      </c>
      <c r="C60" s="466">
        <v>69918</v>
      </c>
      <c r="D60" s="466">
        <v>7499</v>
      </c>
      <c r="E60" s="466">
        <v>23542</v>
      </c>
      <c r="F60" s="466">
        <v>5</v>
      </c>
      <c r="G60" s="466">
        <v>0</v>
      </c>
      <c r="H60" s="466">
        <v>0</v>
      </c>
      <c r="I60" s="467">
        <v>0</v>
      </c>
      <c r="J60" s="467">
        <v>0</v>
      </c>
      <c r="K60" s="1672">
        <f t="shared" si="7"/>
        <v>100964</v>
      </c>
      <c r="L60" s="466">
        <v>113100</v>
      </c>
      <c r="M60" s="609"/>
      <c r="N60" s="609"/>
    </row>
    <row r="61" spans="1:14" s="343" customFormat="1" x14ac:dyDescent="0.2">
      <c r="A61" s="1504" t="s">
        <v>197</v>
      </c>
      <c r="B61" s="614">
        <v>2540</v>
      </c>
      <c r="C61" s="466">
        <v>246105</v>
      </c>
      <c r="D61" s="466">
        <v>38485</v>
      </c>
      <c r="E61" s="466">
        <v>19337</v>
      </c>
      <c r="F61" s="466">
        <v>0</v>
      </c>
      <c r="G61" s="466">
        <v>0</v>
      </c>
      <c r="H61" s="466">
        <v>0</v>
      </c>
      <c r="I61" s="467">
        <v>0</v>
      </c>
      <c r="J61" s="467">
        <v>0</v>
      </c>
      <c r="K61" s="1672">
        <f t="shared" si="7"/>
        <v>303927</v>
      </c>
      <c r="L61" s="466">
        <v>354550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16250</v>
      </c>
      <c r="D63" s="466">
        <v>513</v>
      </c>
      <c r="E63" s="466">
        <v>335430</v>
      </c>
      <c r="F63" s="466">
        <v>4449</v>
      </c>
      <c r="G63" s="466">
        <v>7312</v>
      </c>
      <c r="H63" s="466">
        <v>0</v>
      </c>
      <c r="I63" s="467">
        <v>0</v>
      </c>
      <c r="J63" s="467">
        <v>0</v>
      </c>
      <c r="K63" s="1672">
        <f t="shared" si="7"/>
        <v>363954</v>
      </c>
      <c r="L63" s="466">
        <v>475250</v>
      </c>
    </row>
    <row r="64" spans="1:14" s="609" customFormat="1" x14ac:dyDescent="0.2">
      <c r="A64" s="1509" t="s">
        <v>101</v>
      </c>
      <c r="B64" s="630">
        <v>2570</v>
      </c>
      <c r="C64" s="481">
        <v>0</v>
      </c>
      <c r="D64" s="481">
        <v>0</v>
      </c>
      <c r="E64" s="481">
        <v>1981</v>
      </c>
      <c r="F64" s="481">
        <v>0</v>
      </c>
      <c r="G64" s="481">
        <v>0</v>
      </c>
      <c r="H64" s="481">
        <v>0</v>
      </c>
      <c r="I64" s="467">
        <v>0</v>
      </c>
      <c r="J64" s="467">
        <v>0</v>
      </c>
      <c r="K64" s="1672">
        <f t="shared" si="7"/>
        <v>1981</v>
      </c>
      <c r="L64" s="481">
        <v>0</v>
      </c>
    </row>
    <row r="65" spans="1:14" s="343" customFormat="1" ht="12.75" customHeight="1" thickBot="1" x14ac:dyDescent="0.25">
      <c r="A65" s="1668" t="s">
        <v>719</v>
      </c>
      <c r="B65" s="1669" t="s">
        <v>35</v>
      </c>
      <c r="C65" s="1670">
        <f>SUM(C59:C64)</f>
        <v>422273</v>
      </c>
      <c r="D65" s="1670">
        <f t="shared" ref="D65:L65" si="8">SUM(D59:D64)</f>
        <v>72104</v>
      </c>
      <c r="E65" s="1670">
        <f t="shared" si="8"/>
        <v>380399</v>
      </c>
      <c r="F65" s="1670">
        <f t="shared" si="8"/>
        <v>4454</v>
      </c>
      <c r="G65" s="1670">
        <f t="shared" si="8"/>
        <v>7312</v>
      </c>
      <c r="H65" s="1670">
        <f t="shared" si="8"/>
        <v>200</v>
      </c>
      <c r="I65" s="1670">
        <f t="shared" si="8"/>
        <v>0</v>
      </c>
      <c r="J65" s="1670">
        <f t="shared" si="8"/>
        <v>0</v>
      </c>
      <c r="K65" s="1670">
        <f t="shared" si="8"/>
        <v>886742</v>
      </c>
      <c r="L65" s="1670">
        <f t="shared" si="8"/>
        <v>1063400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698</v>
      </c>
      <c r="F69" s="466">
        <v>0</v>
      </c>
      <c r="G69" s="466">
        <v>0</v>
      </c>
      <c r="H69" s="466">
        <v>0</v>
      </c>
      <c r="I69" s="467">
        <v>0</v>
      </c>
      <c r="J69" s="467">
        <v>0</v>
      </c>
      <c r="K69" s="1672">
        <f>SUM(C69:J69)</f>
        <v>698</v>
      </c>
      <c r="L69" s="466">
        <v>1000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104485</v>
      </c>
      <c r="D71" s="466">
        <v>22927</v>
      </c>
      <c r="E71" s="466">
        <v>298919</v>
      </c>
      <c r="F71" s="466">
        <v>28407</v>
      </c>
      <c r="G71" s="466">
        <v>0</v>
      </c>
      <c r="H71" s="466">
        <v>0</v>
      </c>
      <c r="I71" s="467">
        <v>138187</v>
      </c>
      <c r="J71" s="467">
        <v>0</v>
      </c>
      <c r="K71" s="1672">
        <f>SUM(C71:J71)</f>
        <v>592925</v>
      </c>
      <c r="L71" s="466">
        <v>464128</v>
      </c>
      <c r="M71" s="609"/>
      <c r="N71" s="609"/>
    </row>
    <row r="72" spans="1:14" s="343" customFormat="1" ht="12.75" customHeight="1" thickBot="1" x14ac:dyDescent="0.25">
      <c r="A72" s="1668" t="s">
        <v>37</v>
      </c>
      <c r="B72" s="1675" t="s">
        <v>36</v>
      </c>
      <c r="C72" s="1670">
        <f>SUM(C67:C71)</f>
        <v>104485</v>
      </c>
      <c r="D72" s="1670">
        <f t="shared" ref="D72:K72" si="9">SUM(D67:D71)</f>
        <v>22927</v>
      </c>
      <c r="E72" s="1670">
        <f t="shared" si="9"/>
        <v>299617</v>
      </c>
      <c r="F72" s="1670">
        <f t="shared" si="9"/>
        <v>28407</v>
      </c>
      <c r="G72" s="1670">
        <f t="shared" si="9"/>
        <v>0</v>
      </c>
      <c r="H72" s="1670">
        <f t="shared" si="9"/>
        <v>0</v>
      </c>
      <c r="I72" s="1670">
        <f t="shared" si="9"/>
        <v>138187</v>
      </c>
      <c r="J72" s="1670">
        <f t="shared" si="9"/>
        <v>0</v>
      </c>
      <c r="K72" s="1670">
        <f t="shared" si="9"/>
        <v>593623</v>
      </c>
      <c r="L72" s="1670">
        <f>SUM(L67:L71)</f>
        <v>465128</v>
      </c>
      <c r="M72" s="609"/>
      <c r="N72" s="609"/>
    </row>
    <row r="73" spans="1:14" s="343" customFormat="1" ht="14.25" thickTop="1" thickBot="1" x14ac:dyDescent="0.25">
      <c r="A73" s="1510" t="s">
        <v>980</v>
      </c>
      <c r="B73" s="632" t="s">
        <v>574</v>
      </c>
      <c r="C73" s="573">
        <v>0</v>
      </c>
      <c r="D73" s="573">
        <v>0</v>
      </c>
      <c r="E73" s="573">
        <v>0</v>
      </c>
      <c r="F73" s="573">
        <v>195</v>
      </c>
      <c r="G73" s="573">
        <v>0</v>
      </c>
      <c r="H73" s="573">
        <v>0</v>
      </c>
      <c r="I73" s="531">
        <v>0</v>
      </c>
      <c r="J73" s="531">
        <v>0</v>
      </c>
      <c r="K73" s="1670">
        <f>SUM(C73:J73)</f>
        <v>195</v>
      </c>
      <c r="L73" s="576">
        <v>0</v>
      </c>
      <c r="M73" s="609"/>
      <c r="N73" s="609"/>
    </row>
    <row r="74" spans="1:14" ht="12.75" customHeight="1" thickTop="1" thickBot="1" x14ac:dyDescent="0.25">
      <c r="A74" s="1668" t="s">
        <v>811</v>
      </c>
      <c r="B74" s="1676">
        <v>2000</v>
      </c>
      <c r="C74" s="1677">
        <f>SUM(C42,C47,C53,C57,C65,C72,C73)</f>
        <v>2640154</v>
      </c>
      <c r="D74" s="1677">
        <f t="shared" ref="D74:K74" si="10">SUM(D42,D47,D53,D57,D65,D72,D73)</f>
        <v>551349</v>
      </c>
      <c r="E74" s="1677">
        <f t="shared" si="10"/>
        <v>939173</v>
      </c>
      <c r="F74" s="1677">
        <f t="shared" si="10"/>
        <v>63045</v>
      </c>
      <c r="G74" s="1677">
        <f t="shared" si="10"/>
        <v>7312</v>
      </c>
      <c r="H74" s="1677">
        <f t="shared" si="10"/>
        <v>14800</v>
      </c>
      <c r="I74" s="1677">
        <f t="shared" si="10"/>
        <v>142531</v>
      </c>
      <c r="J74" s="1677">
        <f t="shared" si="10"/>
        <v>0</v>
      </c>
      <c r="K74" s="1677">
        <f t="shared" si="10"/>
        <v>4358364</v>
      </c>
      <c r="L74" s="1677">
        <f>SUM(L42,L47,L53,L57,L65,L72,L73)</f>
        <v>4527255</v>
      </c>
    </row>
    <row r="75" spans="1:14" s="259" customFormat="1" ht="15.75" customHeight="1" thickTop="1" thickBot="1" x14ac:dyDescent="0.25">
      <c r="A75" s="1610" t="s">
        <v>47</v>
      </c>
      <c r="B75" s="1611" t="s">
        <v>575</v>
      </c>
      <c r="C75" s="573">
        <v>116901</v>
      </c>
      <c r="D75" s="573">
        <v>14824</v>
      </c>
      <c r="E75" s="573">
        <v>11100</v>
      </c>
      <c r="F75" s="573">
        <v>75166</v>
      </c>
      <c r="G75" s="573">
        <v>0</v>
      </c>
      <c r="H75" s="573">
        <v>0</v>
      </c>
      <c r="I75" s="531">
        <v>0</v>
      </c>
      <c r="J75" s="531">
        <v>0</v>
      </c>
      <c r="K75" s="1670">
        <f>SUM(C75:J75)</f>
        <v>217991</v>
      </c>
      <c r="L75" s="576">
        <v>298817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7974</v>
      </c>
      <c r="F79" s="616"/>
      <c r="G79" s="616"/>
      <c r="H79" s="466">
        <v>0</v>
      </c>
      <c r="I79" s="477"/>
      <c r="J79" s="477"/>
      <c r="K79" s="1671">
        <f t="shared" si="11"/>
        <v>7974</v>
      </c>
      <c r="L79" s="466">
        <v>12229</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2834</v>
      </c>
    </row>
    <row r="84" spans="1:12" ht="13.5" thickBot="1" x14ac:dyDescent="0.25">
      <c r="A84" s="1668" t="s">
        <v>1485</v>
      </c>
      <c r="B84" s="1678">
        <v>4100</v>
      </c>
      <c r="C84" s="616"/>
      <c r="D84" s="616"/>
      <c r="E84" s="1670">
        <f>SUM(E78:E83)</f>
        <v>7974</v>
      </c>
      <c r="F84" s="616"/>
      <c r="G84" s="616"/>
      <c r="H84" s="1670">
        <f>SUM(H78:H83)</f>
        <v>0</v>
      </c>
      <c r="I84" s="477"/>
      <c r="J84" s="477"/>
      <c r="K84" s="1670">
        <f>SUM(K78:K83)</f>
        <v>7974</v>
      </c>
      <c r="L84" s="1670">
        <f>SUM(L78:L83)</f>
        <v>15063</v>
      </c>
    </row>
    <row r="85" spans="1:12" ht="12.75" customHeight="1" thickTop="1" thickBot="1" x14ac:dyDescent="0.25">
      <c r="A85" s="1511" t="s">
        <v>255</v>
      </c>
      <c r="B85" s="635">
        <v>4210</v>
      </c>
      <c r="C85" s="616"/>
      <c r="D85" s="616"/>
      <c r="E85" s="636"/>
      <c r="F85" s="616"/>
      <c r="G85" s="616"/>
      <c r="H85" s="535">
        <v>4460</v>
      </c>
      <c r="I85" s="477"/>
      <c r="J85" s="477"/>
      <c r="K85" s="1677">
        <f>H85</f>
        <v>4460</v>
      </c>
      <c r="L85" s="530">
        <v>0</v>
      </c>
    </row>
    <row r="86" spans="1:12" ht="12.75" customHeight="1" thickTop="1" thickBot="1" x14ac:dyDescent="0.25">
      <c r="A86" s="1512" t="s">
        <v>699</v>
      </c>
      <c r="B86" s="637">
        <v>4220</v>
      </c>
      <c r="C86" s="616"/>
      <c r="D86" s="616"/>
      <c r="E86" s="638"/>
      <c r="F86" s="616"/>
      <c r="G86" s="616"/>
      <c r="H86" s="467">
        <v>1173754</v>
      </c>
      <c r="I86" s="477"/>
      <c r="J86" s="477"/>
      <c r="K86" s="1677">
        <f t="shared" ref="K86:K98" si="12">H86</f>
        <v>1173754</v>
      </c>
      <c r="L86" s="530">
        <v>930000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1178214</v>
      </c>
      <c r="I92" s="477"/>
      <c r="J92" s="477"/>
      <c r="K92" s="1677">
        <f t="shared" si="12"/>
        <v>1178214</v>
      </c>
      <c r="L92" s="1670">
        <f>SUM(L85:L91)</f>
        <v>930000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7974</v>
      </c>
      <c r="F102" s="616"/>
      <c r="G102" s="616"/>
      <c r="H102" s="1677">
        <f>SUM(H84,H92,H100,H101)</f>
        <v>1178214</v>
      </c>
      <c r="I102" s="477"/>
      <c r="J102" s="477"/>
      <c r="K102" s="1677">
        <f>SUM(K84,K92,K100,K101)</f>
        <v>1186188</v>
      </c>
      <c r="L102" s="1677">
        <f>SUM(L84,L92,L100,L101)</f>
        <v>945063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8311021</v>
      </c>
      <c r="D114" s="1670">
        <f t="shared" ref="D114:K114" si="13">SUM(D33,D74,D75,D102,D112,D113)</f>
        <v>1561670</v>
      </c>
      <c r="E114" s="1670">
        <f t="shared" si="13"/>
        <v>1121500</v>
      </c>
      <c r="F114" s="1670">
        <f t="shared" si="13"/>
        <v>916233</v>
      </c>
      <c r="G114" s="1670">
        <f t="shared" si="13"/>
        <v>7312</v>
      </c>
      <c r="H114" s="1670">
        <f>SUM(H33,H74,H75,H102,H112,H113)</f>
        <v>1198696</v>
      </c>
      <c r="I114" s="1670">
        <f t="shared" si="13"/>
        <v>145787</v>
      </c>
      <c r="J114" s="1670">
        <f t="shared" si="13"/>
        <v>0</v>
      </c>
      <c r="K114" s="1670">
        <f t="shared" si="13"/>
        <v>13262219</v>
      </c>
      <c r="L114" s="1670">
        <f>SUM(L33,L74,L75,L102,L112,L113)</f>
        <v>14108673</v>
      </c>
    </row>
    <row r="115" spans="1:14" ht="13.5" thickTop="1" x14ac:dyDescent="0.2">
      <c r="A115" s="2189" t="s">
        <v>996</v>
      </c>
      <c r="B115" s="2190"/>
      <c r="C115" s="618"/>
      <c r="D115" s="618"/>
      <c r="E115" s="618"/>
      <c r="F115" s="618"/>
      <c r="G115" s="618"/>
      <c r="H115" s="618"/>
      <c r="I115" s="618"/>
      <c r="J115" s="618"/>
      <c r="K115" s="1684">
        <f>'Revenues 9-14'!C268-'Expenditures 15-22'!K114</f>
        <v>605805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23050</v>
      </c>
      <c r="D124" s="466">
        <v>0</v>
      </c>
      <c r="E124" s="466">
        <v>519061</v>
      </c>
      <c r="F124" s="466">
        <v>385592</v>
      </c>
      <c r="G124" s="466">
        <v>48404</v>
      </c>
      <c r="H124" s="466">
        <v>0</v>
      </c>
      <c r="I124" s="467">
        <v>0</v>
      </c>
      <c r="J124" s="467">
        <v>0</v>
      </c>
      <c r="K124" s="1670">
        <f>SUM(C124:J124)</f>
        <v>976107</v>
      </c>
      <c r="L124" s="466">
        <v>989306</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23050</v>
      </c>
      <c r="D127" s="1670">
        <f t="shared" ref="D127:L127" si="14">SUM(D122:D126)</f>
        <v>0</v>
      </c>
      <c r="E127" s="1670">
        <f t="shared" si="14"/>
        <v>519061</v>
      </c>
      <c r="F127" s="1670">
        <f t="shared" si="14"/>
        <v>385592</v>
      </c>
      <c r="G127" s="1670">
        <f t="shared" si="14"/>
        <v>48404</v>
      </c>
      <c r="H127" s="1670">
        <f t="shared" si="14"/>
        <v>0</v>
      </c>
      <c r="I127" s="1670">
        <f t="shared" si="14"/>
        <v>0</v>
      </c>
      <c r="J127" s="1670">
        <f t="shared" si="14"/>
        <v>0</v>
      </c>
      <c r="K127" s="1670">
        <f t="shared" si="14"/>
        <v>976107</v>
      </c>
      <c r="L127" s="1670">
        <f t="shared" si="14"/>
        <v>989306</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23050</v>
      </c>
      <c r="D129" s="1677">
        <f t="shared" ref="D129:L129" si="15">SUM(D120,D127,D128)</f>
        <v>0</v>
      </c>
      <c r="E129" s="1677">
        <f t="shared" si="15"/>
        <v>519061</v>
      </c>
      <c r="F129" s="1677">
        <f t="shared" si="15"/>
        <v>385592</v>
      </c>
      <c r="G129" s="1677">
        <f t="shared" si="15"/>
        <v>48404</v>
      </c>
      <c r="H129" s="1677">
        <f t="shared" si="15"/>
        <v>0</v>
      </c>
      <c r="I129" s="1677">
        <f t="shared" si="15"/>
        <v>0</v>
      </c>
      <c r="J129" s="1677">
        <f t="shared" si="15"/>
        <v>0</v>
      </c>
      <c r="K129" s="1677">
        <f t="shared" si="15"/>
        <v>976107</v>
      </c>
      <c r="L129" s="1677">
        <f t="shared" si="15"/>
        <v>989306</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9" t="s">
        <v>620</v>
      </c>
      <c r="B151" s="2161"/>
      <c r="C151" s="1670">
        <f>SUM(C129,C130,C139,C149,C150)</f>
        <v>23050</v>
      </c>
      <c r="D151" s="1670">
        <f t="shared" ref="D151:K151" si="16">SUM(D129,D130,D139,D149,D150)</f>
        <v>0</v>
      </c>
      <c r="E151" s="1670">
        <f t="shared" si="16"/>
        <v>519061</v>
      </c>
      <c r="F151" s="1670">
        <f t="shared" si="16"/>
        <v>385592</v>
      </c>
      <c r="G151" s="1670">
        <f t="shared" si="16"/>
        <v>48404</v>
      </c>
      <c r="H151" s="1670">
        <f t="shared" si="16"/>
        <v>0</v>
      </c>
      <c r="I151" s="1670">
        <f t="shared" si="16"/>
        <v>0</v>
      </c>
      <c r="J151" s="1670">
        <f t="shared" si="16"/>
        <v>0</v>
      </c>
      <c r="K151" s="1670">
        <f t="shared" si="16"/>
        <v>976107</v>
      </c>
      <c r="L151" s="1670">
        <f>SUM(L129,L130,L139,L149,L150)</f>
        <v>989306</v>
      </c>
    </row>
    <row r="152" spans="1:14" ht="12.75" customHeight="1" thickTop="1" x14ac:dyDescent="0.2">
      <c r="A152" s="2182" t="s">
        <v>1178</v>
      </c>
      <c r="B152" s="2183"/>
      <c r="C152" s="618"/>
      <c r="D152" s="618"/>
      <c r="E152" s="618"/>
      <c r="F152" s="618"/>
      <c r="G152" s="618"/>
      <c r="H152" s="618"/>
      <c r="I152" s="618"/>
      <c r="J152" s="616"/>
      <c r="K152" s="1684">
        <f>'Revenues 9-14'!D268-'Expenditures 15-22'!K151</f>
        <v>1199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1844</v>
      </c>
      <c r="C158" s="616"/>
      <c r="D158" s="616"/>
      <c r="E158" s="616"/>
      <c r="F158" s="616"/>
      <c r="G158" s="616"/>
      <c r="H158" s="467">
        <v>0</v>
      </c>
      <c r="I158" s="616"/>
      <c r="J158" s="616"/>
      <c r="K158" s="1671">
        <f>H158</f>
        <v>0</v>
      </c>
      <c r="L158" s="467">
        <v>0</v>
      </c>
      <c r="M158" s="619"/>
      <c r="N158" s="619"/>
    </row>
    <row r="159" spans="1:14" s="620" customFormat="1" ht="12" x14ac:dyDescent="0.2">
      <c r="A159" s="1826" t="s">
        <v>1845</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901318</v>
      </c>
      <c r="I169" s="616"/>
      <c r="J169" s="616"/>
      <c r="K169" s="1671">
        <f>SUM(C169:H169)</f>
        <v>901318</v>
      </c>
      <c r="L169" s="656">
        <v>910000</v>
      </c>
    </row>
    <row r="170" spans="1:14" ht="33.75" customHeight="1" x14ac:dyDescent="0.2">
      <c r="A170" s="669" t="s">
        <v>1670</v>
      </c>
      <c r="B170" s="671" t="s">
        <v>31</v>
      </c>
      <c r="C170" s="616"/>
      <c r="D170" s="616"/>
      <c r="E170" s="616"/>
      <c r="F170" s="616"/>
      <c r="G170" s="616"/>
      <c r="H170" s="569">
        <v>1053070</v>
      </c>
      <c r="I170" s="616"/>
      <c r="J170" s="616"/>
      <c r="K170" s="1671">
        <f>SUM(C170:J170)</f>
        <v>1053070</v>
      </c>
      <c r="L170" s="569">
        <v>1110000</v>
      </c>
    </row>
    <row r="171" spans="1:14" ht="15.75" customHeight="1" x14ac:dyDescent="0.2">
      <c r="A171" s="621" t="s">
        <v>766</v>
      </c>
      <c r="B171" s="672" t="s">
        <v>84</v>
      </c>
      <c r="C171" s="616"/>
      <c r="D171" s="616"/>
      <c r="E171" s="466">
        <v>0</v>
      </c>
      <c r="F171" s="616"/>
      <c r="G171" s="616"/>
      <c r="H171" s="569">
        <v>1100</v>
      </c>
      <c r="I171" s="477"/>
      <c r="J171" s="616"/>
      <c r="K171" s="1671">
        <f>SUM(C171:J171)</f>
        <v>1100</v>
      </c>
      <c r="L171" s="569">
        <v>10000</v>
      </c>
    </row>
    <row r="172" spans="1:14" ht="12.75" customHeight="1" thickBot="1" x14ac:dyDescent="0.25">
      <c r="A172" s="1668" t="s">
        <v>638</v>
      </c>
      <c r="B172" s="1669" t="s">
        <v>492</v>
      </c>
      <c r="C172" s="616"/>
      <c r="D172" s="616"/>
      <c r="E172" s="1677">
        <f>SUM(E168,E169,E170,E171)</f>
        <v>0</v>
      </c>
      <c r="F172" s="616"/>
      <c r="G172" s="616"/>
      <c r="H172" s="1677">
        <f>SUM(H168,H169,H170,H171)</f>
        <v>1955488</v>
      </c>
      <c r="I172" s="638"/>
      <c r="J172" s="616"/>
      <c r="K172" s="1677">
        <f>SUM(K168,K169,K170,K171)</f>
        <v>1955488</v>
      </c>
      <c r="L172" s="1677">
        <f>SUM(L168,L169,L170,L171)</f>
        <v>2030000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1955488</v>
      </c>
      <c r="I174" s="638"/>
      <c r="J174" s="616"/>
      <c r="K174" s="1677">
        <f>SUM(K160,K172,K173)</f>
        <v>1955488</v>
      </c>
      <c r="L174" s="1677">
        <f>SUM(L160,L172,L173)</f>
        <v>2030000</v>
      </c>
    </row>
    <row r="175" spans="1:14" ht="13.5" thickTop="1" x14ac:dyDescent="0.2">
      <c r="A175" s="2189" t="s">
        <v>996</v>
      </c>
      <c r="B175" s="2190"/>
      <c r="C175" s="616"/>
      <c r="D175" s="616"/>
      <c r="E175" s="616"/>
      <c r="F175" s="616"/>
      <c r="G175" s="616"/>
      <c r="H175" s="618"/>
      <c r="I175" s="616"/>
      <c r="J175" s="616"/>
      <c r="K175" s="1684">
        <f>'Revenues 9-14'!E268-'Expenditures 15-22'!K174</f>
        <v>-35394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16249</v>
      </c>
      <c r="D182" s="466">
        <v>513</v>
      </c>
      <c r="E182" s="466">
        <v>772243</v>
      </c>
      <c r="F182" s="466">
        <v>0</v>
      </c>
      <c r="G182" s="466">
        <v>0</v>
      </c>
      <c r="H182" s="466">
        <v>0</v>
      </c>
      <c r="I182" s="467">
        <v>0</v>
      </c>
      <c r="J182" s="467">
        <v>0</v>
      </c>
      <c r="K182" s="1671">
        <f>SUM(C182:J182)</f>
        <v>789005</v>
      </c>
      <c r="L182" s="466">
        <v>675315</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16249</v>
      </c>
      <c r="D184" s="1677">
        <f t="shared" ref="D184:J184" si="17">SUM(D180,D182,D183)</f>
        <v>513</v>
      </c>
      <c r="E184" s="1677">
        <f t="shared" si="17"/>
        <v>772243</v>
      </c>
      <c r="F184" s="1677">
        <f t="shared" si="17"/>
        <v>0</v>
      </c>
      <c r="G184" s="1677">
        <f t="shared" si="17"/>
        <v>0</v>
      </c>
      <c r="H184" s="1677">
        <f t="shared" si="17"/>
        <v>0</v>
      </c>
      <c r="I184" s="1677">
        <f t="shared" si="17"/>
        <v>0</v>
      </c>
      <c r="J184" s="1677">
        <f t="shared" si="17"/>
        <v>0</v>
      </c>
      <c r="K184" s="1677">
        <f>SUM(K180,K182,K183)</f>
        <v>789005</v>
      </c>
      <c r="L184" s="1677">
        <f>SUM(L180, L182:L183)</f>
        <v>675315</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16249</v>
      </c>
      <c r="D210" s="1670">
        <f>SUM(D184,D185)</f>
        <v>513</v>
      </c>
      <c r="E210" s="1670">
        <f>SUM(E184,E185,E196)</f>
        <v>772243</v>
      </c>
      <c r="F210" s="1670">
        <f>SUM(F184,F185)</f>
        <v>0</v>
      </c>
      <c r="G210" s="1670">
        <f>SUM(G184,G185)</f>
        <v>0</v>
      </c>
      <c r="H210" s="1670">
        <f>SUM(H184,H185,H196,H208,H209)</f>
        <v>0</v>
      </c>
      <c r="I210" s="1670">
        <f>SUM(I184,I185)</f>
        <v>0</v>
      </c>
      <c r="J210" s="1670">
        <f>SUM(J184,J185)</f>
        <v>0</v>
      </c>
      <c r="K210" s="1671">
        <f>SUM(K184,K185,K196,K208,K209)</f>
        <v>789005</v>
      </c>
      <c r="L210" s="1670">
        <f>SUM(L184,L185,L196,L208,L209)</f>
        <v>675315</v>
      </c>
    </row>
    <row r="211" spans="1:14" ht="13.5" thickTop="1" x14ac:dyDescent="0.2">
      <c r="A211" s="2189" t="s">
        <v>996</v>
      </c>
      <c r="B211" s="2190"/>
      <c r="C211" s="618"/>
      <c r="D211" s="618"/>
      <c r="E211" s="618"/>
      <c r="F211" s="618"/>
      <c r="G211" s="618"/>
      <c r="H211" s="618"/>
      <c r="I211" s="616"/>
      <c r="J211" s="616"/>
      <c r="K211" s="1684">
        <f>'Revenues 9-14'!F268-'Expenditures 15-22'!K210</f>
        <v>-94042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57623</v>
      </c>
      <c r="E215" s="616"/>
      <c r="F215" s="616"/>
      <c r="G215" s="616"/>
      <c r="H215" s="616"/>
      <c r="I215" s="616"/>
      <c r="J215" s="616"/>
      <c r="K215" s="1671">
        <f>D215</f>
        <v>57623</v>
      </c>
      <c r="L215" s="466">
        <v>85000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55787</v>
      </c>
      <c r="E217" s="616"/>
      <c r="F217" s="616"/>
      <c r="G217" s="616"/>
      <c r="H217" s="616"/>
      <c r="I217" s="616"/>
      <c r="J217" s="616"/>
      <c r="K217" s="1671">
        <f t="shared" si="19"/>
        <v>55787</v>
      </c>
      <c r="L217" s="466">
        <v>90000</v>
      </c>
    </row>
    <row r="218" spans="1:14" x14ac:dyDescent="0.2">
      <c r="A218" s="1504" t="s">
        <v>278</v>
      </c>
      <c r="B218" s="614" t="s">
        <v>968</v>
      </c>
      <c r="C218" s="616"/>
      <c r="D218" s="467">
        <v>1284</v>
      </c>
      <c r="E218" s="616"/>
      <c r="F218" s="616"/>
      <c r="G218" s="616"/>
      <c r="H218" s="616"/>
      <c r="I218" s="616"/>
      <c r="J218" s="616"/>
      <c r="K218" s="1671">
        <f t="shared" si="19"/>
        <v>1284</v>
      </c>
      <c r="L218" s="466">
        <v>12000</v>
      </c>
    </row>
    <row r="219" spans="1:14" x14ac:dyDescent="0.2">
      <c r="A219" s="1504" t="s">
        <v>279</v>
      </c>
      <c r="B219" s="614">
        <v>1250</v>
      </c>
      <c r="C219" s="616"/>
      <c r="D219" s="466">
        <v>979</v>
      </c>
      <c r="E219" s="616"/>
      <c r="F219" s="616"/>
      <c r="G219" s="616"/>
      <c r="H219" s="616"/>
      <c r="I219" s="616"/>
      <c r="J219" s="616"/>
      <c r="K219" s="1671">
        <f t="shared" si="19"/>
        <v>979</v>
      </c>
      <c r="L219" s="466">
        <v>1500</v>
      </c>
    </row>
    <row r="220" spans="1:14" x14ac:dyDescent="0.2">
      <c r="A220" s="1504" t="s">
        <v>280</v>
      </c>
      <c r="B220" s="614" t="s">
        <v>161</v>
      </c>
      <c r="C220" s="616"/>
      <c r="D220" s="467">
        <v>7426</v>
      </c>
      <c r="E220" s="616"/>
      <c r="F220" s="616"/>
      <c r="G220" s="616"/>
      <c r="H220" s="616"/>
      <c r="I220" s="616"/>
      <c r="J220" s="616"/>
      <c r="K220" s="1671">
        <f t="shared" si="19"/>
        <v>7426</v>
      </c>
      <c r="L220" s="466">
        <v>8000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550</v>
      </c>
      <c r="E223" s="616"/>
      <c r="F223" s="616"/>
      <c r="G223" s="616"/>
      <c r="H223" s="616"/>
      <c r="I223" s="616"/>
      <c r="J223" s="616"/>
      <c r="K223" s="1671">
        <f t="shared" si="19"/>
        <v>550</v>
      </c>
      <c r="L223" s="466">
        <v>1000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1730</v>
      </c>
      <c r="E227" s="616"/>
      <c r="F227" s="616"/>
      <c r="G227" s="616"/>
      <c r="H227" s="616"/>
      <c r="I227" s="616"/>
      <c r="J227" s="616"/>
      <c r="K227" s="1671">
        <f t="shared" si="19"/>
        <v>1730</v>
      </c>
      <c r="L227" s="466">
        <v>3000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125379</v>
      </c>
      <c r="E229" s="616"/>
      <c r="F229" s="616"/>
      <c r="G229" s="616"/>
      <c r="H229" s="616"/>
      <c r="I229" s="616"/>
      <c r="J229" s="616"/>
      <c r="K229" s="1670">
        <f>SUM(K215:K228)</f>
        <v>125379</v>
      </c>
      <c r="L229" s="1670">
        <f>SUM(L215:L228)</f>
        <v>200500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2577</v>
      </c>
      <c r="E232" s="616"/>
      <c r="F232" s="616"/>
      <c r="G232" s="616"/>
      <c r="H232" s="616"/>
      <c r="I232" s="616"/>
      <c r="J232" s="616"/>
      <c r="K232" s="1671">
        <f t="shared" ref="K232:K237" si="20">D232</f>
        <v>2577</v>
      </c>
      <c r="L232" s="466">
        <v>2715</v>
      </c>
    </row>
    <row r="233" spans="1:12" x14ac:dyDescent="0.2">
      <c r="A233" s="1504" t="s">
        <v>1090</v>
      </c>
      <c r="B233" s="614">
        <v>2120</v>
      </c>
      <c r="C233" s="616"/>
      <c r="D233" s="466">
        <v>0</v>
      </c>
      <c r="E233" s="616"/>
      <c r="F233" s="616"/>
      <c r="G233" s="616"/>
      <c r="H233" s="616"/>
      <c r="I233" s="616"/>
      <c r="J233" s="616"/>
      <c r="K233" s="1671">
        <f t="shared" si="20"/>
        <v>0</v>
      </c>
      <c r="L233" s="466">
        <v>680</v>
      </c>
    </row>
    <row r="234" spans="1:12" x14ac:dyDescent="0.2">
      <c r="A234" s="1504" t="s">
        <v>198</v>
      </c>
      <c r="B234" s="614">
        <v>2130</v>
      </c>
      <c r="C234" s="616"/>
      <c r="D234" s="466">
        <v>27981</v>
      </c>
      <c r="E234" s="616"/>
      <c r="F234" s="616"/>
      <c r="G234" s="616"/>
      <c r="H234" s="616"/>
      <c r="I234" s="616"/>
      <c r="J234" s="616"/>
      <c r="K234" s="1671">
        <f t="shared" si="20"/>
        <v>27981</v>
      </c>
      <c r="L234" s="466">
        <v>31893</v>
      </c>
    </row>
    <row r="235" spans="1:12" x14ac:dyDescent="0.2">
      <c r="A235" s="1504" t="s">
        <v>199</v>
      </c>
      <c r="B235" s="614">
        <v>2140</v>
      </c>
      <c r="C235" s="616"/>
      <c r="D235" s="466">
        <v>2152</v>
      </c>
      <c r="E235" s="616"/>
      <c r="F235" s="616"/>
      <c r="G235" s="616"/>
      <c r="H235" s="616"/>
      <c r="I235" s="616"/>
      <c r="J235" s="616"/>
      <c r="K235" s="1671">
        <f t="shared" si="20"/>
        <v>2152</v>
      </c>
      <c r="L235" s="466">
        <v>2000</v>
      </c>
    </row>
    <row r="236" spans="1:12" x14ac:dyDescent="0.2">
      <c r="A236" s="1504" t="s">
        <v>200</v>
      </c>
      <c r="B236" s="614">
        <v>2150</v>
      </c>
      <c r="C236" s="616"/>
      <c r="D236" s="466">
        <v>3108</v>
      </c>
      <c r="E236" s="616"/>
      <c r="F236" s="616"/>
      <c r="G236" s="616"/>
      <c r="H236" s="616"/>
      <c r="I236" s="616"/>
      <c r="J236" s="616"/>
      <c r="K236" s="1671">
        <f t="shared" si="20"/>
        <v>3108</v>
      </c>
      <c r="L236" s="466">
        <v>10424</v>
      </c>
    </row>
    <row r="237" spans="1:12" x14ac:dyDescent="0.2">
      <c r="A237" s="1504" t="s">
        <v>165</v>
      </c>
      <c r="B237" s="614">
        <v>2190</v>
      </c>
      <c r="C237" s="616"/>
      <c r="D237" s="466">
        <v>11607</v>
      </c>
      <c r="E237" s="616"/>
      <c r="F237" s="616"/>
      <c r="G237" s="616"/>
      <c r="H237" s="616"/>
      <c r="I237" s="616"/>
      <c r="J237" s="616"/>
      <c r="K237" s="1671">
        <f t="shared" si="20"/>
        <v>11607</v>
      </c>
      <c r="L237" s="466">
        <v>13111</v>
      </c>
    </row>
    <row r="238" spans="1:12" ht="12.75" customHeight="1" thickBot="1" x14ac:dyDescent="0.25">
      <c r="A238" s="1668" t="s">
        <v>560</v>
      </c>
      <c r="B238" s="1675" t="s">
        <v>716</v>
      </c>
      <c r="C238" s="616"/>
      <c r="D238" s="1670">
        <f>SUM(D232:D237)</f>
        <v>47425</v>
      </c>
      <c r="E238" s="616"/>
      <c r="F238" s="616"/>
      <c r="G238" s="616"/>
      <c r="H238" s="616"/>
      <c r="I238" s="616"/>
      <c r="J238" s="616"/>
      <c r="K238" s="1670">
        <f>SUM(K232:K237)</f>
        <v>47425</v>
      </c>
      <c r="L238" s="1670">
        <f>SUM(L232:L237)</f>
        <v>60823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1745</v>
      </c>
      <c r="E240" s="616"/>
      <c r="F240" s="616"/>
      <c r="G240" s="616"/>
      <c r="H240" s="616"/>
      <c r="I240" s="616"/>
      <c r="J240" s="616"/>
      <c r="K240" s="1672">
        <f>D240</f>
        <v>1745</v>
      </c>
      <c r="L240" s="481">
        <v>928</v>
      </c>
    </row>
    <row r="241" spans="1:12" x14ac:dyDescent="0.2">
      <c r="A241" s="1504" t="s">
        <v>815</v>
      </c>
      <c r="B241" s="614">
        <v>2220</v>
      </c>
      <c r="C241" s="616"/>
      <c r="D241" s="466">
        <v>6039</v>
      </c>
      <c r="E241" s="616"/>
      <c r="F241" s="616"/>
      <c r="G241" s="616"/>
      <c r="H241" s="616"/>
      <c r="I241" s="616"/>
      <c r="J241" s="616"/>
      <c r="K241" s="1672">
        <f>D241</f>
        <v>6039</v>
      </c>
      <c r="L241" s="466">
        <v>13890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7784</v>
      </c>
      <c r="E243" s="616"/>
      <c r="F243" s="616"/>
      <c r="G243" s="616"/>
      <c r="H243" s="616"/>
      <c r="I243" s="616"/>
      <c r="J243" s="616"/>
      <c r="K243" s="1670">
        <f>SUM(K240:K242)</f>
        <v>7784</v>
      </c>
      <c r="L243" s="1670">
        <f>SUM(L240:L242)</f>
        <v>14818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8760</v>
      </c>
      <c r="E245" s="616"/>
      <c r="F245" s="616"/>
      <c r="G245" s="616"/>
      <c r="H245" s="616"/>
      <c r="I245" s="616"/>
      <c r="J245" s="616"/>
      <c r="K245" s="1672">
        <f>D245</f>
        <v>8760</v>
      </c>
      <c r="L245" s="481">
        <v>10025</v>
      </c>
    </row>
    <row r="246" spans="1:12" x14ac:dyDescent="0.2">
      <c r="A246" s="1504" t="s">
        <v>818</v>
      </c>
      <c r="B246" s="614">
        <v>2320</v>
      </c>
      <c r="C246" s="616"/>
      <c r="D246" s="466">
        <v>4003</v>
      </c>
      <c r="E246" s="616"/>
      <c r="F246" s="616"/>
      <c r="G246" s="616"/>
      <c r="H246" s="616"/>
      <c r="I246" s="616"/>
      <c r="J246" s="616"/>
      <c r="K246" s="1672">
        <f t="shared" ref="K246:K256" si="21">D246</f>
        <v>4003</v>
      </c>
      <c r="L246" s="466">
        <v>4619</v>
      </c>
    </row>
    <row r="247" spans="1:12" x14ac:dyDescent="0.2">
      <c r="A247" s="1504" t="s">
        <v>819</v>
      </c>
      <c r="B247" s="614">
        <v>2330</v>
      </c>
      <c r="C247" s="616"/>
      <c r="D247" s="466">
        <v>10982</v>
      </c>
      <c r="E247" s="616"/>
      <c r="F247" s="616"/>
      <c r="G247" s="616"/>
      <c r="H247" s="616"/>
      <c r="I247" s="616"/>
      <c r="J247" s="616"/>
      <c r="K247" s="1672">
        <f t="shared" si="21"/>
        <v>10982</v>
      </c>
      <c r="L247" s="466">
        <v>9897</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1802</v>
      </c>
      <c r="B249" s="683" t="s">
        <v>282</v>
      </c>
      <c r="C249" s="616"/>
      <c r="D249" s="474">
        <v>0</v>
      </c>
      <c r="E249" s="616"/>
      <c r="F249" s="616"/>
      <c r="G249" s="616"/>
      <c r="H249" s="616"/>
      <c r="I249" s="616"/>
      <c r="J249" s="616"/>
      <c r="K249" s="1672">
        <f t="shared" si="21"/>
        <v>0</v>
      </c>
      <c r="L249" s="466">
        <v>0</v>
      </c>
    </row>
    <row r="250" spans="1:12" x14ac:dyDescent="0.2">
      <c r="A250" s="1505" t="s">
        <v>1803</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23745</v>
      </c>
      <c r="E257" s="616"/>
      <c r="F257" s="616"/>
      <c r="G257" s="616"/>
      <c r="H257" s="616"/>
      <c r="I257" s="616"/>
      <c r="J257" s="616"/>
      <c r="K257" s="1670">
        <f>SUM(K245:K256)</f>
        <v>23745</v>
      </c>
      <c r="L257" s="1670">
        <f>SUM(L245:L256)</f>
        <v>24541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48402</v>
      </c>
      <c r="E259" s="616"/>
      <c r="F259" s="616"/>
      <c r="G259" s="616"/>
      <c r="H259" s="616"/>
      <c r="I259" s="616"/>
      <c r="J259" s="616"/>
      <c r="K259" s="1672">
        <f>D259</f>
        <v>48402</v>
      </c>
      <c r="L259" s="481">
        <v>44615</v>
      </c>
    </row>
    <row r="260" spans="1:14" s="597" customFormat="1" x14ac:dyDescent="0.2">
      <c r="A260" s="1522" t="s">
        <v>1801</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48402</v>
      </c>
      <c r="E261" s="616"/>
      <c r="F261" s="616"/>
      <c r="G261" s="616"/>
      <c r="H261" s="616"/>
      <c r="I261" s="616"/>
      <c r="J261" s="616"/>
      <c r="K261" s="1670">
        <f>SUM(K259:K260)</f>
        <v>48402</v>
      </c>
      <c r="L261" s="1670">
        <f>SUM(L259:L260)</f>
        <v>44615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1402</v>
      </c>
      <c r="E263" s="616"/>
      <c r="F263" s="616"/>
      <c r="G263" s="616"/>
      <c r="H263" s="616"/>
      <c r="I263" s="616"/>
      <c r="J263" s="616"/>
      <c r="K263" s="1672">
        <f>D263</f>
        <v>1402</v>
      </c>
      <c r="L263" s="481">
        <v>1530</v>
      </c>
    </row>
    <row r="264" spans="1:14" x14ac:dyDescent="0.2">
      <c r="A264" s="1504" t="s">
        <v>463</v>
      </c>
      <c r="B264" s="685">
        <v>2520</v>
      </c>
      <c r="C264" s="616"/>
      <c r="D264" s="466">
        <v>12362</v>
      </c>
      <c r="E264" s="616"/>
      <c r="F264" s="616"/>
      <c r="G264" s="616"/>
      <c r="H264" s="616"/>
      <c r="I264" s="616"/>
      <c r="J264" s="616"/>
      <c r="K264" s="1672">
        <f t="shared" ref="K264:K269" si="22">D264</f>
        <v>12362</v>
      </c>
      <c r="L264" s="466">
        <v>25265</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31392</v>
      </c>
      <c r="E266" s="616"/>
      <c r="F266" s="616"/>
      <c r="G266" s="616"/>
      <c r="H266" s="616"/>
      <c r="I266" s="616"/>
      <c r="J266" s="616"/>
      <c r="K266" s="1672">
        <f t="shared" si="22"/>
        <v>31392</v>
      </c>
      <c r="L266" s="466">
        <v>55905</v>
      </c>
    </row>
    <row r="267" spans="1:14" x14ac:dyDescent="0.2">
      <c r="A267" s="1504" t="s">
        <v>953</v>
      </c>
      <c r="B267" s="614">
        <v>2550</v>
      </c>
      <c r="C267" s="616"/>
      <c r="D267" s="466">
        <v>2970</v>
      </c>
      <c r="E267" s="616"/>
      <c r="F267" s="616"/>
      <c r="G267" s="616"/>
      <c r="H267" s="616"/>
      <c r="I267" s="616"/>
      <c r="J267" s="616"/>
      <c r="K267" s="1672">
        <f t="shared" si="22"/>
        <v>2970</v>
      </c>
      <c r="L267" s="466">
        <v>3000</v>
      </c>
    </row>
    <row r="268" spans="1:14" x14ac:dyDescent="0.2">
      <c r="A268" s="1504" t="s">
        <v>100</v>
      </c>
      <c r="B268" s="614">
        <v>2560</v>
      </c>
      <c r="C268" s="616"/>
      <c r="D268" s="466">
        <v>2970</v>
      </c>
      <c r="E268" s="616"/>
      <c r="F268" s="616"/>
      <c r="G268" s="616"/>
      <c r="H268" s="616"/>
      <c r="I268" s="616"/>
      <c r="J268" s="616"/>
      <c r="K268" s="1672">
        <f t="shared" si="22"/>
        <v>2970</v>
      </c>
      <c r="L268" s="466">
        <v>5992</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51096</v>
      </c>
      <c r="E270" s="616"/>
      <c r="F270" s="616"/>
      <c r="G270" s="616"/>
      <c r="H270" s="616"/>
      <c r="I270" s="616"/>
      <c r="J270" s="616"/>
      <c r="K270" s="1670">
        <f>SUM(K263:K269)</f>
        <v>51096</v>
      </c>
      <c r="L270" s="1670">
        <f>SUM(L263:L269)</f>
        <v>91692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24224</v>
      </c>
      <c r="E276" s="616"/>
      <c r="F276" s="616"/>
      <c r="G276" s="616"/>
      <c r="H276" s="616"/>
      <c r="I276" s="616"/>
      <c r="J276" s="616"/>
      <c r="K276" s="1672">
        <f>D276</f>
        <v>24224</v>
      </c>
      <c r="L276" s="466">
        <v>36530</v>
      </c>
    </row>
    <row r="277" spans="1:12" ht="12.75" customHeight="1" thickBot="1" x14ac:dyDescent="0.25">
      <c r="A277" s="1691" t="s">
        <v>37</v>
      </c>
      <c r="B277" s="1669" t="s">
        <v>36</v>
      </c>
      <c r="C277" s="616"/>
      <c r="D277" s="1670">
        <f>SUM(D272:D276)</f>
        <v>24224</v>
      </c>
      <c r="E277" s="616"/>
      <c r="F277" s="616"/>
      <c r="G277" s="616"/>
      <c r="H277" s="616"/>
      <c r="I277" s="616"/>
      <c r="J277" s="616"/>
      <c r="K277" s="1670">
        <f>SUM(K272:K276)</f>
        <v>24224</v>
      </c>
      <c r="L277" s="1670">
        <f>SUM(L272:L276)</f>
        <v>36530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202676</v>
      </c>
      <c r="E279" s="616"/>
      <c r="F279" s="616"/>
      <c r="G279" s="616"/>
      <c r="H279" s="616"/>
      <c r="I279" s="616"/>
      <c r="J279" s="616"/>
      <c r="K279" s="1677">
        <f>SUM(K238,K243,K257,K261,K270,K277,K278)</f>
        <v>202676</v>
      </c>
      <c r="L279" s="1677">
        <f>SUM(L238,L243,L257,L261,L270,L277,L278)</f>
        <v>273019</v>
      </c>
    </row>
    <row r="280" spans="1:12" ht="15.75" customHeight="1" thickTop="1" thickBot="1" x14ac:dyDescent="0.25">
      <c r="A280" s="1624" t="s">
        <v>875</v>
      </c>
      <c r="B280" s="1613">
        <v>3000</v>
      </c>
      <c r="C280" s="616"/>
      <c r="D280" s="576">
        <v>15877</v>
      </c>
      <c r="E280" s="616"/>
      <c r="F280" s="616"/>
      <c r="G280" s="616"/>
      <c r="H280" s="616"/>
      <c r="I280" s="616"/>
      <c r="J280" s="616"/>
      <c r="K280" s="1679">
        <f>D280</f>
        <v>15877</v>
      </c>
      <c r="L280" s="576">
        <v>20962</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0" t="s">
        <v>505</v>
      </c>
      <c r="B295" s="2181"/>
      <c r="C295" s="616"/>
      <c r="D295" s="1670">
        <f>SUM(D229,D279,D280,D285)</f>
        <v>343932</v>
      </c>
      <c r="E295" s="616"/>
      <c r="F295" s="616"/>
      <c r="G295" s="616"/>
      <c r="H295" s="1670">
        <f>H293</f>
        <v>0</v>
      </c>
      <c r="I295" s="616"/>
      <c r="J295" s="616"/>
      <c r="K295" s="1670">
        <f>SUM(K229,K279,K280,K285,K293,K294)</f>
        <v>343932</v>
      </c>
      <c r="L295" s="1670">
        <f>SUM(L229,L279,L280,L285,L293,L294)</f>
        <v>494481</v>
      </c>
    </row>
    <row r="296" spans="1:14" ht="13.5" thickTop="1" x14ac:dyDescent="0.2">
      <c r="A296" s="2189" t="s">
        <v>996</v>
      </c>
      <c r="B296" s="2190"/>
      <c r="C296" s="616"/>
      <c r="D296" s="618"/>
      <c r="E296" s="616"/>
      <c r="F296" s="616"/>
      <c r="G296" s="616"/>
      <c r="H296" s="687"/>
      <c r="I296" s="616"/>
      <c r="J296" s="616"/>
      <c r="K296" s="1684">
        <f>'Revenues 9-14'!G268-'Expenditures 15-22'!K295</f>
        <v>146998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199716</v>
      </c>
      <c r="H301" s="466">
        <v>0</v>
      </c>
      <c r="I301" s="467">
        <v>0</v>
      </c>
      <c r="J301" s="467">
        <v>0</v>
      </c>
      <c r="K301" s="1671">
        <f>SUM(C301:J301)</f>
        <v>199716</v>
      </c>
      <c r="L301" s="467">
        <v>250000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199716</v>
      </c>
      <c r="H303" s="1677">
        <f t="shared" si="23"/>
        <v>0</v>
      </c>
      <c r="I303" s="1677">
        <f t="shared" si="23"/>
        <v>0</v>
      </c>
      <c r="J303" s="1677">
        <f t="shared" si="23"/>
        <v>0</v>
      </c>
      <c r="K303" s="1677">
        <f t="shared" si="23"/>
        <v>199716</v>
      </c>
      <c r="L303" s="1677">
        <f t="shared" si="23"/>
        <v>250000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7" t="s">
        <v>277</v>
      </c>
      <c r="B312" s="2178"/>
      <c r="C312" s="1670">
        <f>SUM(C303)</f>
        <v>0</v>
      </c>
      <c r="D312" s="1670">
        <f>SUM(D303)</f>
        <v>0</v>
      </c>
      <c r="E312" s="1670">
        <f>SUM(E303,E310)</f>
        <v>0</v>
      </c>
      <c r="F312" s="1670">
        <f>SUM(F303)</f>
        <v>0</v>
      </c>
      <c r="G312" s="1670">
        <f>SUM(G303)</f>
        <v>199716</v>
      </c>
      <c r="H312" s="1670">
        <f>SUM(H303,H310)</f>
        <v>0</v>
      </c>
      <c r="I312" s="1670">
        <f>SUM(I303)</f>
        <v>0</v>
      </c>
      <c r="J312" s="1670">
        <f>SUM(J303)</f>
        <v>0</v>
      </c>
      <c r="K312" s="1670">
        <f>SUM(K303,K310,K311)</f>
        <v>199716</v>
      </c>
      <c r="L312" s="1670">
        <f>SUM(L303,L310,L311)</f>
        <v>250000</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-106078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1802</v>
      </c>
      <c r="B320" s="698" t="s">
        <v>282</v>
      </c>
      <c r="C320" s="467">
        <v>0</v>
      </c>
      <c r="D320" s="467">
        <v>0</v>
      </c>
      <c r="E320" s="467">
        <v>31678</v>
      </c>
      <c r="F320" s="467">
        <v>0</v>
      </c>
      <c r="G320" s="467">
        <v>0</v>
      </c>
      <c r="H320" s="467">
        <v>0</v>
      </c>
      <c r="I320" s="467">
        <v>0</v>
      </c>
      <c r="J320" s="467">
        <v>0</v>
      </c>
      <c r="K320" s="1671">
        <f t="shared" ref="K320:K327" si="24">SUM(C320:J320)</f>
        <v>31678</v>
      </c>
      <c r="L320" s="467">
        <v>44000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10000</v>
      </c>
      <c r="M321" s="665"/>
      <c r="N321" s="665"/>
    </row>
    <row r="322" spans="1:14" s="674" customFormat="1" x14ac:dyDescent="0.2">
      <c r="A322" s="1519" t="s">
        <v>238</v>
      </c>
      <c r="B322" s="697" t="s">
        <v>284</v>
      </c>
      <c r="C322" s="467">
        <v>0</v>
      </c>
      <c r="D322" s="467">
        <v>0</v>
      </c>
      <c r="E322" s="467">
        <v>23255</v>
      </c>
      <c r="F322" s="467">
        <v>0</v>
      </c>
      <c r="G322" s="467">
        <v>0</v>
      </c>
      <c r="H322" s="467">
        <v>0</v>
      </c>
      <c r="I322" s="467">
        <v>0</v>
      </c>
      <c r="J322" s="467">
        <v>0</v>
      </c>
      <c r="K322" s="1671">
        <f t="shared" si="24"/>
        <v>23255</v>
      </c>
      <c r="L322" s="467">
        <v>30000</v>
      </c>
      <c r="M322" s="665"/>
      <c r="N322" s="665"/>
    </row>
    <row r="323" spans="1:14" s="674" customFormat="1" x14ac:dyDescent="0.2">
      <c r="A323" s="1519" t="s">
        <v>702</v>
      </c>
      <c r="B323" s="697" t="s">
        <v>285</v>
      </c>
      <c r="C323" s="467">
        <v>0</v>
      </c>
      <c r="D323" s="467">
        <v>0</v>
      </c>
      <c r="E323" s="467">
        <v>11835</v>
      </c>
      <c r="F323" s="467">
        <v>0</v>
      </c>
      <c r="G323" s="467">
        <v>0</v>
      </c>
      <c r="H323" s="467">
        <v>0</v>
      </c>
      <c r="I323" s="467">
        <v>0</v>
      </c>
      <c r="J323" s="467">
        <v>0</v>
      </c>
      <c r="K323" s="1671">
        <f t="shared" si="24"/>
        <v>11835</v>
      </c>
      <c r="L323" s="467">
        <v>12000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23259</v>
      </c>
      <c r="F327" s="467">
        <v>0</v>
      </c>
      <c r="G327" s="467">
        <v>0</v>
      </c>
      <c r="H327" s="467">
        <v>0</v>
      </c>
      <c r="I327" s="467">
        <v>0</v>
      </c>
      <c r="J327" s="467">
        <v>0</v>
      </c>
      <c r="K327" s="1671">
        <f t="shared" si="24"/>
        <v>23259</v>
      </c>
      <c r="L327" s="467">
        <v>37900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90027</v>
      </c>
      <c r="F330" s="1670">
        <f t="shared" si="25"/>
        <v>0</v>
      </c>
      <c r="G330" s="1670">
        <f t="shared" si="25"/>
        <v>0</v>
      </c>
      <c r="H330" s="1670">
        <f t="shared" si="25"/>
        <v>0</v>
      </c>
      <c r="I330" s="1670">
        <f t="shared" si="25"/>
        <v>0</v>
      </c>
      <c r="J330" s="1670">
        <f t="shared" si="25"/>
        <v>0</v>
      </c>
      <c r="K330" s="1670">
        <f>SUM(K319:K329)</f>
        <v>90027</v>
      </c>
      <c r="L330" s="1670">
        <f>SUM(L319:L329)</f>
        <v>133900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1844</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5000</v>
      </c>
    </row>
    <row r="342" spans="1:14" ht="12.75" customHeight="1" thickTop="1" thickBot="1" x14ac:dyDescent="0.25">
      <c r="A342" s="1686" t="s">
        <v>505</v>
      </c>
      <c r="B342" s="1701"/>
      <c r="C342" s="1670">
        <f>SUM(C330)</f>
        <v>0</v>
      </c>
      <c r="D342" s="1670">
        <f>SUM(D330)</f>
        <v>0</v>
      </c>
      <c r="E342" s="1670">
        <f>SUM(E330)</f>
        <v>90027</v>
      </c>
      <c r="F342" s="1670">
        <f>SUM(F330)</f>
        <v>0</v>
      </c>
      <c r="G342" s="1670">
        <f>SUM(G330)</f>
        <v>0</v>
      </c>
      <c r="H342" s="1670">
        <f>SUM(H330,H334,H340)</f>
        <v>0</v>
      </c>
      <c r="I342" s="1670">
        <f>SUM(I330)</f>
        <v>0</v>
      </c>
      <c r="J342" s="1670">
        <f>SUM(J330)</f>
        <v>0</v>
      </c>
      <c r="K342" s="1670">
        <f>SUM(K330,K334,K340)</f>
        <v>90027</v>
      </c>
      <c r="L342" s="1677">
        <f>SUM(L330,L340,L341)</f>
        <v>138900</v>
      </c>
    </row>
    <row r="343" spans="1:14" ht="12.75" customHeight="1" thickTop="1" x14ac:dyDescent="0.2">
      <c r="A343" s="2175" t="s">
        <v>996</v>
      </c>
      <c r="B343" s="2176"/>
      <c r="C343" s="616"/>
      <c r="D343" s="616"/>
      <c r="E343" s="616"/>
      <c r="F343" s="616"/>
      <c r="G343" s="616"/>
      <c r="H343" s="616"/>
      <c r="I343" s="616"/>
      <c r="J343" s="616"/>
      <c r="K343" s="1684">
        <f>'Revenues 9-14'!J268-'Expenditures 15-22'!K342</f>
        <v>43651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334</v>
      </c>
      <c r="F348" s="466">
        <v>0</v>
      </c>
      <c r="G348" s="466">
        <v>0</v>
      </c>
      <c r="H348" s="466">
        <v>0</v>
      </c>
      <c r="I348" s="467">
        <v>0</v>
      </c>
      <c r="J348" s="467">
        <v>0</v>
      </c>
      <c r="K348" s="1671">
        <f>SUM(C348:J348)</f>
        <v>334</v>
      </c>
      <c r="L348" s="466">
        <v>208678</v>
      </c>
    </row>
    <row r="349" spans="1:14" x14ac:dyDescent="0.2">
      <c r="A349" s="1504" t="s">
        <v>197</v>
      </c>
      <c r="B349" s="614">
        <v>2540</v>
      </c>
      <c r="C349" s="466">
        <v>0</v>
      </c>
      <c r="D349" s="466">
        <v>0</v>
      </c>
      <c r="E349" s="466">
        <v>167067</v>
      </c>
      <c r="F349" s="466">
        <v>0</v>
      </c>
      <c r="G349" s="466">
        <v>0</v>
      </c>
      <c r="H349" s="466">
        <v>0</v>
      </c>
      <c r="I349" s="467">
        <v>0</v>
      </c>
      <c r="J349" s="467">
        <v>0</v>
      </c>
      <c r="K349" s="1671">
        <f>SUM(C349:J349)</f>
        <v>167067</v>
      </c>
      <c r="L349" s="466">
        <v>7721</v>
      </c>
    </row>
    <row r="350" spans="1:14" ht="12.75" customHeight="1" thickBot="1" x14ac:dyDescent="0.25">
      <c r="A350" s="1668" t="s">
        <v>719</v>
      </c>
      <c r="B350" s="1669" t="s">
        <v>35</v>
      </c>
      <c r="C350" s="1670">
        <f>SUM(C348:C349)</f>
        <v>0</v>
      </c>
      <c r="D350" s="1670">
        <f t="shared" ref="D350:L350" si="26">SUM(D348:D349)</f>
        <v>0</v>
      </c>
      <c r="E350" s="1670">
        <f t="shared" si="26"/>
        <v>167401</v>
      </c>
      <c r="F350" s="1670">
        <f t="shared" si="26"/>
        <v>0</v>
      </c>
      <c r="G350" s="1670">
        <f t="shared" si="26"/>
        <v>0</v>
      </c>
      <c r="H350" s="1670">
        <f t="shared" si="26"/>
        <v>0</v>
      </c>
      <c r="I350" s="1670">
        <f t="shared" si="26"/>
        <v>0</v>
      </c>
      <c r="J350" s="1670">
        <f t="shared" si="26"/>
        <v>0</v>
      </c>
      <c r="K350" s="1670">
        <f t="shared" si="26"/>
        <v>167401</v>
      </c>
      <c r="L350" s="1670">
        <f t="shared" si="26"/>
        <v>216399</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167401</v>
      </c>
      <c r="F352" s="1670">
        <f t="shared" si="27"/>
        <v>0</v>
      </c>
      <c r="G352" s="1670">
        <f t="shared" si="27"/>
        <v>0</v>
      </c>
      <c r="H352" s="1670">
        <f t="shared" si="27"/>
        <v>0</v>
      </c>
      <c r="I352" s="1670">
        <f t="shared" si="27"/>
        <v>0</v>
      </c>
      <c r="J352" s="1670">
        <f t="shared" si="27"/>
        <v>0</v>
      </c>
      <c r="K352" s="1670">
        <f t="shared" si="27"/>
        <v>167401</v>
      </c>
      <c r="L352" s="1670">
        <f t="shared" si="27"/>
        <v>216399</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v>0</v>
      </c>
      <c r="I354" s="701"/>
      <c r="J354" s="616"/>
      <c r="K354" s="1699">
        <f>H354</f>
        <v>0</v>
      </c>
      <c r="L354" s="471">
        <v>0</v>
      </c>
    </row>
    <row r="355" spans="1:14" ht="12.75" customHeight="1" x14ac:dyDescent="0.2">
      <c r="A355" s="1513" t="s">
        <v>1851</v>
      </c>
      <c r="B355" s="690" t="s">
        <v>1844</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167401</v>
      </c>
      <c r="F367" s="1670">
        <f t="shared" si="28"/>
        <v>0</v>
      </c>
      <c r="G367" s="1670">
        <f t="shared" si="28"/>
        <v>0</v>
      </c>
      <c r="H367" s="1670">
        <f t="shared" si="28"/>
        <v>0</v>
      </c>
      <c r="I367" s="1670">
        <f t="shared" si="28"/>
        <v>0</v>
      </c>
      <c r="J367" s="1670">
        <f t="shared" si="28"/>
        <v>0</v>
      </c>
      <c r="K367" s="1670">
        <f t="shared" si="28"/>
        <v>167401</v>
      </c>
      <c r="L367" s="1670">
        <f t="shared" si="28"/>
        <v>216399</v>
      </c>
    </row>
    <row r="368" spans="1:14" ht="13.5" thickTop="1" x14ac:dyDescent="0.2">
      <c r="A368" s="2189" t="s">
        <v>996</v>
      </c>
      <c r="B368" s="2190"/>
      <c r="C368" s="654"/>
      <c r="D368" s="654"/>
      <c r="E368" s="626"/>
      <c r="F368" s="626"/>
      <c r="G368" s="626"/>
      <c r="H368" s="626"/>
      <c r="I368" s="626"/>
      <c r="J368" s="623"/>
      <c r="K368" s="1671">
        <f>'Revenues 9-14'!K268-'Expenditures 15-22'!K367</f>
        <v>-161205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infopath/2007/PartnerControls"/>
    <ds:schemaRef ds:uri="4d435f69-8686-490b-bd6d-b153bf22ab50"/>
    <ds:schemaRef ds:uri="http://schemas.microsoft.com/office/2006/documentManagement/types"/>
    <ds:schemaRef ds:uri="d21dc803-237d-4c68-8692-8d731fd29118"/>
    <ds:schemaRef ds:uri="http://purl.org/dc/terms/"/>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2019-10-23T15:29:10Z</cp:lastPrinted>
  <dcterms:created xsi:type="dcterms:W3CDTF">2003-10-29T19:06:34Z</dcterms:created>
  <dcterms:modified xsi:type="dcterms:W3CDTF">2019-12-05T15:15:30Z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