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80FBB98-0878-4731-B639-B5A5CD35391C}" xr6:coauthVersionLast="36" xr6:coauthVersionMax="36" xr10:uidLastSave="{00000000-0000-0000-0000-000000000000}"/>
  <bookViews>
    <workbookView xWindow="-105" yWindow="-105" windowWidth="23250" windowHeight="12570" tabRatio="81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4" r:id="rId29"/>
    <sheet name="SEFA NOTES" sheetId="173" r:id="rId30"/>
    <sheet name="SF&amp;QC Sec-1" sheetId="174" r:id="rId31"/>
    <sheet name="SF&amp;QC Sec-2 (1)" sheetId="175" r:id="rId32"/>
    <sheet name="SF&amp;QC Sec-3 (2)" sheetId="176" r:id="rId33"/>
    <sheet name="SF&amp;QC Sec-3 (3)" sheetId="185" r:id="rId34"/>
    <sheet name="SSPAF" sheetId="177" r:id="rId35"/>
  </sheets>
  <definedNames>
    <definedName name="_xlnm.Print_Area" localSheetId="27">' SEFA'!$B$1:$M$52</definedName>
    <definedName name="_xlnm.Print_Area" localSheetId="28">' SEFA (2)'!$B$1:$M$47</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 (2)'!$A$1:$K$48</definedName>
    <definedName name="_xlnm.Print_Area" localSheetId="33">'SF&amp;QC Sec-3 (3)'!$A$1:$K$48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5" l="1"/>
  <c r="C39" i="3" l="1"/>
  <c r="C27" i="3"/>
  <c r="L23" i="184" l="1"/>
  <c r="L22" i="184"/>
  <c r="L17" i="184"/>
  <c r="L16" i="184"/>
  <c r="L15" i="184"/>
  <c r="L29" i="179" l="1"/>
  <c r="L28" i="179"/>
  <c r="L27" i="179"/>
  <c r="L26" i="179"/>
  <c r="L25" i="179"/>
  <c r="L24" i="179"/>
  <c r="L23" i="179"/>
  <c r="L22" i="179"/>
  <c r="L21" i="179"/>
  <c r="L20" i="179"/>
  <c r="L19" i="179"/>
  <c r="L18" i="179"/>
  <c r="L17" i="179"/>
  <c r="L16" i="179"/>
  <c r="L15" i="179"/>
  <c r="L14" i="179"/>
  <c r="L13" i="179"/>
  <c r="K18" i="184"/>
  <c r="J18" i="184"/>
  <c r="I18" i="184"/>
  <c r="H18" i="184"/>
  <c r="G18" i="184"/>
  <c r="L18" i="184" s="1"/>
  <c r="F18" i="184"/>
  <c r="E18" i="184"/>
  <c r="K24" i="184"/>
  <c r="J24" i="184"/>
  <c r="I24" i="184"/>
  <c r="H24" i="184"/>
  <c r="G24" i="184"/>
  <c r="L24" i="184" s="1"/>
  <c r="F24" i="184"/>
  <c r="E24" i="184"/>
  <c r="K32" i="179"/>
  <c r="K11" i="184" s="1"/>
  <c r="J32" i="179"/>
  <c r="J11" i="184" s="1"/>
  <c r="J28" i="184" s="1"/>
  <c r="I32" i="179"/>
  <c r="I11" i="184" s="1"/>
  <c r="H32" i="179"/>
  <c r="H11" i="184" s="1"/>
  <c r="H28" i="184" s="1"/>
  <c r="G32" i="179"/>
  <c r="G11" i="184" s="1"/>
  <c r="F32" i="179"/>
  <c r="F11" i="184" s="1"/>
  <c r="E32" i="179"/>
  <c r="E11" i="184" s="1"/>
  <c r="B4" i="184"/>
  <c r="G28" i="184" l="1"/>
  <c r="L11" i="184"/>
  <c r="L32" i="179"/>
  <c r="K28" i="184"/>
  <c r="E28" i="184"/>
  <c r="I28" i="184"/>
  <c r="F28" i="184"/>
  <c r="D35" i="171"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L28" i="184" l="1"/>
  <c r="D45" i="174"/>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B2" i="185"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5"/>
  <c r="B2" i="179"/>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6" i="108"/>
  <c r="G26" i="108"/>
  <c r="E27" i="108"/>
  <c r="G27" i="108"/>
  <c r="F28" i="108"/>
  <c r="F31" i="108"/>
  <c r="F36" i="108"/>
  <c r="G28" i="108"/>
  <c r="G30" i="108"/>
  <c r="D31" i="108"/>
  <c r="D36" i="108"/>
  <c r="E31" i="108"/>
  <c r="G31" i="108"/>
  <c r="E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1744" i="106"/>
  <c r="D1744" i="106" s="1"/>
  <c r="B1745" i="106"/>
  <c r="D1745" i="106" s="1"/>
  <c r="B6" i="7"/>
  <c r="D6" i="7" s="1"/>
  <c r="B1762" i="106" s="1"/>
  <c r="D1762" i="106" s="1"/>
  <c r="B1747" i="106"/>
  <c r="D1747" i="106" s="1"/>
  <c r="B1748" i="106"/>
  <c r="D1748" i="106" s="1"/>
  <c r="B9" i="7"/>
  <c r="B1751" i="106" s="1"/>
  <c r="D1751" i="106" s="1"/>
  <c r="B1749" i="106"/>
  <c r="D1749" i="106" s="1"/>
  <c r="B11" i="7"/>
  <c r="B1752" i="106" s="1"/>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4" i="37"/>
  <c r="B4270" i="106" s="1"/>
  <c r="D4270" i="106" s="1"/>
  <c r="B5752" i="106"/>
  <c r="D5752" i="106" s="1"/>
  <c r="K76" i="4" l="1"/>
  <c r="B3586" i="106" s="1"/>
  <c r="D3586" i="106" s="1"/>
  <c r="F19" i="7"/>
  <c r="B1807" i="106" s="1"/>
  <c r="D1807" i="106" s="1"/>
  <c r="L5" i="11"/>
  <c r="B2056" i="106" s="1"/>
  <c r="D2056" i="106" s="1"/>
  <c r="E33" i="108"/>
  <c r="F38" i="34"/>
  <c r="J352" i="29"/>
  <c r="J367" i="29" s="1"/>
  <c r="B7245" i="106" s="1"/>
  <c r="C342" i="29"/>
  <c r="B7216" i="106" s="1"/>
  <c r="D7216" i="106" s="1"/>
  <c r="J22" i="37"/>
  <c r="I210" i="29"/>
  <c r="B7071" i="106" s="1"/>
  <c r="D7071" i="106" s="1"/>
  <c r="C129" i="29"/>
  <c r="D54" i="36"/>
  <c r="C352" i="29"/>
  <c r="B1274" i="106"/>
  <c r="D1274" i="106" s="1"/>
  <c r="J41" i="3"/>
  <c r="H365" i="29"/>
  <c r="B7242" i="106" s="1"/>
  <c r="D7242" i="106" s="1"/>
  <c r="G210" i="29"/>
  <c r="L22" i="37"/>
  <c r="H33" i="118"/>
  <c r="F42" i="34"/>
  <c r="D7245" i="106"/>
  <c r="F77" i="4"/>
  <c r="B3255" i="106" s="1"/>
  <c r="D3255" i="106" s="1"/>
  <c r="B2836" i="106"/>
  <c r="D2836" i="106" s="1"/>
  <c r="H342" i="29"/>
  <c r="J210" i="29"/>
  <c r="B7072" i="106" s="1"/>
  <c r="D7072" i="106" s="1"/>
  <c r="J129" i="29"/>
  <c r="B7038" i="106" s="1"/>
  <c r="D7038" i="106" s="1"/>
  <c r="L13" i="11"/>
  <c r="B2060" i="106" s="1"/>
  <c r="D2060" i="106" s="1"/>
  <c r="G15" i="145"/>
  <c r="G29" i="108"/>
  <c r="F56" i="34"/>
  <c r="F50" i="34"/>
  <c r="G39" i="108"/>
  <c r="D68" i="36"/>
  <c r="I129" i="29"/>
  <c r="B7037" i="106" s="1"/>
  <c r="D7037" i="106" s="1"/>
  <c r="K184" i="29"/>
  <c r="F13" i="4" s="1"/>
  <c r="B2596" i="106" s="1"/>
  <c r="D2596" i="106" s="1"/>
  <c r="L367" i="29"/>
  <c r="F27" i="108"/>
  <c r="D22" i="37"/>
  <c r="F46" i="34"/>
  <c r="F36" i="34"/>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6" i="106" l="1"/>
  <c r="D7251" i="106"/>
  <c r="F41" i="108"/>
  <c r="G43" i="108" s="1"/>
  <c r="L16" i="11"/>
  <c r="B2061" i="106" s="1"/>
  <c r="D2061" i="106" s="1"/>
  <c r="L114" i="29"/>
  <c r="D44" i="36"/>
  <c r="B1365" i="106"/>
  <c r="D1365" i="106" s="1"/>
  <c r="F65" i="34"/>
  <c r="B5778" i="106"/>
  <c r="D5778" i="106" s="1"/>
  <c r="G6" i="4"/>
  <c r="B2604" i="106" s="1"/>
  <c r="D2604" i="106" s="1"/>
  <c r="C114" i="29"/>
  <c r="B757" i="106" s="1"/>
  <c r="D757" i="106" s="1"/>
  <c r="B5770" i="106"/>
  <c r="D5770"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8" i="4" l="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B2595" i="106"/>
  <c r="D2595"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<sst xmlns="http://schemas.openxmlformats.org/spreadsheetml/2006/main" count="5314" uniqueCount="2174">
  <si>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</si>
  <si>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</si>
  <si>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</si>
  <si>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</si>
  <si>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</si>
  <si>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</si>
  <si>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</si>
  <si>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</si>
  <si>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</si>
  <si>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</si>
  <si>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</si>
  <si>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</si>
  <si>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</si>
  <si>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</si>
  <si>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</si>
  <si>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</si>
  <si>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</si>
  <si>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</si>
  <si>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</si>
  <si>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</si>
  <si>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</si>
  <si>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</si>
  <si>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</si>
  <si>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</si>
  <si>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</si>
  <si>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</si>
  <si>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</si>
  <si>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</si>
  <si>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</si>
  <si>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</si>
  <si>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</si>
  <si>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</si>
  <si>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</si>
  <si>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</si>
  <si>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</si>
  <si>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</si>
  <si>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</si>
  <si>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</si>
  <si>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</si>
  <si>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</si>
  <si>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</si>
  <si>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</si>
  <si>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</si>
  <si>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</si>
  <si>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</si>
  <si>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</si>
  <si>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</si>
  <si>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</si>
  <si>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</si>
  <si>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</si>
  <si>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</si>
  <si>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</si>
  <si>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</si>
  <si>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</si>
  <si>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</si>
  <si>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</si>
  <si>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</si>
  <si>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</si>
  <si>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</si>
  <si>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</si>
  <si>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</si>
  <si>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</si>
  <si>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</si>
  <si>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</si>
  <si>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</si>
  <si>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</si>
  <si>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</si>
  <si>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</si>
  <si>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</si>
  <si>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</si>
  <si>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</si>
  <si>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</si>
  <si>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</si>
  <si>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</si>
  <si>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</si>
  <si>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</si>
  <si>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</si>
  <si>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</si>
  <si>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</si>
  <si>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</si>
  <si>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</si>
  <si>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</si>
  <si>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</si>
  <si>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</si>
  <si>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</si>
  <si>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</si>
  <si>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</si>
  <si>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</si>
  <si>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</si>
  <si>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</si>
  <si>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</si>
  <si>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</si>
  <si>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</si>
  <si>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</si>
  <si>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</si>
  <si>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</si>
  <si>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</si>
  <si>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</si>
  <si>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</si>
  <si>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</si>
  <si>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</si>
  <si>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</si>
  <si>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</si>
  <si>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</si>
  <si>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</si>
  <si>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</si>
  <si>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</si>
  <si>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</si>
  <si>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</si>
  <si>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</si>
  <si>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</si>
  <si>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</si>
  <si>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</si>
  <si>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</si>
  <si>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</si>
  <si>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</si>
  <si>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</si>
  <si>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</si>
  <si>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</si>
  <si>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</si>
  <si>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</si>
  <si>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</si>
  <si>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</si>
  <si>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</si>
  <si>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</si>
  <si>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</si>
  <si>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</si>
  <si>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</si>
  <si>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</si>
  <si>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</si>
  <si>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</si>
  <si>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</si>
  <si>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</si>
  <si>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</si>
  <si>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</si>
  <si>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</si>
  <si>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</si>
  <si>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</si>
  <si>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</si>
  <si>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</si>
  <si>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</si>
  <si>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</si>
  <si>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</si>
  <si>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</si>
  <si>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</si>
  <si>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</si>
  <si>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</si>
  <si>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</si>
  <si>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</si>
  <si>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</si>
  <si>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</si>
  <si>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</si>
  <si>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</si>
  <si>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</si>
  <si>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</si>
  <si>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</si>
  <si>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</si>
  <si>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</si>
  <si>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</si>
  <si>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</si>
  <si>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</si>
  <si>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</si>
  <si>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</si>
  <si>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</si>
  <si>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</si>
  <si>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</si>
  <si>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</si>
  <si>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</si>
  <si>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</si>
  <si>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</si>
  <si>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</si>
  <si>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</si>
  <si>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</si>
  <si>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</si>
  <si>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</si>
  <si>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</si>
  <si>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</si>
  <si>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</si>
  <si>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</si>
  <si>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</si>
  <si>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</si>
  <si>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</si>
  <si>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</si>
  <si>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</si>
  <si>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</si>
  <si>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</si>
  <si>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</si>
  <si>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</si>
  <si>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</si>
  <si>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</si>
  <si>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</si>
  <si>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</si>
  <si>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</si>
  <si>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</si>
  <si>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</si>
  <si>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</si>
  <si>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</si>
  <si>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</si>
  <si>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</si>
  <si>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</si>
  <si>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</si>
  <si>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</si>
  <si>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</si>
  <si>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</si>
  <si>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</si>
  <si>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</si>
  <si>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</si>
  <si>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</si>
  <si>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</si>
  <si>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</si>
  <si>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</si>
  <si>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</si>
  <si>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</si>
  <si>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</si>
  <si>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</si>
  <si>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</si>
  <si>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</si>
  <si>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</si>
  <si>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</si>
  <si>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</si>
  <si>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</si>
  <si>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</si>
  <si>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</si>
  <si>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</si>
  <si>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</si>
  <si>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</si>
  <si>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</si>
  <si>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</si>
  <si>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</si>
  <si>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</si>
  <si>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</si>
  <si>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</si>
  <si>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</si>
  <si>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</si>
  <si>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</si>
  <si>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</si>
  <si>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</si>
  <si>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</si>
  <si>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</si>
  <si>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</si>
  <si>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</si>
  <si>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</si>
  <si>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</si>
  <si>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</si>
  <si>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</si>
  <si>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</si>
  <si>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</si>
  <si>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</si>
  <si>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</si>
  <si>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</si>
  <si>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</si>
  <si>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</si>
  <si>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</si>
  <si>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</si>
  <si>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</si>
  <si>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</si>
  <si>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</si>
  <si>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</si>
  <si>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</si>
  <si>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</si>
  <si>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</si>
  <si>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</si>
  <si>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</si>
  <si>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</si>
  <si>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</si>
  <si>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</si>
  <si>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</si>
  <si>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</si>
  <si>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</si>
  <si>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</si>
  <si>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</si>
  <si>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</si>
  <si>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</si>
  <si>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</si>
  <si>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</si>
  <si>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</si>
  <si>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</si>
  <si>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</si>
  <si>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</si>
  <si>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</si>
  <si>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</si>
  <si>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</si>
  <si>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</si>
  <si>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</si>
  <si>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</si>
  <si>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</si>
  <si>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</si>
  <si>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</si>
  <si>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</si>
  <si>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</si>
  <si>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</si>
  <si>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</si>
  <si>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</si>
  <si>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</si>
  <si>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</si>
  <si>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</si>
  <si>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</si>
  <si>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</si>
  <si>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</si>
  <si>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</si>
  <si>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</si>
  <si>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</si>
  <si>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</si>
  <si>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</si>
  <si>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</si>
  <si>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</si>
  <si>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</si>
  <si>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</si>
  <si>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</si>
  <si>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</si>
  <si>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</si>
  <si>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</si>
  <si>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</si>
  <si>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</si>
  <si>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</si>
  <si>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</si>
  <si>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</si>
  <si>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</si>
  <si>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</si>
  <si>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</si>
  <si>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</si>
  <si>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</si>
  <si>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</si>
  <si>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</si>
  <si>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</si>
  <si>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</si>
  <si>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</si>
  <si>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</si>
  <si>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</si>
  <si>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</si>
  <si>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</si>
  <si>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</si>
  <si>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</si>
  <si>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</si>
  <si>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</si>
  <si>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</si>
  <si>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</si>
  <si>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</si>
  <si>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</si>
  <si>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</si>
  <si>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</si>
  <si>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</si>
  <si>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</si>
  <si>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</si>
  <si>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</si>
  <si>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</si>
  <si>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</si>
  <si>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</si>
  <si>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</si>
  <si>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</si>
  <si>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</si>
  <si>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</si>
  <si>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</si>
  <si>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</si>
  <si>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</si>
  <si>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</si>
  <si>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</si>
  <si>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</si>
  <si>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</si>
  <si>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</si>
  <si>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</si>
  <si>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</si>
  <si>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</si>
  <si>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</si>
  <si>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</si>
  <si>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</si>
  <si>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</si>
  <si>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</si>
  <si>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</si>
  <si>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</si>
  <si>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</si>
  <si>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</si>
  <si>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</si>
  <si>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</si>
  <si>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</si>
  <si>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</si>
  <si>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</si>
  <si>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</si>
  <si>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</si>
  <si>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</si>
  <si>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</si>
  <si>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</si>
  <si>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</si>
  <si>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</si>
  <si>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</si>
  <si>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</si>
  <si>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</si>
  <si>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</si>
  <si>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</si>
  <si>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</si>
  <si>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</si>
  <si>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</si>
  <si>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</si>
  <si>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</si>
  <si>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</si>
  <si>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</si>
  <si>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</si>
  <si>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</si>
  <si>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</si>
  <si>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</si>
  <si>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</si>
  <si>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</si>
  <si>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</si>
  <si>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</si>
  <si>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</si>
  <si>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</si>
  <si>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</si>
  <si>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</si>
  <si>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</si>
  <si>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</si>
  <si>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</si>
  <si>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</si>
  <si>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</si>
  <si>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</si>
  <si>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</si>
  <si>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</si>
  <si>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</si>
  <si>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</si>
  <si>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</si>
  <si>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</si>
  <si>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</si>
  <si>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</si>
  <si>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</si>
  <si>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</si>
  <si>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</si>
  <si>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</si>
  <si>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</si>
  <si>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</si>
  <si>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</si>
  <si>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</si>
  <si>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</si>
  <si>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</si>
  <si>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</si>
  <si>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</si>
  <si>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</si>
  <si>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</si>
  <si>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</si>
  <si>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</si>
  <si>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</si>
  <si>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</si>
  <si>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</si>
  <si>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</si>
  <si>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</si>
  <si>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</si>
  <si>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</si>
  <si>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</si>
  <si>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</si>
  <si>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</si>
  <si>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</si>
  <si>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</si>
  <si>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</si>
  <si>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</si>
  <si>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</si>
  <si>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</si>
  <si>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</si>
  <si>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</si>
  <si>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</si>
  <si>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</si>
  <si>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</si>
  <si>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</si>
  <si>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</si>
  <si>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</si>
  <si>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</si>
  <si>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</si>
  <si>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</si>
  <si>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</si>
  <si>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</si>
  <si>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</si>
  <si>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</si>
  <si>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</si>
  <si>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</si>
  <si>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</si>
  <si>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</si>
  <si>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</si>
  <si>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</si>
  <si>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</si>
  <si>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</si>
  <si>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</si>
  <si>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</si>
  <si>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</si>
  <si>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</si>
  <si>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</si>
  <si>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</si>
  <si>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</si>
  <si>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</si>
  <si>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</si>
  <si>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</si>
  <si>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</si>
  <si>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</si>
  <si>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</si>
  <si>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</si>
  <si>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</si>
  <si>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</si>
  <si>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</si>
  <si>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</si>
  <si>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</si>
  <si>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</si>
  <si>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</si>
  <si>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</si>
  <si>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</si>
  <si>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</si>
  <si>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</si>
  <si>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</si>
  <si>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</si>
  <si>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</si>
  <si>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</si>
  <si>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</si>
  <si>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</si>
  <si>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</si>
  <si>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</si>
  <si>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</si>
  <si>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</si>
  <si>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</si>
  <si>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</si>
  <si>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</si>
  <si>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</si>
  <si>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</si>
  <si>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</si>
  <si>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</si>
  <si>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</si>
  <si>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</si>
  <si>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</si>
  <si>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</si>
  <si>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</si>
  <si>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</si>
  <si>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</si>
  <si>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</si>
  <si>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</si>
  <si>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</si>
  <si>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</si>
  <si>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</si>
  <si>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</si>
  <si>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</si>
  <si>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</si>
  <si>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</si>
  <si>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</si>
  <si>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</si>
  <si>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</si>
  <si>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</si>
  <si>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</si>
  <si>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</si>
  <si>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</si>
  <si>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</si>
  <si>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</si>
  <si>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</si>
  <si>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</si>
  <si>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</si>
  <si>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</si>
  <si>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</si>
  <si>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</si>
  <si>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</si>
  <si>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</si>
  <si>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</si>
  <si>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</si>
  <si>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</si>
  <si>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</si>
  <si>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</si>
  <si>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</si>
  <si>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</si>
  <si>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</si>
  <si>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</si>
  <si>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</si>
  <si>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</si>
  <si>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</si>
  <si>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</si>
  <si>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</si>
  <si>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</si>
  <si>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</si>
  <si>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</si>
  <si>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</si>
  <si>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</si>
  <si>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</si>
  <si>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</si>
  <si>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</si>
  <si>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</si>
  <si>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</si>
  <si>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</si>
  <si>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</si>
  <si>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</si>
  <si>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</si>
  <si>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</si>
  <si>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</si>
  <si>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</si>
  <si>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</si>
  <si>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</si>
  <si>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</si>
  <si>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</si>
  <si>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</si>
  <si>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</si>
  <si>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</si>
  <si>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</si>
  <si>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</si>
  <si>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</si>
  <si>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</si>
  <si>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</si>
  <si>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</si>
  <si>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</si>
  <si>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</si>
  <si>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</si>
  <si>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</si>
  <si>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</si>
  <si>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</si>
  <si>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</si>
  <si>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</si>
  <si>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</si>
  <si>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</si>
  <si>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</si>
  <si>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</si>
  <si>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</si>
  <si>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</si>
  <si>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</si>
  <si>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</si>
  <si>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</si>
  <si>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</si>
  <si>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</si>
  <si>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</si>
  <si>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</si>
  <si>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</si>
  <si>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</si>
  <si>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</si>
  <si>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</si>
  <si>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</si>
  <si>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</si>
  <si>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</si>
  <si>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</si>
  <si>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</si>
  <si>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</si>
  <si>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</si>
  <si>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</si>
  <si>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</si>
  <si>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</si>
  <si>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</si>
  <si>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</si>
  <si>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</si>
  <si>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</si>
  <si>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</si>
  <si>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</si>
  <si>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</si>
  <si>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</si>
  <si>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</si>
  <si>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</si>
  <si>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</si>
  <si>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</si>
  <si>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</si>
  <si>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</si>
  <si>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</si>
  <si>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</si>
  <si>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</si>
  <si>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</si>
  <si>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</si>
  <si>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</si>
  <si>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</si>
  <si>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</si>
  <si>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</si>
  <si>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</si>
  <si>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</si>
  <si>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</si>
  <si>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</si>
  <si>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</si>
  <si>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</si>
  <si>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</si>
  <si>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</si>
  <si>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</si>
  <si>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</si>
  <si>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</si>
  <si>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</si>
  <si>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</si>
  <si>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</si>
  <si>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</si>
  <si>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</si>
  <si>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</si>
  <si>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</si>
  <si>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</si>
  <si>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</si>
  <si>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</si>
  <si>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</si>
  <si>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</si>
  <si>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</si>
  <si>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</si>
  <si>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</si>
  <si>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</si>
  <si>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</si>
  <si>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</si>
  <si>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</si>
  <si>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</si>
  <si>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</si>
  <si>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</si>
  <si>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</si>
  <si>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</si>
  <si>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</si>
  <si>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</si>
  <si>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</si>
  <si>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</si>
  <si>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</si>
  <si>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</si>
  <si>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</si>
  <si>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</si>
  <si>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</si>
  <si>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</si>
  <si>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</si>
  <si>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</si>
  <si>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</si>
  <si>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</si>
  <si>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</si>
  <si>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</si>
  <si>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</si>
  <si>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</si>
  <si>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</si>
  <si>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</si>
  <si>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</si>
  <si>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</si>
  <si>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</si>
  <si>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</si>
  <si>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</si>
  <si>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</si>
  <si>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</si>
  <si>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</si>
  <si>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</si>
  <si>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</si>
  <si>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</si>
  <si>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</si>
  <si>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</si>
  <si>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</si>
  <si>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</si>
  <si>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</si>
  <si>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</si>
  <si>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</si>
  <si>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</si>
  <si>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</si>
  <si>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</si>
  <si>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</si>
  <si>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</si>
  <si>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</si>
  <si>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</si>
  <si>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</si>
  <si>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</si>
  <si>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</si>
  <si>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</si>
  <si>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</si>
  <si>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</si>
  <si>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</si>
  <si>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</si>
  <si>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</si>
  <si>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</si>
  <si>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</si>
  <si>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</si>
  <si>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</si>
  <si>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</si>
  <si>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</si>
  <si>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</si>
  <si>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</si>
  <si>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</si>
  <si>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</si>
  <si>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</si>
  <si>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</si>
  <si>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</si>
  <si>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</si>
  <si>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</si>
  <si>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</si>
  <si>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</si>
  <si>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</si>
  <si>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</si>
  <si>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</si>
  <si>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</si>
  <si>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</si>
  <si>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</si>
  <si>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</si>
  <si>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</si>
  <si>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</si>
  <si>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</si>
  <si>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</si>
  <si>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</si>
  <si>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</si>
  <si>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</si>
  <si>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</si>
  <si>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</si>
  <si>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</si>
  <si>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</si>
  <si>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</si>
  <si>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</si>
  <si>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</si>
  <si>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</si>
  <si>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</si>
  <si>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</si>
  <si>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</si>
  <si>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</si>
  <si>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</si>
  <si>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</si>
  <si>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</si>
  <si>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</si>
  <si>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</si>
  <si>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</si>
  <si>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</si>
  <si>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</si>
  <si>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</si>
  <si>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</si>
  <si>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</si>
  <si>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</si>
  <si>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</si>
  <si>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</si>
  <si>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</si>
  <si>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</si>
  <si>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</si>
  <si>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</si>
  <si>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</si>
  <si>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</si>
  <si>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</si>
  <si>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</si>
  <si>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</si>
  <si>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</si>
  <si>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</si>
  <si>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</si>
  <si>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</si>
  <si>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</si>
  <si>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</si>
  <si>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</si>
  <si>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</si>
  <si>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</si>
  <si>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</si>
  <si>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</si>
  <si>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</si>
  <si>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</si>
  <si>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</si>
  <si>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</si>
  <si>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</si>
  <si>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</si>
  <si>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</si>
  <si>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</si>
  <si>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</si>
  <si>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</si>
  <si>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</si>
  <si>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</si>
  <si>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</si>
  <si>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</si>
  <si>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</si>
  <si>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</si>
  <si>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</si>
  <si>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</si>
  <si>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</si>
  <si>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</si>
  <si>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</si>
  <si>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</si>
  <si>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</si>
  <si>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</si>
  <si>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</si>
  <si>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</si>
  <si>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</si>
  <si>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</si>
  <si>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</si>
  <si>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</si>
  <si>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</si>
  <si>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</si>
  <si>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</si>
  <si>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</si>
  <si>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</si>
  <si>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</si>
  <si>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</si>
  <si>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</si>
  <si>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</si>
  <si>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</si>
  <si>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</si>
  <si>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</si>
  <si>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</si>
  <si>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</si>
  <si>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</si>
  <si>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</si>
  <si>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</si>
  <si>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</si>
  <si>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</si>
  <si>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</si>
  <si>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</si>
  <si>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</si>
  <si>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</si>
  <si>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</si>
  <si>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</si>
  <si>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</si>
  <si>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</si>
  <si>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</si>
  <si>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</si>
  <si>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</si>
  <si>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</si>
  <si>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</si>
  <si>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</si>
  <si>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</si>
  <si>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</si>
  <si>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</si>
  <si>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</si>
  <si>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</si>
  <si>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</si>
  <si>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</si>
  <si>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</si>
  <si>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</si>
  <si>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</si>
  <si>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</si>
  <si>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</si>
  <si>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</si>
  <si>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</si>
  <si>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</si>
  <si>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</si>
  <si>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</si>
  <si>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</si>
  <si>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</si>
  <si>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</si>
  <si>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</si>
  <si>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</si>
  <si>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</si>
  <si>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</si>
  <si>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</si>
  <si>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</si>
  <si>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</si>
  <si>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</si>
  <si>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</si>
  <si>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</si>
  <si>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</si>
  <si>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</si>
  <si>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</si>
  <si>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</si>
  <si>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</si>
  <si>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</si>
  <si>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</si>
  <si>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</si>
  <si>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</si>
  <si>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</si>
  <si>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</si>
  <si>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</si>
  <si>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</si>
  <si>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</si>
  <si>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</si>
  <si>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</si>
  <si>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</si>
  <si>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</si>
  <si>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</si>
  <si>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</si>
  <si>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</si>
  <si>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</si>
  <si>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</si>
  <si>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</si>
  <si>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</si>
  <si>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</si>
  <si>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</si>
  <si>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</si>
  <si>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</si>
  <si>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</si>
  <si>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</si>
  <si>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</si>
  <si>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</si>
  <si>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</si>
  <si>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</si>
  <si>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</si>
  <si>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</si>
  <si>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</si>
  <si>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</si>
  <si>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</si>
  <si>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</si>
  <si>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</si>
  <si>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</si>
  <si>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</si>
  <si>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</si>
  <si>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</si>
  <si>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</si>
  <si>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</si>
  <si>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</si>
  <si>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</si>
  <si>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</si>
  <si>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</si>
  <si>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</si>
  <si>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</si>
  <si>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</si>
  <si>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</si>
  <si>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</si>
  <si>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</si>
  <si>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</si>
  <si>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</si>
  <si>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</si>
  <si>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</si>
  <si>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</si>
  <si>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</si>
  <si>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</si>
  <si>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</si>
  <si>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</si>
  <si>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</si>
  <si>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</si>
  <si>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</si>
  <si>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</si>
  <si>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</si>
  <si>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</si>
  <si>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</si>
  <si>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</si>
  <si>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</si>
  <si>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</si>
  <si>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</si>
  <si>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</si>
  <si>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</si>
  <si>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</si>
  <si>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</si>
  <si>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</si>
  <si>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</si>
  <si>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</si>
  <si>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</si>
  <si>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</si>
  <si>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</si>
  <si>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</si>
  <si>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</si>
  <si>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</si>
  <si>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</si>
  <si>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</si>
  <si>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</si>
  <si>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</si>
  <si>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</si>
  <si>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</si>
  <si>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</si>
  <si>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</si>
  <si>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</si>
  <si>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</si>
  <si>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</si>
  <si>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</si>
  <si>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</si>
  <si>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</si>
  <si>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</si>
  <si>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</si>
  <si>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</si>
  <si>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</si>
  <si>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</si>
  <si>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</si>
  <si>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</si>
  <si>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</si>
  <si>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</si>
  <si>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</si>
  <si>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</si>
  <si>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</si>
  <si>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</si>
  <si>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</si>
  <si>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</si>
  <si>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</si>
  <si>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</si>
  <si>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</si>
  <si>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</si>
  <si>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</si>
  <si>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</si>
  <si>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</si>
  <si>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</si>
  <si>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</si>
  <si>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</si>
  <si>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</si>
  <si>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</si>
  <si>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</si>
  <si>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</si>
  <si>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</si>
  <si>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</si>
  <si>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</si>
  <si>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</si>
  <si>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</si>
  <si>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</si>
  <si>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</si>
  <si>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</si>
  <si>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</si>
  <si>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</si>
  <si>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</si>
  <si>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</si>
  <si>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</si>
  <si>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</si>
  <si>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</si>
  <si>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</si>
  <si>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</si>
  <si>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</si>
  <si>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</si>
  <si>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</si>
  <si>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</si>
  <si>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</si>
  <si>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</si>
  <si>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</si>
  <si>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</si>
  <si>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</si>
  <si>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</si>
  <si>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</si>
  <si>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</si>
  <si>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</si>
  <si>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</si>
  <si>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</si>
  <si>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</si>
  <si>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</si>
  <si>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</si>
  <si>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</si>
  <si>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</si>
  <si>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</si>
  <si>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</si>
  <si>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</si>
  <si>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</si>
  <si>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</si>
  <si>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</si>
  <si>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</si>
  <si>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</si>
  <si>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</si>
  <si>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</si>
  <si>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</si>
  <si>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</si>
  <si>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</si>
  <si>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</si>
  <si>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</si>
  <si>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</si>
  <si>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</si>
  <si>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</si>
  <si>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</si>
  <si>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</si>
  <si>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</si>
  <si>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</si>
  <si>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</si>
  <si>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</si>
  <si>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</si>
  <si>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</si>
  <si>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</si>
  <si>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</si>
  <si>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</si>
  <si>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</si>
  <si>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</si>
  <si>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</si>
  <si>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</si>
  <si>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</si>
  <si>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</si>
  <si>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</si>
  <si>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</si>
  <si>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</si>
  <si>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</si>
  <si>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</si>
  <si>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</si>
  <si>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</si>
  <si>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</si>
  <si>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</si>
  <si>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</si>
  <si>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</si>
  <si>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</si>
  <si>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</si>
  <si>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</si>
  <si>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</si>
  <si>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</si>
  <si>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</si>
  <si>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</si>
  <si>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</si>
  <si>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</si>
  <si>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</si>
  <si>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</si>
  <si>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</si>
  <si>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</si>
  <si>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</si>
  <si>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</si>
  <si>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</si>
  <si>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</si>
  <si>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</si>
  <si>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</si>
  <si>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</si>
  <si>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</si>
  <si>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</si>
  <si>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</si>
  <si>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</si>
  <si>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</si>
  <si>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</si>
  <si>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</si>
  <si>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</si>
  <si>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</si>
  <si>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</si>
  <si>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</si>
  <si>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</si>
  <si>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</si>
  <si>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</si>
  <si>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</si>
  <si>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</si>
  <si>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</si>
  <si>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</si>
  <si>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</si>
  <si>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</si>
  <si>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</si>
  <si>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</si>
  <si>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</si>
  <si>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</si>
  <si>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</si>
  <si>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</si>
  <si>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</si>
  <si>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</si>
  <si>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</si>
  <si>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</si>
  <si>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</si>
  <si>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</si>
  <si>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</si>
  <si>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</si>
  <si>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</si>
  <si>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</si>
  <si>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</si>
  <si>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</si>
  <si>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</si>
  <si>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</si>
  <si>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</si>
  <si>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</si>
  <si>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</si>
  <si>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</si>
  <si>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</si>
  <si>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</si>
  <si>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</si>
  <si>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</si>
  <si>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</si>
  <si>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</si>
  <si>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</si>
  <si>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</si>
  <si>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</si>
  <si>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</si>
  <si>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</si>
  <si>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</si>
  <si>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</si>
  <si>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</si>
  <si>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</si>
  <si>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</si>
  <si>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</si>
  <si>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</si>
  <si>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</si>
  <si>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</si>
  <si>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</si>
  <si>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</si>
  <si>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</si>
  <si>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</si>
  <si>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</si>
  <si>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</si>
  <si>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</si>
  <si>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</si>
  <si>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</si>
  <si>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</si>
  <si>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</si>
  <si>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</si>
  <si>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</si>
  <si>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</si>
  <si>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</si>
  <si>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</si>
  <si>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</si>
  <si>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</si>
  <si>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</si>
  <si>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</si>
  <si>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</si>
  <si>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</si>
  <si>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</si>
  <si>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</si>
  <si>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</si>
  <si>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</si>
  <si>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</si>
  <si>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</si>
  <si>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</si>
  <si>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</si>
  <si>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</si>
  <si>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</si>
  <si>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</si>
  <si>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</si>
  <si>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</si>
  <si>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</si>
  <si>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</si>
  <si>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</si>
  <si>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</si>
  <si>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</si>
  <si>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</si>
  <si>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</si>
  <si>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</si>
  <si>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</si>
  <si>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</si>
  <si>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</si>
  <si>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</si>
  <si>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</si>
  <si>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</si>
  <si>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</si>
  <si>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</si>
  <si>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</si>
  <si>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</si>
  <si>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</si>
  <si>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</si>
  <si>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</si>
  <si>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</si>
  <si>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</si>
  <si>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</si>
  <si>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</si>
  <si>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</si>
  <si>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</si>
  <si>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</si>
  <si>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</si>
  <si>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</si>
  <si>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</si>
  <si>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</si>
  <si>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</si>
  <si>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</si>
  <si>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</si>
  <si>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</si>
  <si>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</si>
  <si>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</si>
  <si>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</si>
  <si>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</si>
  <si>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</si>
  <si>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</si>
  <si>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</si>
  <si>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</si>
  <si>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</si>
  <si>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</si>
  <si>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</si>
  <si>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</si>
  <si>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</si>
  <si>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</si>
  <si>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</si>
  <si>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</si>
  <si>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</si>
  <si>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</si>
  <si>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</si>
  <si>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</si>
  <si>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</si>
  <si>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</si>
  <si>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</si>
  <si>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</si>
  <si>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</si>
  <si>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</si>
  <si>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</si>
  <si>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</si>
  <si>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</si>
  <si>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</si>
  <si>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</si>
  <si>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</si>
  <si>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</si>
  <si>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</si>
  <si>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</si>
  <si>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</si>
  <si>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</si>
  <si>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</si>
  <si>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</si>
  <si>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</si>
  <si>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</si>
  <si>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</si>
  <si>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</si>
  <si>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</si>
  <si>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</si>
  <si>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</si>
  <si>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</si>
  <si>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</si>
  <si>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</si>
  <si>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</si>
  <si>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</si>
  <si>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</si>
  <si>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</si>
  <si>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</si>
  <si>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</si>
  <si>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</si>
  <si>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</si>
  <si>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</si>
  <si>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</si>
  <si>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</si>
  <si>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</si>
  <si>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</si>
  <si>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</si>
  <si>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</si>
  <si>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</si>
  <si>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</si>
  <si>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</si>
  <si>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</si>
  <si>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</si>
  <si>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</si>
  <si>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</si>
  <si>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</si>
  <si>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</si>
  <si>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</si>
  <si>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</si>
  <si>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</si>
  <si>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</si>
  <si>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</si>
  <si>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</si>
  <si>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</si>
  <si>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</si>
  <si>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</si>
  <si>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</si>
  <si>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</si>
  <si>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</si>
  <si>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</si>
  <si>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</si>
  <si>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</si>
  <si>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</si>
  <si>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</si>
  <si>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</si>
  <si>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</si>
  <si>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</si>
  <si>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</si>
  <si>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</si>
  <si>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</si>
  <si>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</si>
  <si>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</si>
  <si>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</si>
  <si>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</si>
  <si>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</si>
  <si>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</si>
  <si>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</si>
  <si>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</si>
  <si>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</si>
  <si>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</si>
  <si>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</si>
  <si>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</si>
  <si>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</si>
  <si>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</si>
  <si>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</si>
  <si>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</si>
  <si>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</si>
  <si>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</si>
  <si>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</si>
  <si>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</si>
  <si>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</si>
  <si>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</si>
  <si>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</si>
  <si>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</si>
  <si>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</si>
  <si>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</si>
  <si>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</si>
  <si>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</si>
  <si>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</si>
  <si>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</si>
  <si>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</si>
  <si>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</si>
  <si>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</si>
  <si>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</si>
  <si>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</si>
  <si>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</si>
  <si>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</si>
  <si>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</si>
  <si>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</si>
  <si>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</si>
  <si>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</si>
  <si>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</si>
  <si>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</si>
  <si>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</si>
  <si>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</si>
  <si>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</si>
  <si>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</si>
  <si>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</si>
  <si>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</si>
  <si>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</si>
  <si>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</si>
  <si>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</si>
  <si>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</si>
  <si>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</si>
  <si>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</si>
  <si>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</si>
  <si>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</si>
  <si>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</si>
  <si>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</si>
  <si>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</si>
  <si>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</si>
  <si>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</si>
  <si>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</si>
  <si>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</si>
  <si>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</si>
  <si>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</si>
  <si>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</si>
  <si>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</si>
  <si>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</si>
  <si>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</si>
  <si>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</si>
  <si>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</si>
  <si>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</si>
  <si>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</si>
  <si>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</si>
  <si>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</si>
  <si>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</si>
  <si>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</si>
  <si>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</si>
  <si>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</si>
  <si>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</si>
  <si>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</si>
  <si>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</si>
  <si>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</si>
  <si>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</si>
  <si>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</si>
  <si>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</si>
  <si>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</si>
  <si>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</si>
  <si>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</si>
  <si>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</si>
  <si>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</si>
  <si>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</si>
  <si>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</si>
  <si>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</si>
  <si>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</si>
  <si>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</si>
  <si>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</si>
  <si>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</si>
  <si>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</si>
  <si>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</si>
  <si>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</si>
  <si>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</si>
  <si>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</si>
  <si>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</si>
  <si>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</si>
  <si>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</si>
  <si>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</si>
  <si>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</si>
  <si>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</si>
  <si>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</si>
  <si>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</si>
  <si>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</si>
  <si>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</si>
  <si>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</si>
  <si>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</si>
  <si>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</si>
  <si>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</si>
  <si>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</si>
  <si>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</si>
  <si>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</si>
  <si>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</si>
  <si>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</si>
  <si>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</si>
  <si>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</si>
  <si>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</si>
  <si>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</si>
  <si>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</si>
  <si>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</si>
  <si>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</si>
  <si>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</si>
  <si>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</si>
  <si>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</si>
  <si>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</si>
  <si>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</si>
  <si>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</si>
  <si>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</si>
  <si>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</si>
  <si>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</si>
  <si>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</si>
  <si>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</si>
  <si>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</si>
  <si>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</si>
  <si>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</si>
  <si>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</si>
  <si>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</si>
  <si>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</si>
  <si>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</si>
  <si>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</si>
  <si>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</si>
  <si>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</si>
  <si>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</si>
  <si>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</si>
  <si>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</si>
  <si>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</si>
  <si>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</si>
  <si>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</si>
  <si>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</si>
  <si>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</si>
  <si>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</si>
  <si>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</si>
  <si>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</si>
  <si>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</si>
  <si>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</si>
  <si>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</si>
  <si>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</si>
  <si>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</si>
  <si>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</si>
  <si>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</si>
  <si>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</si>
  <si>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</si>
  <si>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</si>
  <si>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</si>
  <si>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</si>
  <si>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</si>
  <si>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</si>
  <si>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</si>
  <si>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</si>
  <si>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</si>
  <si>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</si>
  <si>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</si>
  <si>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</si>
  <si>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</si>
  <si>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</si>
  <si>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</si>
  <si>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</si>
  <si>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</si>
  <si>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</si>
  <si>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</si>
  <si>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</si>
  <si>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</si>
  <si>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</si>
  <si>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</si>
  <si>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</si>
  <si>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</si>
  <si>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</si>
  <si>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</si>
  <si>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</si>
  <si>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</si>
  <si>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</si>
  <si>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</si>
  <si>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</si>
  <si>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</si>
  <si>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</si>
  <si>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</si>
  <si>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</si>
  <si>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</si>
  <si>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</si>
  <si>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</si>
  <si>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</si>
  <si>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</si>
  <si>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</si>
  <si>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</si>
  <si>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</si>
  <si>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</si>
  <si>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</si>
  <si>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</si>
  <si>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</si>
  <si>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</si>
  <si>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</si>
  <si>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</si>
  <si>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</si>
  <si>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</si>
  <si>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</si>
  <si>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</si>
  <si>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</si>
  <si>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</si>
  <si>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</si>
  <si>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</si>
  <si>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</si>
  <si>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</si>
  <si>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</si>
  <si>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</si>
  <si>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</si>
  <si>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</si>
  <si>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</si>
  <si>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</si>
  <si>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</si>
  <si>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</si>
  <si>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</si>
  <si>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</si>
  <si>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</si>
  <si>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</si>
  <si>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</si>
  <si>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</si>
  <si>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</si>
  <si>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</si>
  <si>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</si>
  <si>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</si>
  <si>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</si>
  <si>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</si>
  <si>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</si>
  <si>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</si>
  <si>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</si>
  <si>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</si>
  <si>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</si>
  <si>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</si>
  <si>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</si>
  <si>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</si>
  <si>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</si>
  <si>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</si>
  <si>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</si>
  <si>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</si>
  <si>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</si>
  <si>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</si>
  <si>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</si>
  <si>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</si>
  <si>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</si>
  <si>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</si>
  <si>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</si>
  <si>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</si>
  <si>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</si>
  <si>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</si>
  <si>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</si>
  <si>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</si>
  <si>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</si>
  <si>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</si>
  <si>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</si>
  <si>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</si>
  <si>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</si>
  <si>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</si>
  <si>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</si>
  <si>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</si>
  <si>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</si>
  <si>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</si>
  <si>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</si>
  <si>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</si>
  <si>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</si>
  <si>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</si>
  <si>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</si>
  <si>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</si>
  <si>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</si>
  <si>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</si>
  <si>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</si>
  <si>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</si>
  <si>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</si>
  <si>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</si>
  <si>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</si>
  <si>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</si>
  <si>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</si>
  <si>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</si>
  <si>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</si>
  <si>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</si>
  <si>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</si>
  <si>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</si>
  <si>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</si>
  <si>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</si>
  <si>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</si>
  <si>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</si>
  <si>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</si>
  <si>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</si>
  <si>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</si>
  <si>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</si>
  <si>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</si>
  <si>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</si>
  <si>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</si>
  <si>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</si>
  <si>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</si>
  <si>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</si>
  <si>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</si>
  <si>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</si>
  <si>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</si>
  <si>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</si>
  <si>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</si>
  <si>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</si>
  <si>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</si>
  <si>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</si>
  <si>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</si>
  <si>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</si>
  <si>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</si>
  <si>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</si>
  <si>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</si>
  <si>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</si>
  <si>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</si>
  <si>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</si>
  <si>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</si>
  <si>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</si>
  <si>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</si>
  <si>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</si>
  <si>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</si>
  <si>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</si>
  <si>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</si>
  <si>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</si>
  <si>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</si>
  <si>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</si>
  <si>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</si>
  <si>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</si>
  <si>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</si>
  <si>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</si>
  <si>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</si>
  <si>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</si>
  <si>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</si>
  <si>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</si>
  <si>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</si>
  <si>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</si>
  <si>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</si>
  <si>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</si>
  <si>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</si>
  <si>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</si>
  <si>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</si>
  <si>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</si>
  <si>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</si>
  <si>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</si>
  <si>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</si>
  <si>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</si>
  <si>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</si>
  <si>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</si>
  <si>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</si>
  <si>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</si>
  <si>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</si>
  <si>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</si>
  <si>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</si>
  <si>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</si>
  <si>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</si>
  <si>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</si>
  <si>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</si>
  <si>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</si>
  <si>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</si>
  <si>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</si>
  <si>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</si>
  <si>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</si>
  <si>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</si>
  <si>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</si>
  <si>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</si>
  <si>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</si>
  <si>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</si>
  <si>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</si>
  <si>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</si>
  <si>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</si>
  <si>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</si>
  <si>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</si>
  <si>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</si>
  <si>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</si>
  <si>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</si>
  <si>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</si>
  <si>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</si>
  <si>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</si>
  <si>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</si>
  <si>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</si>
  <si>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</si>
  <si>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</si>
  <si>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</si>
  <si>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</si>
  <si>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</si>
  <si>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</si>
  <si>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</si>
  <si>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</si>
  <si>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</si>
  <si>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</si>
  <si>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</si>
  <si>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</si>
  <si>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</si>
  <si>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</si>
  <si>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</si>
  <si>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</si>
  <si>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</si>
  <si>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</si>
  <si>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</si>
  <si>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</si>
  <si>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</si>
  <si>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</si>
  <si>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</si>
  <si>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</si>
  <si>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</si>
  <si>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</si>
  <si>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</si>
  <si>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</si>
  <si>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</si>
  <si>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</si>
  <si>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</si>
  <si>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</si>
  <si>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</si>
  <si>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</si>
  <si>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</si>
  <si>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</si>
  <si>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</si>
  <si>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</si>
  <si>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</si>
  <si>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</si>
  <si>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</si>
  <si>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</si>
  <si>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</si>
  <si>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</si>
  <si>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</si>
  <si>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</si>
  <si>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</si>
  <si>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</si>
  <si>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</si>
  <si>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</si>
  <si>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</si>
  <si>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</si>
  <si>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</si>
  <si>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</si>
  <si>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</si>
  <si>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</si>
  <si>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</si>
  <si>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</si>
  <si>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</si>
  <si>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</si>
  <si>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</si>
  <si>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</si>
  <si>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</si>
  <si>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</si>
  <si>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</si>
  <si>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</si>
  <si>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</si>
  <si>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</si>
  <si>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</si>
  <si>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</si>
  <si>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</si>
  <si>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</si>
  <si>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</si>
  <si>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</si>
  <si>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</si>
  <si>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</si>
  <si>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</si>
  <si>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</si>
  <si>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</si>
  <si>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</si>
  <si>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</si>
  <si>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</si>
  <si>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</si>
  <si>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</si>
  <si>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</si>
  <si>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</si>
  <si>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</si>
  <si>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</si>
  <si>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</si>
  <si>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</si>
  <si>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</si>
  <si>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</si>
  <si>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</si>
  <si>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</si>
  <si>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</si>
  <si>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</si>
  <si>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</si>
  <si>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</si>
  <si>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</si>
  <si>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</si>
  <si>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</si>
  <si>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</si>
  <si>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</si>
  <si>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</si>
  <si>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</si>
  <si>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</si>
  <si>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</si>
  <si>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</si>
  <si>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</si>
  <si>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</si>
  <si>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</si>
  <si>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</si>
  <si>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</si>
  <si>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</si>
  <si>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</si>
  <si>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</si>
  <si>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</si>
  <si>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</si>
  <si>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</si>
  <si>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</si>
  <si>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</si>
  <si>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</si>
  <si>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</si>
  <si>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</si>
  <si>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</si>
  <si>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</si>
  <si>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</si>
  <si>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</si>
  <si>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</si>
  <si>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</si>
  <si>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</si>
  <si>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</si>
  <si>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</si>
  <si>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</si>
  <si>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</si>
  <si>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</si>
  <si>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</si>
  <si>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</si>
  <si>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</si>
  <si>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</si>
  <si>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</si>
  <si>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</si>
  <si>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</si>
  <si>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</si>
  <si>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</si>
  <si>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</si>
  <si>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</si>
  <si>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</si>
  <si>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</si>
  <si>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</si>
  <si>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</si>
  <si>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</si>
  <si>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</si>
  <si>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</si>
  <si>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</si>
  <si>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</si>
  <si>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</si>
  <si>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</si>
  <si>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</si>
  <si>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</si>
  <si>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</si>
  <si>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</si>
  <si>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</si>
  <si>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</si>
  <si>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</si>
  <si>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</si>
  <si>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</si>
  <si>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</si>
  <si>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</si>
  <si>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</si>
  <si>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</si>
  <si>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</si>
  <si>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</si>
  <si>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</si>
  <si>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</si>
  <si>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</si>
  <si>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</si>
  <si>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</si>
  <si>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</si>
  <si>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</si>
  <si>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</si>
  <si>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</si>
  <si>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</si>
  <si>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</si>
  <si>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</si>
  <si>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</si>
  <si>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</si>
  <si>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</si>
  <si>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</si>
  <si>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</si>
  <si>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</si>
  <si>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</si>
  <si>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</si>
  <si>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</si>
  <si>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</si>
  <si>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</si>
  <si>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</si>
  <si>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</si>
  <si>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</si>
  <si>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</si>
  <si>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</si>
  <si>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</si>
  <si>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</si>
  <si>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</si>
  <si>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</si>
  <si>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</si>
  <si>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</si>
  <si>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</si>
  <si>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</si>
  <si>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</si>
  <si>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</si>
  <si>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</si>
  <si>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</si>
  <si>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</si>
  <si>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</si>
  <si>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</si>
  <si>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</si>
  <si>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</si>
  <si>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</si>
  <si>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</si>
  <si>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</si>
  <si>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</si>
  <si>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</si>
  <si>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</si>
  <si>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</si>
  <si>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</si>
  <si>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</si>
  <si>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</si>
  <si>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</si>
  <si>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</si>
  <si>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</si>
  <si>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</si>
  <si>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</si>
  <si>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</si>
  <si>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</si>
  <si>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</si>
  <si>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</si>
  <si>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</si>
  <si>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</si>
  <si>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</si>
  <si>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</si>
  <si>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</si>
  <si>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</si>
  <si>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</si>
  <si>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</si>
  <si>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</si>
  <si>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</si>
  <si>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</si>
  <si>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</si>
  <si>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</si>
  <si>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</si>
  <si>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</si>
  <si>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</si>
  <si>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</si>
  <si>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</si>
  <si>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</si>
  <si>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</si>
  <si>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</si>
  <si>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</si>
  <si>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</si>
  <si>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</si>
  <si>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</si>
  <si>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</si>
  <si>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</si>
  <si>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</si>
  <si>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</si>
  <si>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</si>
  <si>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</si>
  <si>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</si>
  <si>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</si>
  <si>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</si>
  <si>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</si>
  <si>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</si>
  <si>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</si>
  <si>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</si>
  <si>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</si>
  <si>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</si>
  <si>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</si>
  <si>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</si>
  <si>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</si>
  <si>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U.S. Department of Education:</t>
  </si>
  <si>
    <t xml:space="preserve">  Passed through the Illinois State Board of Education:</t>
  </si>
  <si>
    <t>17-4300</t>
  </si>
  <si>
    <t>18-4300</t>
  </si>
  <si>
    <t xml:space="preserve">    Title II - Teacher Quality</t>
  </si>
  <si>
    <t>18-4932</t>
  </si>
  <si>
    <t xml:space="preserve">    Title III - Language Instructional Program</t>
  </si>
  <si>
    <t>17-4909</t>
  </si>
  <si>
    <t>18-4909</t>
  </si>
  <si>
    <t>18-4600</t>
  </si>
  <si>
    <t>17-4620</t>
  </si>
  <si>
    <t>18-4620</t>
  </si>
  <si>
    <t xml:space="preserve">    IDEA Room &amp; Board </t>
  </si>
  <si>
    <t>17-4625</t>
  </si>
  <si>
    <t>N/A</t>
  </si>
  <si>
    <t>18-4625</t>
  </si>
  <si>
    <t xml:space="preserve">                Total U.S. Department of Education</t>
  </si>
  <si>
    <t>Total, US Department of Education, Forward</t>
  </si>
  <si>
    <t>U.S. Department of Agriculture:</t>
  </si>
  <si>
    <t xml:space="preserve">    Special Milk Program</t>
  </si>
  <si>
    <t>17-4215</t>
  </si>
  <si>
    <t>18-4215</t>
  </si>
  <si>
    <t>U.S. Department of Health and Human Services:</t>
  </si>
  <si>
    <t xml:space="preserve">  Passed through the Illinois Department of Healthcare and Family Services:</t>
  </si>
  <si>
    <t xml:space="preserve">    Medicaid Administrative Outreach</t>
  </si>
  <si>
    <t>Total U.S. Department of Agriculture:</t>
  </si>
  <si>
    <t>Total U.S. Dept. of Health and Human Services</t>
  </si>
  <si>
    <t>Total Federal Awards</t>
  </si>
  <si>
    <t>19-4620</t>
  </si>
  <si>
    <t>19-4625</t>
  </si>
  <si>
    <t>84-173</t>
  </si>
  <si>
    <t>19-4600</t>
  </si>
  <si>
    <t xml:space="preserve">    Title I - Low Income</t>
  </si>
  <si>
    <t>84-010</t>
  </si>
  <si>
    <t>19-4300</t>
  </si>
  <si>
    <t xml:space="preserve">    Title I - School Improvement</t>
  </si>
  <si>
    <t>19-4331</t>
  </si>
  <si>
    <t>19-4909</t>
  </si>
  <si>
    <t xml:space="preserve">    Title Iva - Student Support and Academic Enrich</t>
  </si>
  <si>
    <t>19-4400</t>
  </si>
  <si>
    <t>19-4215</t>
  </si>
  <si>
    <t xml:space="preserve">    Pre-School Flow Through (M)</t>
  </si>
  <si>
    <t xml:space="preserve">    IDEA Flow Through (M)</t>
  </si>
  <si>
    <t>x</t>
  </si>
  <si>
    <t>COOK</t>
  </si>
  <si>
    <t>MUELLER &amp; CO., LLP</t>
  </si>
  <si>
    <t>EDWARD MCCORMICK</t>
  </si>
  <si>
    <t>14300 S. RAVINIA AVE. STE.200</t>
  </si>
  <si>
    <t>ORLAND PARK</t>
  </si>
  <si>
    <t>IL</t>
  </si>
  <si>
    <t>16931 S. GRISSOM DR.</t>
  </si>
  <si>
    <t>TINLEY PARK</t>
  </si>
  <si>
    <t>708-428-5305</t>
  </si>
  <si>
    <t>708-349-6999</t>
  </si>
  <si>
    <t>JMUKULICH@KSD140.ORG</t>
  </si>
  <si>
    <t>066-003328</t>
  </si>
  <si>
    <t>EMCCORMICK@MUELLERCPA.COM</t>
  </si>
  <si>
    <t>X</t>
  </si>
  <si>
    <t>JULIA MIKULICH</t>
  </si>
  <si>
    <t>708-532-6462</t>
  </si>
  <si>
    <t>708-532-6483</t>
  </si>
  <si>
    <r>
      <t xml:space="preserve">The accompanying Schedule of Expenditures of Federal Awards includes the federal grant activity of </t>
    </r>
    <r>
      <rPr>
        <b/>
        <sz val="9"/>
        <rFont val="Calibri"/>
        <family val="2"/>
        <scheme val="minor"/>
      </rPr>
      <t>Kirby School District No. 140</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</si>
  <si>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Kirby School District No. 140</t>
    </r>
    <r>
      <rPr>
        <sz val="9"/>
        <rFont val="Calibri"/>
        <family val="2"/>
        <scheme val="minor"/>
      </rPr>
      <t xml:space="preserve"> provided federal awards to subrecipients as follows:</t>
    </r>
  </si>
  <si>
    <t>NONE</t>
  </si>
  <si>
    <t>UNMODIFIED</t>
  </si>
  <si>
    <t xml:space="preserve">    Pre-School Flow Through</t>
  </si>
  <si>
    <t xml:space="preserve">    IDEA Flow Through</t>
  </si>
  <si>
    <t xml:space="preserve">    IDEA Room &amp; Board (M)</t>
  </si>
  <si>
    <t>PreSchool Flow Through</t>
  </si>
  <si>
    <t>IDEA Flow Through</t>
  </si>
  <si>
    <t>IDEA Room &amp; Board</t>
  </si>
  <si>
    <t>Management disagrees with the recommendation.</t>
  </si>
  <si>
    <t>All Federal Programs</t>
  </si>
  <si>
    <t>2018-001</t>
  </si>
  <si>
    <t>Repeated as 2019-001</t>
  </si>
  <si>
    <t>2018-002</t>
  </si>
  <si>
    <t>The following amounts were expended in the form of non-cash assistance by  Kirby School District 140 and should be included in the Schedule of Expenditures of Federal Awards:</t>
  </si>
  <si>
    <t>Repeated as 2019-002</t>
  </si>
  <si>
    <t>The District maintains its accounting records on the cash basis during the year.</t>
  </si>
  <si>
    <t>The District's accounting records are kept on the cash basis during the year and converted to the modified accrual basis at year end with audit adjustments.</t>
  </si>
  <si>
    <t>The District does not adjust receivable and payable balances during the year.</t>
  </si>
  <si>
    <t>Users of interim financial statements are not viewing accurate modified accrual basis information.</t>
  </si>
  <si>
    <t>Month end closing procedures do not include steps to adjust the receivable and payable balances.</t>
  </si>
  <si>
    <t>Management should implement procedures to adjust receivable and payable balances on a monthly basis.</t>
  </si>
  <si>
    <t>The District maintains its accounting records on the cash basis during the year.  See financial statement finding #2019-001.</t>
  </si>
  <si>
    <t>Mueller &amp; Co., LLP</t>
  </si>
  <si>
    <t>Southwest Cook County Cooperative</t>
  </si>
  <si>
    <t>Cardinal Bernadin &amp; SW Chicago Christian School - Title I</t>
  </si>
  <si>
    <t xml:space="preserve">Education Fund - Acc#190 - $569,114 Interest Recievable </t>
  </si>
  <si>
    <t>Education Fund – Acc#1719- $19,767 All summer camp admissions</t>
  </si>
  <si>
    <t xml:space="preserve">Education Fund – Acc#2190 - $454,083 OT/PT Salaries  </t>
  </si>
  <si>
    <t>Education Fund – Acc#2190 - $10,168 OT/PT Employee Benefits</t>
  </si>
  <si>
    <t>Education Fund – Acc#2190 - $324 OT/PT Purchased Services</t>
  </si>
  <si>
    <t xml:space="preserve">Education Fund – Acc#2900 - $1000 Other support services  </t>
  </si>
  <si>
    <t>Education Fund -  Acct#3999  Library Grant $2,567</t>
  </si>
  <si>
    <t>Education Fund - Acct#4399  School Improvement Title I $9,525</t>
  </si>
  <si>
    <t>20-2540-300</t>
  </si>
  <si>
    <t>TRIA Archetecture Inc</t>
  </si>
  <si>
    <t>40-2550-300</t>
  </si>
  <si>
    <t>Five Star Taxi and Shuttle Service</t>
  </si>
  <si>
    <t>Lee Werner Excavating</t>
  </si>
  <si>
    <t>Midwest Environmental</t>
  </si>
  <si>
    <t>O&amp;M - Operations and Maintenance of Plant</t>
  </si>
  <si>
    <t>Transportation - Other Support Services</t>
  </si>
  <si>
    <t>The compliance requirement for reporting was not met.</t>
  </si>
  <si>
    <t>Management agrees with the recommendation.</t>
  </si>
  <si>
    <t>The data collection form for the audit year June 30, 2017 was submitted 25 days late.</t>
  </si>
  <si>
    <t>The data collection form for the audit year June 30, 2017 was not submitted to the Federal Audit Clearinghouse (FAC) on a timely basis.</t>
  </si>
  <si>
    <t>We recommend the data collection form be submitted within the earlier of 30 calendar days after receipt of the auditor's report, or nine months after the end of the audit period.</t>
  </si>
  <si>
    <t>Per 2 CFR Part 200, Subpart F (2 CFR Section 200.512): (a) General. (1) The audit must be completed and the data collection form and reporting package described must be submitted within the earlier of 30 calendar days after receipt of the auditor's report, or nine months after the end of the audit period.</t>
  </si>
  <si>
    <t>District's records are kept on the cash basis during the year and converted to the modified accrual basis at year end with audit adjustments.</t>
  </si>
  <si>
    <t>Due to an oversight on missing the deadline, the data collection form was not timely submitted.</t>
  </si>
  <si>
    <t>#20 - see findings 2019-001, 2019-002 and 2019-003</t>
  </si>
  <si>
    <t>KIRBY SD 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</si>
</sst>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alibri"/>
      <family val="2"/>
    </font>
    <font>
      <sz val="11"/>
      <color indexed="8"/>
      <name val="Univers"/>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8">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38" fillId="0" borderId="0"/>
    <xf numFmtId="0" fontId="1" fillId="0" borderId="0"/>
  </cellStyleXfs>
  <cellXfs count="250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3" fontId="61" fillId="0" borderId="0" xfId="3" applyNumberFormat="1" applyFont="1" applyFill="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8"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0" fontId="64" fillId="0" borderId="0" xfId="3" applyFont="1" applyAlignment="1" applyProtection="1">
      <alignment textRotation="180" wrapText="1"/>
    </xf>
    <xf numFmtId="0" fontId="56" fillId="0" borderId="0" xfId="0" applyFont="1"/>
    <xf numFmtId="164" fontId="61" fillId="0" borderId="0" xfId="0" applyNumberFormat="1" applyFont="1"/>
    <xf numFmtId="0" fontId="137" fillId="0" borderId="0" xfId="0" applyFont="1"/>
    <xf numFmtId="0" fontId="137" fillId="0" borderId="0" xfId="0" applyFont="1" applyAlignment="1">
      <alignment vertical="top"/>
    </xf>
    <xf numFmtId="0" fontId="137" fillId="0" borderId="0" xfId="0" applyFont="1" applyAlignment="1">
      <alignment vertical="center"/>
    </xf>
    <xf numFmtId="0" fontId="53" fillId="0" borderId="0" xfId="3" applyFont="1" applyAlignment="1" applyProtection="1">
      <alignment horizontal="center" vertical="center"/>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38">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35" xr:uid="{00000000-0005-0000-0000-000008000000}"/>
    <cellStyle name="Normal 3 2 2 3" xfId="30" xr:uid="{00000000-0005-0000-0000-000009000000}"/>
    <cellStyle name="Normal 3 2 2 4" xfId="23" xr:uid="{00000000-0005-0000-0000-00000A000000}"/>
    <cellStyle name="Normal 3 2 3" xfId="28" xr:uid="{00000000-0005-0000-0000-00000B000000}"/>
    <cellStyle name="Normal 3 2 4" xfId="33" xr:uid="{00000000-0005-0000-0000-00000C000000}"/>
    <cellStyle name="Normal 3 2 5" xfId="25" xr:uid="{00000000-0005-0000-0000-00000D000000}"/>
    <cellStyle name="Normal 3 2 6" xfId="20" xr:uid="{00000000-0005-0000-0000-00000E000000}"/>
    <cellStyle name="Normal 3 3" xfId="29" xr:uid="{00000000-0005-0000-0000-00000F000000}"/>
    <cellStyle name="Normal 3 3 2" xfId="34" xr:uid="{00000000-0005-0000-0000-000010000000}"/>
    <cellStyle name="Normal 3 4" xfId="27" xr:uid="{00000000-0005-0000-0000-000011000000}"/>
    <cellStyle name="Normal 3 5" xfId="32" xr:uid="{00000000-0005-0000-0000-000012000000}"/>
    <cellStyle name="Normal 3 6" xfId="24" xr:uid="{00000000-0005-0000-0000-000013000000}"/>
    <cellStyle name="Normal 3 7" xfId="19" xr:uid="{00000000-0005-0000-0000-000014000000}"/>
    <cellStyle name="Normal 4" xfId="16" xr:uid="{00000000-0005-0000-0000-000015000000}"/>
    <cellStyle name="Normal 4 2" xfId="31" xr:uid="{00000000-0005-0000-0000-000016000000}"/>
    <cellStyle name="Normal 4 3" xfId="26" xr:uid="{00000000-0005-0000-0000-000017000000}"/>
    <cellStyle name="Normal 4 4" xfId="21" xr:uid="{00000000-0005-0000-0000-000018000000}"/>
    <cellStyle name="Normal 5" xfId="17" xr:uid="{00000000-0005-0000-0000-000019000000}"/>
    <cellStyle name="Normal 5 2" xfId="37" xr:uid="{00000000-0005-0000-0000-00001A000000}"/>
    <cellStyle name="Normal 5 3" xfId="22" xr:uid="{00000000-0005-0000-0000-00001B000000}"/>
    <cellStyle name="Normal 6" xfId="36" xr:uid="{00000000-0005-0000-0000-00001C000000}"/>
    <cellStyle name="Normal_AFRPG3" xfId="5" xr:uid="{00000000-0005-0000-0000-00001D000000}"/>
    <cellStyle name="Normal_AFRPG41" xfId="6" xr:uid="{00000000-0005-0000-0000-00001E000000}"/>
    <cellStyle name="Normal_AFRPG47" xfId="7" xr:uid="{00000000-0005-0000-0000-00001F000000}"/>
    <cellStyle name="Normal_AFRPG56" xfId="8" xr:uid="{00000000-0005-0000-0000-000020000000}"/>
    <cellStyle name="Normal_AFRPG59" xfId="9" xr:uid="{00000000-0005-0000-0000-000021000000}"/>
    <cellStyle name="Normal_AFRPG63" xfId="10" xr:uid="{00000000-0005-0000-0000-000022000000}"/>
    <cellStyle name="Normal_AFRPG64" xfId="11" xr:uid="{00000000-0005-0000-0000-000023000000}"/>
    <cellStyle name="Normal_COVER" xfId="12" xr:uid="{00000000-0005-0000-0000-000024000000}"/>
    <cellStyle name="Normal_THRESHOLD CALCULATOR v3" xfId="13" xr:uid="{00000000-0005-0000-0000-00002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406977</xdr:colOff>
          <xdr:row>3</xdr:row>
          <xdr:rowOff>34637</xdr:rowOff>
        </xdr:from>
        <xdr:to>
          <xdr:col>1</xdr:col>
          <xdr:colOff>1321377</xdr:colOff>
          <xdr:row>7</xdr:row>
          <xdr:rowOff>72737</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59080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743325"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39</xdr:row>
      <xdr:rowOff>0</xdr:rowOff>
    </xdr:from>
    <xdr:to>
      <xdr:col>2</xdr:col>
      <xdr:colOff>76200</xdr:colOff>
      <xdr:row>40</xdr:row>
      <xdr:rowOff>28576</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38</xdr:row>
      <xdr:rowOff>0</xdr:rowOff>
    </xdr:from>
    <xdr:to>
      <xdr:col>2</xdr:col>
      <xdr:colOff>0</xdr:colOff>
      <xdr:row>38</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30" t="s">
        <v>405</v>
      </c>
      <c r="J1" s="2031"/>
      <c r="K1" s="2031"/>
      <c r="L1" s="2031"/>
      <c r="M1" s="2031"/>
      <c r="N1" s="2031"/>
      <c r="O1" s="2031"/>
      <c r="P1" s="2031"/>
      <c r="Q1" s="2031"/>
      <c r="R1" s="2031"/>
      <c r="S1" s="2031"/>
    </row>
    <row r="2" spans="1:28" ht="12" customHeight="1" x14ac:dyDescent="0.2">
      <c r="A2" s="47" t="s">
        <v>1989</v>
      </c>
      <c r="D2" s="48"/>
      <c r="I2" s="2032" t="s">
        <v>979</v>
      </c>
      <c r="J2" s="2031"/>
      <c r="K2" s="2031"/>
      <c r="L2" s="2031"/>
      <c r="M2" s="2031"/>
      <c r="N2" s="2031"/>
      <c r="O2" s="2031"/>
      <c r="P2" s="2031"/>
      <c r="Q2" s="2031"/>
      <c r="R2" s="2031"/>
      <c r="S2" s="2031"/>
    </row>
    <row r="3" spans="1:28" ht="12" customHeight="1" x14ac:dyDescent="0.2">
      <c r="A3" s="155" t="s">
        <v>1941</v>
      </c>
      <c r="B3" s="156"/>
      <c r="C3" s="156"/>
      <c r="D3" s="157"/>
      <c r="I3" s="2032" t="s">
        <v>52</v>
      </c>
      <c r="J3" s="2031"/>
      <c r="K3" s="2031"/>
      <c r="L3" s="2031"/>
      <c r="M3" s="2031"/>
      <c r="N3" s="2031"/>
      <c r="O3" s="2031"/>
      <c r="P3" s="2031"/>
      <c r="Q3" s="2031"/>
      <c r="R3" s="2031"/>
      <c r="S3" s="2031"/>
    </row>
    <row r="4" spans="1:28" ht="12" customHeight="1" x14ac:dyDescent="0.2">
      <c r="A4" s="37"/>
      <c r="I4" s="2032" t="s">
        <v>524</v>
      </c>
      <c r="J4" s="2031"/>
      <c r="K4" s="2031"/>
      <c r="L4" s="2031"/>
      <c r="M4" s="2031"/>
      <c r="N4" s="2031"/>
      <c r="O4" s="2031"/>
      <c r="P4" s="2031"/>
      <c r="Q4" s="2031"/>
      <c r="R4" s="2031"/>
      <c r="S4" s="2031"/>
    </row>
    <row r="5" spans="1:28" ht="14.1" customHeight="1" x14ac:dyDescent="0.2">
      <c r="B5" s="104" t="s">
        <v>2103</v>
      </c>
      <c r="C5" s="26" t="s">
        <v>910</v>
      </c>
      <c r="D5" s="84"/>
      <c r="E5" s="84"/>
      <c r="H5" s="38"/>
      <c r="I5" s="2039" t="s">
        <v>680</v>
      </c>
      <c r="J5" s="1984"/>
      <c r="K5" s="1984"/>
      <c r="L5" s="1984"/>
      <c r="M5" s="1984"/>
      <c r="N5" s="1984"/>
      <c r="O5" s="1984"/>
      <c r="P5" s="1984"/>
      <c r="Q5" s="1984"/>
      <c r="R5" s="1984"/>
      <c r="S5" s="1984"/>
    </row>
    <row r="6" spans="1:28" ht="14.1" customHeight="1" x14ac:dyDescent="0.2">
      <c r="B6" s="104"/>
      <c r="C6" s="26" t="s">
        <v>911</v>
      </c>
      <c r="D6" s="84"/>
      <c r="E6" s="84"/>
      <c r="I6" s="2038" t="s">
        <v>883</v>
      </c>
      <c r="J6" s="1984"/>
      <c r="K6" s="1984"/>
      <c r="L6" s="1984"/>
      <c r="M6" s="1984"/>
      <c r="N6" s="1984"/>
      <c r="O6" s="1984"/>
      <c r="P6" s="1984"/>
      <c r="Q6" s="1984"/>
      <c r="R6" s="1984"/>
      <c r="S6" s="1984"/>
    </row>
    <row r="7" spans="1:28" ht="12.2" customHeight="1" x14ac:dyDescent="0.2">
      <c r="I7" s="2033">
        <v>43646</v>
      </c>
      <c r="J7" s="2034"/>
      <c r="K7" s="2034"/>
      <c r="L7" s="2034"/>
      <c r="M7" s="2034"/>
      <c r="N7" s="2034"/>
      <c r="O7" s="2034"/>
      <c r="P7" s="2034"/>
      <c r="Q7" s="2034"/>
      <c r="R7" s="2034"/>
      <c r="S7" s="203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5" t="s">
        <v>674</v>
      </c>
      <c r="J9" s="2036"/>
      <c r="K9" s="2036"/>
      <c r="L9" s="2036"/>
      <c r="M9" s="2036"/>
      <c r="N9" s="2036"/>
      <c r="O9" s="2036"/>
      <c r="P9" s="2036"/>
      <c r="Q9" s="2036"/>
      <c r="R9" s="2036"/>
      <c r="S9" s="2037"/>
      <c r="T9" s="1980" t="s">
        <v>533</v>
      </c>
      <c r="U9" s="1981"/>
      <c r="V9" s="1981"/>
      <c r="W9" s="1981"/>
      <c r="X9" s="1981"/>
      <c r="Y9" s="1981"/>
      <c r="Z9" s="1981"/>
      <c r="AA9" s="1982"/>
    </row>
    <row r="10" spans="1:28" ht="13.5" customHeight="1" x14ac:dyDescent="0.2">
      <c r="A10" s="1989" t="s">
        <v>675</v>
      </c>
      <c r="B10" s="1990"/>
      <c r="C10" s="1990"/>
      <c r="D10" s="1990"/>
      <c r="E10" s="1990"/>
      <c r="F10" s="1990"/>
      <c r="G10" s="1990"/>
      <c r="H10" s="1991"/>
      <c r="I10" s="29"/>
      <c r="J10" s="30"/>
      <c r="K10" s="28"/>
      <c r="R10" s="30"/>
      <c r="S10" s="30"/>
      <c r="T10" s="1983"/>
      <c r="U10" s="1984"/>
      <c r="V10" s="1984"/>
      <c r="W10" s="1984"/>
      <c r="X10" s="1984"/>
      <c r="Y10" s="1984"/>
      <c r="Z10" s="1984"/>
      <c r="AA10" s="1985"/>
    </row>
    <row r="11" spans="1:28" ht="14.25" customHeight="1" x14ac:dyDescent="0.2">
      <c r="A11" s="1992" t="s">
        <v>955</v>
      </c>
      <c r="B11" s="1993"/>
      <c r="C11" s="1993"/>
      <c r="D11" s="1993"/>
      <c r="E11" s="1993"/>
      <c r="F11" s="1993"/>
      <c r="G11" s="1993"/>
      <c r="H11" s="1994"/>
      <c r="I11" s="27"/>
      <c r="J11" s="74"/>
      <c r="K11" s="27"/>
      <c r="O11" s="148"/>
      <c r="P11" s="100" t="s">
        <v>201</v>
      </c>
      <c r="Q11" s="30"/>
      <c r="R11" s="28"/>
      <c r="S11" s="27"/>
      <c r="T11" s="1986"/>
      <c r="U11" s="1987"/>
      <c r="V11" s="1987"/>
      <c r="W11" s="1987"/>
      <c r="X11" s="1987"/>
      <c r="Y11" s="1987"/>
      <c r="Z11" s="1987"/>
      <c r="AA11" s="1988"/>
    </row>
    <row r="12" spans="1:28" ht="13.5" customHeight="1" x14ac:dyDescent="0.2">
      <c r="A12" s="85" t="s">
        <v>925</v>
      </c>
      <c r="B12" s="76"/>
      <c r="C12" s="76"/>
      <c r="D12" s="76"/>
      <c r="E12" s="76"/>
      <c r="F12" s="76"/>
      <c r="G12" s="76"/>
      <c r="H12" s="53"/>
      <c r="I12" s="29"/>
      <c r="J12" s="30"/>
      <c r="K12" s="28"/>
      <c r="O12" s="149" t="s">
        <v>2117</v>
      </c>
      <c r="P12" s="100" t="s">
        <v>202</v>
      </c>
      <c r="Q12" s="74"/>
      <c r="R12" s="30"/>
      <c r="S12" s="30"/>
      <c r="T12" s="85" t="s">
        <v>265</v>
      </c>
      <c r="U12" s="51"/>
      <c r="V12" s="51"/>
      <c r="W12" s="51"/>
      <c r="X12" s="51"/>
      <c r="Y12" s="45"/>
      <c r="Z12" s="45"/>
      <c r="AA12" s="46"/>
    </row>
    <row r="13" spans="1:28" ht="13.5" customHeight="1" x14ac:dyDescent="0.2">
      <c r="A13" s="2000">
        <v>7016140002</v>
      </c>
      <c r="B13" s="2001"/>
      <c r="C13" s="2001"/>
      <c r="D13" s="2001"/>
      <c r="E13" s="2001"/>
      <c r="F13" s="2001"/>
      <c r="G13" s="2001"/>
      <c r="H13" s="2002"/>
      <c r="I13" s="31"/>
      <c r="J13" s="30"/>
      <c r="K13" s="28"/>
      <c r="L13" s="30"/>
      <c r="M13" s="30"/>
      <c r="N13" s="30"/>
      <c r="O13" s="30"/>
      <c r="P13" s="30"/>
      <c r="Q13" s="30"/>
      <c r="R13" s="30"/>
      <c r="S13" s="30"/>
      <c r="T13" s="2005" t="s">
        <v>2105</v>
      </c>
      <c r="U13" s="2006"/>
      <c r="V13" s="2006"/>
      <c r="W13" s="2006"/>
      <c r="X13" s="2006"/>
      <c r="Y13" s="2007"/>
      <c r="Z13" s="2007"/>
      <c r="AA13" s="200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8" t="s">
        <v>2104</v>
      </c>
      <c r="B15" s="2003"/>
      <c r="C15" s="2003"/>
      <c r="D15" s="2003"/>
      <c r="E15" s="2003"/>
      <c r="F15" s="2003"/>
      <c r="G15" s="2003"/>
      <c r="H15" s="2004"/>
      <c r="T15" s="1966" t="s">
        <v>2106</v>
      </c>
      <c r="U15" s="1967"/>
      <c r="V15" s="1967"/>
      <c r="W15" s="1967"/>
      <c r="X15" s="1967"/>
      <c r="Y15" s="2009"/>
      <c r="Z15" s="2009"/>
      <c r="AA15" s="201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8" t="s">
        <v>2173</v>
      </c>
      <c r="B17" s="2028"/>
      <c r="C17" s="2028"/>
      <c r="D17" s="2028"/>
      <c r="E17" s="2028"/>
      <c r="F17" s="2028"/>
      <c r="G17" s="2028"/>
      <c r="H17" s="2029"/>
      <c r="T17" s="2015" t="s">
        <v>2107</v>
      </c>
      <c r="U17" s="2016"/>
      <c r="V17" s="2016"/>
      <c r="W17" s="2016"/>
      <c r="X17" s="2016"/>
      <c r="Y17" s="2016"/>
      <c r="Z17" s="2016"/>
      <c r="AA17" s="2017"/>
    </row>
    <row r="18" spans="1:27" ht="13.5" customHeight="1" x14ac:dyDescent="0.2">
      <c r="A18" s="85" t="s">
        <v>530</v>
      </c>
      <c r="B18" s="76"/>
      <c r="C18" s="72"/>
      <c r="D18" s="76"/>
      <c r="E18" s="76"/>
      <c r="F18" s="76"/>
      <c r="G18" s="76"/>
      <c r="H18" s="56"/>
      <c r="I18" s="2025" t="s">
        <v>676</v>
      </c>
      <c r="J18" s="2026"/>
      <c r="K18" s="2026"/>
      <c r="L18" s="2026"/>
      <c r="M18" s="2026"/>
      <c r="N18" s="2026"/>
      <c r="O18" s="2026"/>
      <c r="P18" s="2026"/>
      <c r="Q18" s="2026"/>
      <c r="R18" s="2026"/>
      <c r="S18" s="2027"/>
      <c r="T18" s="85" t="s">
        <v>711</v>
      </c>
      <c r="U18" s="51"/>
      <c r="V18" s="72"/>
      <c r="W18" s="50"/>
      <c r="X18" s="85" t="s">
        <v>266</v>
      </c>
      <c r="Y18" s="81"/>
      <c r="Z18" s="159" t="s">
        <v>677</v>
      </c>
      <c r="AA18" s="46"/>
    </row>
    <row r="19" spans="1:27" ht="13.5" customHeight="1" x14ac:dyDescent="0.2">
      <c r="A19" s="1998" t="s">
        <v>2110</v>
      </c>
      <c r="B19" s="1999"/>
      <c r="C19" s="1999"/>
      <c r="D19" s="1999"/>
      <c r="E19" s="1999"/>
      <c r="F19" s="1999"/>
      <c r="G19" s="1999"/>
      <c r="H19" s="1997"/>
      <c r="I19" s="30"/>
      <c r="J19" s="99"/>
      <c r="K19" s="40"/>
      <c r="L19" s="38"/>
      <c r="M19" s="112" t="s">
        <v>315</v>
      </c>
      <c r="P19" s="27"/>
      <c r="Q19" s="27"/>
      <c r="R19" s="27"/>
      <c r="S19" s="31"/>
      <c r="T19" s="1998" t="s">
        <v>2108</v>
      </c>
      <c r="U19" s="1996"/>
      <c r="V19" s="1996"/>
      <c r="W19" s="1997"/>
      <c r="X19" s="2013" t="s">
        <v>2109</v>
      </c>
      <c r="Y19" s="2014"/>
      <c r="Z19" s="2011">
        <v>60462</v>
      </c>
      <c r="AA19" s="201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5" t="s">
        <v>2111</v>
      </c>
      <c r="B21" s="1996"/>
      <c r="C21" s="1996"/>
      <c r="D21" s="1996"/>
      <c r="E21" s="1996"/>
      <c r="F21" s="1996"/>
      <c r="G21" s="1996"/>
      <c r="H21" s="1997"/>
      <c r="I21" s="2021" t="s">
        <v>678</v>
      </c>
      <c r="J21" s="1984"/>
      <c r="K21" s="1984"/>
      <c r="L21" s="1984"/>
      <c r="M21" s="1984"/>
      <c r="N21" s="1984"/>
      <c r="O21" s="1984"/>
      <c r="P21" s="1984"/>
      <c r="Q21" s="1984"/>
      <c r="R21" s="1984"/>
      <c r="S21" s="1985"/>
      <c r="T21" s="1963" t="s">
        <v>2112</v>
      </c>
      <c r="U21" s="1964"/>
      <c r="V21" s="1964"/>
      <c r="W21" s="1964"/>
      <c r="X21" s="1977" t="s">
        <v>2113</v>
      </c>
      <c r="Y21" s="1978"/>
      <c r="Z21" s="1978"/>
      <c r="AA21" s="1979"/>
    </row>
    <row r="22" spans="1:27" ht="13.5" customHeight="1" x14ac:dyDescent="0.2">
      <c r="A22" s="87" t="s">
        <v>531</v>
      </c>
      <c r="B22" s="59"/>
      <c r="C22" s="59"/>
      <c r="D22" s="59"/>
      <c r="E22" s="59"/>
      <c r="F22" s="59"/>
      <c r="G22" s="59"/>
      <c r="H22" s="60"/>
      <c r="I22" s="2022" t="s">
        <v>1429</v>
      </c>
      <c r="J22" s="2023"/>
      <c r="K22" s="2023"/>
      <c r="L22" s="2023"/>
      <c r="M22" s="2023"/>
      <c r="N22" s="2023"/>
      <c r="O22" s="2023"/>
      <c r="P22" s="2023"/>
      <c r="Q22" s="2023"/>
      <c r="R22" s="2023"/>
      <c r="S22" s="2024"/>
      <c r="T22" s="85" t="s">
        <v>1516</v>
      </c>
      <c r="U22" s="51"/>
      <c r="V22" s="72"/>
      <c r="W22" s="51"/>
      <c r="X22" s="160" t="s">
        <v>1318</v>
      </c>
      <c r="Z22" s="45"/>
      <c r="AA22" s="46"/>
    </row>
    <row r="23" spans="1:27" ht="13.5" customHeight="1" x14ac:dyDescent="0.2">
      <c r="A23" s="2018" t="s">
        <v>2114</v>
      </c>
      <c r="B23" s="2019"/>
      <c r="C23" s="2019"/>
      <c r="D23" s="2019"/>
      <c r="E23" s="2019"/>
      <c r="F23" s="2019"/>
      <c r="G23" s="2019"/>
      <c r="H23" s="2020"/>
      <c r="T23" s="1958" t="s">
        <v>2115</v>
      </c>
      <c r="U23" s="1959"/>
      <c r="V23" s="1959"/>
      <c r="W23" s="1959"/>
      <c r="X23" s="1974">
        <v>44530</v>
      </c>
      <c r="Y23" s="1975"/>
      <c r="Z23" s="1975"/>
      <c r="AA23" s="1976"/>
    </row>
    <row r="24" spans="1:27" ht="14.1" customHeight="1" x14ac:dyDescent="0.2">
      <c r="A24" s="88" t="s">
        <v>677</v>
      </c>
      <c r="B24" s="49"/>
      <c r="C24" s="49"/>
      <c r="D24" s="49"/>
      <c r="E24" s="49"/>
      <c r="F24" s="49"/>
      <c r="G24" s="49"/>
      <c r="H24" s="61"/>
      <c r="J24" s="2060">
        <f>IF(B5="x",IF(AUDITCHECK!D29="AFR form Incomplete.","",IF(AUDITCHECK!D29="Deficit reduction plan is required.","School District must complete a deficit reduction plan in the 2019-2020 Budget",)),"")</f>
        <v>0</v>
      </c>
      <c r="K24" s="2060"/>
      <c r="L24" s="2060"/>
      <c r="M24" s="2060"/>
      <c r="N24" s="2060"/>
      <c r="O24" s="2060"/>
      <c r="P24" s="2060"/>
      <c r="Q24" s="2060"/>
      <c r="R24" s="2060"/>
      <c r="S24" s="2061"/>
      <c r="T24" s="105" t="s">
        <v>531</v>
      </c>
      <c r="U24" s="106"/>
      <c r="V24" s="106"/>
      <c r="W24" s="106"/>
      <c r="X24" s="107"/>
      <c r="Y24" s="107"/>
      <c r="Z24" s="107"/>
      <c r="AA24" s="108"/>
    </row>
    <row r="25" spans="1:27" ht="14.1" customHeight="1" x14ac:dyDescent="0.2">
      <c r="A25" s="1995">
        <v>60477</v>
      </c>
      <c r="B25" s="1996"/>
      <c r="C25" s="1996"/>
      <c r="D25" s="1996"/>
      <c r="E25" s="1996"/>
      <c r="F25" s="1996"/>
      <c r="G25" s="1996"/>
      <c r="H25" s="1997"/>
      <c r="I25" s="113"/>
      <c r="J25" s="2062"/>
      <c r="K25" s="2062"/>
      <c r="L25" s="2062"/>
      <c r="M25" s="2062"/>
      <c r="N25" s="2062"/>
      <c r="O25" s="2062"/>
      <c r="P25" s="2062"/>
      <c r="Q25" s="2062"/>
      <c r="R25" s="2062"/>
      <c r="S25" s="2063"/>
      <c r="T25" s="1955" t="s">
        <v>2116</v>
      </c>
      <c r="U25" s="1956"/>
      <c r="V25" s="1956"/>
      <c r="W25" s="1956"/>
      <c r="X25" s="1956"/>
      <c r="Y25" s="1956"/>
      <c r="Z25" s="1956"/>
      <c r="AA25" s="19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3" t="s">
        <v>1511</v>
      </c>
      <c r="J27" s="2026"/>
      <c r="K27" s="2026"/>
      <c r="L27" s="2026"/>
      <c r="M27" s="2026"/>
      <c r="N27" s="2026"/>
      <c r="O27" s="2026"/>
      <c r="P27" s="2026"/>
      <c r="Q27" s="2026"/>
      <c r="R27" s="2026"/>
      <c r="S27" s="202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2117</v>
      </c>
      <c r="F29" s="141" t="s">
        <v>1316</v>
      </c>
      <c r="G29" s="114"/>
      <c r="I29" s="54"/>
      <c r="J29" s="148" t="s">
        <v>2117</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2117</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2117</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9"/>
      <c r="Q35" s="1996"/>
      <c r="R35" s="199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8" t="s">
        <v>2118</v>
      </c>
      <c r="B38" s="2028"/>
      <c r="C38" s="2028"/>
      <c r="D38" s="2028"/>
      <c r="E38" s="2028"/>
      <c r="F38" s="1996"/>
      <c r="G38" s="1996"/>
      <c r="H38" s="1997"/>
      <c r="I38" s="2047"/>
      <c r="J38" s="1967"/>
      <c r="K38" s="1967"/>
      <c r="L38" s="1967"/>
      <c r="M38" s="1967"/>
      <c r="N38" s="1967"/>
      <c r="O38" s="1967"/>
      <c r="P38" s="1968"/>
      <c r="Q38" s="1968"/>
      <c r="R38" s="1968"/>
      <c r="S38" s="1969"/>
      <c r="T38" s="1966"/>
      <c r="U38" s="1967"/>
      <c r="V38" s="1967"/>
      <c r="W38" s="1967"/>
      <c r="X38" s="1968"/>
      <c r="Y38" s="1968"/>
      <c r="Z38" s="1968"/>
      <c r="AA38" s="1969"/>
    </row>
    <row r="39" spans="1:27" ht="12" customHeight="1" x14ac:dyDescent="0.2">
      <c r="A39" s="2051" t="s">
        <v>531</v>
      </c>
      <c r="B39" s="2052"/>
      <c r="C39" s="72"/>
      <c r="D39" s="69"/>
      <c r="E39" s="69"/>
      <c r="F39" s="79"/>
      <c r="G39" s="69"/>
      <c r="H39" s="56"/>
      <c r="I39" s="2051" t="s">
        <v>531</v>
      </c>
      <c r="J39" s="2052"/>
      <c r="K39" s="2052"/>
      <c r="L39" s="2052"/>
      <c r="M39" s="2052"/>
      <c r="N39" s="67"/>
      <c r="O39" s="72"/>
      <c r="P39" s="72"/>
      <c r="Q39" s="78"/>
      <c r="R39" s="72"/>
      <c r="S39" s="56"/>
      <c r="T39" s="72" t="s">
        <v>531</v>
      </c>
      <c r="U39" s="51"/>
      <c r="V39" s="72"/>
      <c r="W39" s="50"/>
      <c r="X39" s="78"/>
      <c r="Y39" s="45"/>
      <c r="Z39" s="45"/>
      <c r="AA39" s="46"/>
    </row>
    <row r="40" spans="1:27" ht="13.5" customHeight="1" x14ac:dyDescent="0.2">
      <c r="A40" s="2054" t="s">
        <v>2114</v>
      </c>
      <c r="B40" s="2055"/>
      <c r="C40" s="2056"/>
      <c r="D40" s="2056"/>
      <c r="E40" s="2056"/>
      <c r="F40" s="2057"/>
      <c r="G40" s="2057"/>
      <c r="H40" s="2058"/>
      <c r="I40" s="1970"/>
      <c r="J40" s="1972"/>
      <c r="K40" s="1972"/>
      <c r="L40" s="1972"/>
      <c r="M40" s="1972"/>
      <c r="N40" s="1972"/>
      <c r="O40" s="1972"/>
      <c r="P40" s="1972"/>
      <c r="Q40" s="1972"/>
      <c r="R40" s="1972"/>
      <c r="S40" s="1973"/>
      <c r="T40" s="1970"/>
      <c r="U40" s="1971"/>
      <c r="V40" s="1972"/>
      <c r="W40" s="1972"/>
      <c r="X40" s="1972"/>
      <c r="Y40" s="1972"/>
      <c r="Z40" s="1972"/>
      <c r="AA40" s="197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4" t="s">
        <v>2119</v>
      </c>
      <c r="B42" s="2045"/>
      <c r="C42" s="2046"/>
      <c r="D42" s="2059" t="s">
        <v>2120</v>
      </c>
      <c r="E42" s="2045"/>
      <c r="F42" s="2045"/>
      <c r="G42" s="2045"/>
      <c r="H42" s="2046"/>
      <c r="I42" s="1965"/>
      <c r="J42" s="1961"/>
      <c r="K42" s="1961"/>
      <c r="L42" s="1961"/>
      <c r="M42" s="1961"/>
      <c r="N42" s="1961"/>
      <c r="O42" s="1962"/>
      <c r="P42" s="1960"/>
      <c r="Q42" s="1961"/>
      <c r="R42" s="1961"/>
      <c r="S42" s="1962"/>
      <c r="T42" s="1965"/>
      <c r="U42" s="1961"/>
      <c r="V42" s="1961"/>
      <c r="W42" s="1962"/>
      <c r="X42" s="1960"/>
      <c r="Y42" s="1961"/>
      <c r="Z42" s="1961"/>
      <c r="AA42" s="196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8" sqref="E18"/>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97" t="s">
        <v>1798</v>
      </c>
      <c r="B2" s="1527" t="s">
        <v>1947</v>
      </c>
      <c r="C2" s="714" t="s">
        <v>1948</v>
      </c>
      <c r="D2" s="714" t="s">
        <v>1949</v>
      </c>
      <c r="E2" s="714" t="s">
        <v>1950</v>
      </c>
      <c r="F2" s="714" t="s">
        <v>1951</v>
      </c>
    </row>
    <row r="3" spans="1:6" ht="12" customHeight="1" x14ac:dyDescent="0.2">
      <c r="A3" s="2198"/>
      <c r="B3" s="1524"/>
      <c r="C3" s="1525"/>
      <c r="D3" s="1526" t="s">
        <v>256</v>
      </c>
      <c r="E3" s="1525"/>
      <c r="F3" s="1526" t="s">
        <v>257</v>
      </c>
    </row>
    <row r="4" spans="1:6" ht="13.7" customHeight="1" x14ac:dyDescent="0.2">
      <c r="A4" s="715" t="s">
        <v>1155</v>
      </c>
      <c r="B4" s="1748">
        <v>32043505</v>
      </c>
      <c r="C4" s="1523">
        <v>17660280</v>
      </c>
      <c r="D4" s="1751">
        <f>B4-C4</f>
        <v>14383225</v>
      </c>
      <c r="E4" s="1523">
        <v>34434419</v>
      </c>
      <c r="F4" s="1751">
        <f>E4-C4</f>
        <v>16774139</v>
      </c>
    </row>
    <row r="5" spans="1:6" ht="13.7" customHeight="1" x14ac:dyDescent="0.2">
      <c r="A5" s="715" t="s">
        <v>870</v>
      </c>
      <c r="B5" s="1749">
        <v>3975130</v>
      </c>
      <c r="C5" s="585">
        <v>2135159</v>
      </c>
      <c r="D5" s="1752">
        <f t="shared" ref="D5:D18" si="0">B5-C5</f>
        <v>1839971</v>
      </c>
      <c r="E5" s="585">
        <v>4163181</v>
      </c>
      <c r="F5" s="1752">
        <f>E5-C5</f>
        <v>2028022</v>
      </c>
    </row>
    <row r="6" spans="1:6" ht="13.7" customHeight="1" x14ac:dyDescent="0.2">
      <c r="A6" s="715" t="s">
        <v>411</v>
      </c>
      <c r="B6" s="1749">
        <f>'Revenues 9-14'!E5</f>
        <v>0</v>
      </c>
      <c r="C6" s="585"/>
      <c r="D6" s="1752">
        <f t="shared" si="0"/>
        <v>0</v>
      </c>
      <c r="E6" s="585"/>
      <c r="F6" s="1752">
        <f t="shared" ref="F6:F18" si="1">E6-C6</f>
        <v>0</v>
      </c>
    </row>
    <row r="7" spans="1:6" ht="13.7" customHeight="1" x14ac:dyDescent="0.2">
      <c r="A7" s="715" t="s">
        <v>155</v>
      </c>
      <c r="B7" s="1749">
        <v>1457937</v>
      </c>
      <c r="C7" s="585">
        <v>782951</v>
      </c>
      <c r="D7" s="1752">
        <f t="shared" si="0"/>
        <v>674986</v>
      </c>
      <c r="E7" s="585">
        <v>1526615</v>
      </c>
      <c r="F7" s="1752">
        <f t="shared" si="1"/>
        <v>743664</v>
      </c>
    </row>
    <row r="8" spans="1:6" ht="13.7" customHeight="1" x14ac:dyDescent="0.2">
      <c r="A8" s="715" t="s">
        <v>1179</v>
      </c>
      <c r="B8" s="1749">
        <v>601301</v>
      </c>
      <c r="C8" s="585">
        <v>87676</v>
      </c>
      <c r="D8" s="1752">
        <f t="shared" si="0"/>
        <v>513625</v>
      </c>
      <c r="E8" s="585">
        <v>170296</v>
      </c>
      <c r="F8" s="1752">
        <f t="shared" si="1"/>
        <v>82620</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v>273781</v>
      </c>
      <c r="C10" s="585">
        <v>147191</v>
      </c>
      <c r="D10" s="1752">
        <f t="shared" si="0"/>
        <v>126590</v>
      </c>
      <c r="E10" s="585">
        <v>286996</v>
      </c>
      <c r="F10" s="1752">
        <f t="shared" si="1"/>
        <v>139805</v>
      </c>
    </row>
    <row r="11" spans="1:6" x14ac:dyDescent="0.2">
      <c r="A11" s="715" t="s">
        <v>409</v>
      </c>
      <c r="B11" s="1749">
        <f>'Revenues 9-14'!J5</f>
        <v>0</v>
      </c>
      <c r="C11" s="585"/>
      <c r="D11" s="1752">
        <f t="shared" si="0"/>
        <v>0</v>
      </c>
      <c r="E11" s="585"/>
      <c r="F11" s="1752">
        <f t="shared" si="1"/>
        <v>0</v>
      </c>
    </row>
    <row r="12" spans="1:6" ht="13.7" customHeight="1" x14ac:dyDescent="0.2">
      <c r="A12" s="715" t="s">
        <v>157</v>
      </c>
      <c r="B12" s="1749">
        <f>'Revenues 9-14'!K5</f>
        <v>0</v>
      </c>
      <c r="C12" s="585"/>
      <c r="D12" s="1752">
        <f t="shared" si="0"/>
        <v>0</v>
      </c>
      <c r="E12" s="585"/>
      <c r="F12" s="1752">
        <f t="shared" si="1"/>
        <v>0</v>
      </c>
    </row>
    <row r="13" spans="1:6" ht="13.7" customHeight="1" x14ac:dyDescent="0.2">
      <c r="A13" s="715" t="s">
        <v>936</v>
      </c>
      <c r="B13" s="1749">
        <f>SUM('Revenues 9-14'!C6:D6)</f>
        <v>0</v>
      </c>
      <c r="C13" s="585"/>
      <c r="D13" s="1752">
        <f t="shared" si="0"/>
        <v>0</v>
      </c>
      <c r="E13" s="585"/>
      <c r="F13" s="1752">
        <f t="shared" si="1"/>
        <v>0</v>
      </c>
    </row>
    <row r="14" spans="1:6" ht="13.7" customHeight="1" x14ac:dyDescent="0.2">
      <c r="A14" s="715" t="s">
        <v>410</v>
      </c>
      <c r="B14" s="1749">
        <v>246653</v>
      </c>
      <c r="C14" s="585">
        <v>132561</v>
      </c>
      <c r="D14" s="1752">
        <f t="shared" si="0"/>
        <v>114092</v>
      </c>
      <c r="E14" s="585">
        <v>258469</v>
      </c>
      <c r="F14" s="1752">
        <f t="shared" si="1"/>
        <v>125908</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v>487426</v>
      </c>
      <c r="C16" s="585">
        <v>49318</v>
      </c>
      <c r="D16" s="1752">
        <f t="shared" si="0"/>
        <v>438108</v>
      </c>
      <c r="E16" s="585">
        <v>96818</v>
      </c>
      <c r="F16" s="1752">
        <f t="shared" si="1"/>
        <v>47500</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39085733</v>
      </c>
      <c r="C19" s="1750">
        <f>SUM(C4:C18)</f>
        <v>20995136</v>
      </c>
      <c r="D19" s="1750">
        <f>SUM(D4:D18)</f>
        <v>18090597</v>
      </c>
      <c r="E19" s="1750">
        <f>SUM(E4:E18)</f>
        <v>40936794</v>
      </c>
      <c r="F19" s="1750">
        <f>SUM(F4:F18)</f>
        <v>19941658</v>
      </c>
    </row>
    <row r="20" spans="1:6" ht="13.5" thickTop="1" x14ac:dyDescent="0.2">
      <c r="B20" s="713"/>
      <c r="F20" s="716"/>
    </row>
    <row r="21" spans="1:6" x14ac:dyDescent="0.2">
      <c r="A21" s="717" t="s">
        <v>1804</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F15" sqref="F1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4"/>
      <c r="C1" s="721"/>
    </row>
    <row r="2" spans="1:7" ht="33.75" x14ac:dyDescent="0.2">
      <c r="A2" s="2212" t="s">
        <v>1798</v>
      </c>
      <c r="B2" s="2213"/>
      <c r="C2" s="1883" t="s">
        <v>1952</v>
      </c>
      <c r="D2" s="723" t="s">
        <v>1953</v>
      </c>
      <c r="E2" s="723" t="s">
        <v>1954</v>
      </c>
      <c r="F2" s="1883" t="s">
        <v>1955</v>
      </c>
    </row>
    <row r="3" spans="1:7" ht="15.75" customHeight="1" x14ac:dyDescent="0.2">
      <c r="A3" s="2216" t="s">
        <v>1114</v>
      </c>
      <c r="B3" s="2217"/>
      <c r="C3" s="2205"/>
      <c r="D3" s="2206"/>
      <c r="E3" s="2206"/>
      <c r="F3" s="2207"/>
    </row>
    <row r="4" spans="1:7" ht="12.75" customHeight="1" thickBot="1" x14ac:dyDescent="0.25">
      <c r="A4" s="2214" t="s">
        <v>630</v>
      </c>
      <c r="B4" s="2215"/>
      <c r="C4" s="581"/>
      <c r="D4" s="581"/>
      <c r="E4" s="581"/>
      <c r="F4" s="1754">
        <f>SUM(C4+D4)-E4</f>
        <v>0</v>
      </c>
    </row>
    <row r="5" spans="1:7" ht="15.75" customHeight="1" thickTop="1" x14ac:dyDescent="0.2">
      <c r="A5" s="2199" t="s">
        <v>1110</v>
      </c>
      <c r="B5" s="2200"/>
      <c r="C5" s="2208"/>
      <c r="D5" s="2209"/>
      <c r="E5" s="2209"/>
      <c r="F5" s="2210"/>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201" t="s">
        <v>631</v>
      </c>
      <c r="B15" s="2202"/>
      <c r="C15" s="1754">
        <f>SUM(C6:C14)</f>
        <v>0</v>
      </c>
      <c r="D15" s="1754">
        <f>SUM(D6:D14)</f>
        <v>0</v>
      </c>
      <c r="E15" s="1754">
        <f>SUM(E6:E14)</f>
        <v>0</v>
      </c>
      <c r="F15" s="1754">
        <f>SUM(F6:F14)</f>
        <v>0</v>
      </c>
      <c r="G15" s="552"/>
    </row>
    <row r="16" spans="1:7" s="202" customFormat="1" ht="15.75" customHeight="1" thickTop="1" x14ac:dyDescent="0.2">
      <c r="A16" s="2211" t="s">
        <v>1111</v>
      </c>
      <c r="B16" s="2200"/>
      <c r="C16" s="2208"/>
      <c r="D16" s="2209"/>
      <c r="E16" s="2209"/>
      <c r="F16" s="2210"/>
    </row>
    <row r="17" spans="1:11" ht="12.75" customHeight="1" thickBot="1" x14ac:dyDescent="0.25">
      <c r="A17" s="2224" t="s">
        <v>64</v>
      </c>
      <c r="B17" s="2225"/>
      <c r="C17" s="726"/>
      <c r="D17" s="585"/>
      <c r="E17" s="726"/>
      <c r="F17" s="1754">
        <f>SUM(C17+D17)-E17</f>
        <v>0</v>
      </c>
    </row>
    <row r="18" spans="1:11" ht="12.75" customHeight="1" thickTop="1" thickBot="1" x14ac:dyDescent="0.25">
      <c r="A18" s="2224" t="s">
        <v>6</v>
      </c>
      <c r="B18" s="2225"/>
      <c r="C18" s="726"/>
      <c r="D18" s="585"/>
      <c r="E18" s="726"/>
      <c r="F18" s="1754">
        <f>SUM(C18+D18)-E18</f>
        <v>0</v>
      </c>
    </row>
    <row r="19" spans="1:11" ht="12.75" customHeight="1" thickTop="1" thickBot="1" x14ac:dyDescent="0.25">
      <c r="A19" s="2224" t="s">
        <v>388</v>
      </c>
      <c r="B19" s="2225"/>
      <c r="C19" s="726"/>
      <c r="D19" s="585"/>
      <c r="E19" s="726"/>
      <c r="F19" s="1754">
        <f>SUM(C19+D19)-E19</f>
        <v>0</v>
      </c>
    </row>
    <row r="20" spans="1:11" ht="12.75" customHeight="1" thickTop="1" thickBot="1" x14ac:dyDescent="0.25">
      <c r="A20" s="2224" t="s">
        <v>448</v>
      </c>
      <c r="B20" s="2225"/>
      <c r="C20" s="726"/>
      <c r="D20" s="585"/>
      <c r="E20" s="726"/>
      <c r="F20" s="1754">
        <f>SUM(C20+D20)-E20</f>
        <v>0</v>
      </c>
    </row>
    <row r="21" spans="1:11" ht="14.25" thickTop="1" thickBot="1" x14ac:dyDescent="0.25">
      <c r="A21" s="2201" t="s">
        <v>632</v>
      </c>
      <c r="B21" s="2202"/>
      <c r="C21" s="1754">
        <f>SUM(C17:C20)</f>
        <v>0</v>
      </c>
      <c r="D21" s="1754">
        <f>SUM(D17:D20)</f>
        <v>0</v>
      </c>
      <c r="E21" s="1754">
        <f>SUM(E17:E20)</f>
        <v>0</v>
      </c>
      <c r="F21" s="1754">
        <f>SUM(F17:F20)</f>
        <v>0</v>
      </c>
      <c r="G21" s="552"/>
    </row>
    <row r="22" spans="1:11" ht="15.75" customHeight="1" thickTop="1" x14ac:dyDescent="0.2">
      <c r="A22" s="2226" t="s">
        <v>1112</v>
      </c>
      <c r="B22" s="2200"/>
      <c r="C22" s="2208"/>
      <c r="D22" s="2209"/>
      <c r="E22" s="2209"/>
      <c r="F22" s="2210"/>
    </row>
    <row r="23" spans="1:11" ht="13.5" thickBot="1" x14ac:dyDescent="0.25">
      <c r="A23" s="2214" t="s">
        <v>633</v>
      </c>
      <c r="B23" s="2215"/>
      <c r="C23" s="581"/>
      <c r="D23" s="581"/>
      <c r="E23" s="581"/>
      <c r="F23" s="1754">
        <f>SUM(C23+D23)-E23</f>
        <v>0</v>
      </c>
      <c r="G23" s="552"/>
    </row>
    <row r="24" spans="1:11" ht="15.75" customHeight="1" thickTop="1" x14ac:dyDescent="0.2">
      <c r="A24" s="2226" t="s">
        <v>1113</v>
      </c>
      <c r="B24" s="2200"/>
      <c r="C24" s="2208"/>
      <c r="D24" s="2209"/>
      <c r="E24" s="2209"/>
      <c r="F24" s="2210"/>
    </row>
    <row r="25" spans="1:11" ht="13.5" thickBot="1" x14ac:dyDescent="0.25">
      <c r="A25" s="2214" t="s">
        <v>634</v>
      </c>
      <c r="B25" s="2215"/>
      <c r="C25" s="581"/>
      <c r="D25" s="581"/>
      <c r="E25" s="581"/>
      <c r="F25" s="1754">
        <f>SUM(C25+D25)-E25</f>
        <v>0</v>
      </c>
      <c r="G25" s="552"/>
    </row>
    <row r="26" spans="1:11" ht="15.75" customHeight="1" thickTop="1" x14ac:dyDescent="0.2">
      <c r="A26" s="2199" t="s">
        <v>657</v>
      </c>
      <c r="B26" s="2200"/>
      <c r="C26" s="727"/>
      <c r="D26" s="727"/>
      <c r="E26" s="727"/>
      <c r="F26" s="728"/>
    </row>
    <row r="27" spans="1:11" ht="13.5" thickBot="1" x14ac:dyDescent="0.25">
      <c r="A27" s="2201" t="s">
        <v>1070</v>
      </c>
      <c r="B27" s="2202"/>
      <c r="C27" s="585"/>
      <c r="D27" s="585"/>
      <c r="E27" s="585"/>
      <c r="F27" s="1754">
        <f>SUM(C27+D27)-E27</f>
        <v>0</v>
      </c>
      <c r="G27" s="552"/>
    </row>
    <row r="28" spans="1:11" ht="7.5" customHeight="1" thickTop="1" x14ac:dyDescent="0.2">
      <c r="A28" s="593"/>
    </row>
    <row r="29" spans="1:11" ht="23.25" customHeight="1" x14ac:dyDescent="0.2">
      <c r="A29" s="2227" t="s">
        <v>582</v>
      </c>
      <c r="B29" s="2204"/>
      <c r="C29" s="729"/>
      <c r="D29" s="729"/>
      <c r="E29" s="729"/>
      <c r="F29" s="729"/>
      <c r="G29" s="729"/>
      <c r="H29" s="729"/>
      <c r="I29" s="729"/>
      <c r="J29" s="729"/>
    </row>
    <row r="30" spans="1:11" ht="33.75" x14ac:dyDescent="0.2">
      <c r="A30" s="1528" t="s">
        <v>1071</v>
      </c>
      <c r="B30" s="730" t="s">
        <v>1124</v>
      </c>
      <c r="C30" s="1884" t="s">
        <v>583</v>
      </c>
      <c r="D30" s="1884" t="s">
        <v>1673</v>
      </c>
      <c r="E30" s="1884" t="s">
        <v>1956</v>
      </c>
      <c r="F30" s="1884" t="s">
        <v>1957</v>
      </c>
      <c r="G30" s="1884" t="s">
        <v>1907</v>
      </c>
      <c r="H30" s="1884" t="s">
        <v>1958</v>
      </c>
      <c r="I30" s="1884" t="s">
        <v>1959</v>
      </c>
      <c r="J30" s="1885" t="s">
        <v>2</v>
      </c>
      <c r="K30" s="731"/>
    </row>
    <row r="31" spans="1:11" ht="12" customHeight="1" x14ac:dyDescent="0.2">
      <c r="A31" s="732"/>
      <c r="B31" s="733"/>
      <c r="C31" s="734"/>
      <c r="D31" s="735"/>
      <c r="E31" s="734"/>
      <c r="F31" s="734"/>
      <c r="G31" s="734"/>
      <c r="H31" s="734"/>
      <c r="I31" s="1755">
        <f>((E31+F31)-H31)+G31</f>
        <v>0</v>
      </c>
      <c r="J31" s="734"/>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0</v>
      </c>
      <c r="D49" s="745"/>
      <c r="E49" s="1755">
        <f t="shared" ref="E49:J49" si="2">SUM(E31:E48)</f>
        <v>0</v>
      </c>
      <c r="F49" s="1755">
        <f t="shared" si="2"/>
        <v>0</v>
      </c>
      <c r="G49" s="1755">
        <f t="shared" si="2"/>
        <v>0</v>
      </c>
      <c r="H49" s="1755">
        <f t="shared" si="2"/>
        <v>0</v>
      </c>
      <c r="I49" s="1755">
        <f t="shared" si="2"/>
        <v>0</v>
      </c>
      <c r="J49" s="1755">
        <f t="shared" si="2"/>
        <v>0</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912</v>
      </c>
      <c r="B52" s="2218" t="s">
        <v>584</v>
      </c>
      <c r="C52" s="2219"/>
      <c r="D52" s="2219"/>
      <c r="E52" s="749" t="s">
        <v>845</v>
      </c>
      <c r="F52" s="2220"/>
      <c r="G52" s="2221"/>
      <c r="H52" s="736"/>
      <c r="I52" s="736"/>
      <c r="J52" s="746"/>
    </row>
    <row r="53" spans="1:11" ht="11.25" customHeight="1" x14ac:dyDescent="0.2">
      <c r="A53" s="750" t="s">
        <v>913</v>
      </c>
      <c r="B53" s="751" t="s">
        <v>951</v>
      </c>
      <c r="C53" s="746"/>
      <c r="D53" s="737"/>
      <c r="E53" s="749" t="s">
        <v>497</v>
      </c>
      <c r="F53" s="2222"/>
      <c r="G53" s="2223"/>
      <c r="H53" s="736"/>
      <c r="I53" s="736"/>
      <c r="J53" s="746"/>
    </row>
    <row r="54" spans="1:11" ht="11.25" customHeight="1" x14ac:dyDescent="0.2">
      <c r="A54" s="752" t="s">
        <v>914</v>
      </c>
      <c r="B54" s="747" t="s">
        <v>952</v>
      </c>
      <c r="C54" s="746"/>
      <c r="D54" s="737"/>
      <c r="E54" s="749" t="s">
        <v>498</v>
      </c>
      <c r="F54" s="2222"/>
      <c r="G54" s="222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856</v>
      </c>
      <c r="B1" s="2253"/>
      <c r="C1" s="2253"/>
      <c r="D1" s="2253"/>
      <c r="E1" s="2253"/>
      <c r="F1" s="2253"/>
      <c r="G1" s="2254"/>
      <c r="H1" s="1529"/>
      <c r="I1" s="760"/>
      <c r="J1" s="433"/>
    </row>
    <row r="2" spans="1:11" ht="26.25" x14ac:dyDescent="0.2">
      <c r="A2" s="2231" t="s">
        <v>1677</v>
      </c>
      <c r="B2" s="2232"/>
      <c r="C2" s="2232"/>
      <c r="D2" s="2232"/>
      <c r="E2" s="2233"/>
      <c r="F2" s="761" t="s">
        <v>904</v>
      </c>
      <c r="G2" s="762" t="s">
        <v>1674</v>
      </c>
      <c r="H2" s="762" t="s">
        <v>410</v>
      </c>
      <c r="I2" s="762" t="s">
        <v>1158</v>
      </c>
      <c r="J2" s="762" t="s">
        <v>1808</v>
      </c>
      <c r="K2" s="762" t="s">
        <v>138</v>
      </c>
    </row>
    <row r="3" spans="1:11" x14ac:dyDescent="0.2">
      <c r="A3" s="2234" t="s">
        <v>1960</v>
      </c>
      <c r="B3" s="2235"/>
      <c r="C3" s="2235"/>
      <c r="D3" s="2235"/>
      <c r="E3" s="2236"/>
      <c r="F3" s="763"/>
      <c r="G3" s="764"/>
      <c r="H3" s="764"/>
      <c r="I3" s="764"/>
      <c r="J3" s="765"/>
      <c r="K3" s="765"/>
    </row>
    <row r="4" spans="1:11" x14ac:dyDescent="0.2">
      <c r="A4" s="2237" t="s">
        <v>369</v>
      </c>
      <c r="B4" s="2238"/>
      <c r="C4" s="2238"/>
      <c r="D4" s="2238"/>
      <c r="E4" s="2219"/>
      <c r="F4" s="766"/>
      <c r="G4" s="767"/>
      <c r="H4" s="768"/>
      <c r="I4" s="767"/>
      <c r="J4" s="769"/>
      <c r="K4" s="769"/>
    </row>
    <row r="5" spans="1:11" x14ac:dyDescent="0.2">
      <c r="A5" s="2255" t="s">
        <v>1069</v>
      </c>
      <c r="B5" s="2228"/>
      <c r="C5" s="2228"/>
      <c r="D5" s="2228"/>
      <c r="E5" s="2256"/>
      <c r="F5" s="770" t="s">
        <v>848</v>
      </c>
      <c r="G5" s="771"/>
      <c r="H5" s="764">
        <v>246652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55" t="s">
        <v>1809</v>
      </c>
      <c r="B10" s="2228"/>
      <c r="C10" s="2228"/>
      <c r="D10" s="2228"/>
      <c r="E10" s="2257"/>
      <c r="F10" s="783" t="s">
        <v>862</v>
      </c>
      <c r="G10" s="782"/>
      <c r="H10" s="784"/>
      <c r="I10" s="764"/>
      <c r="J10" s="765"/>
      <c r="K10" s="765"/>
    </row>
    <row r="11" spans="1:11" x14ac:dyDescent="0.2">
      <c r="A11" s="2255" t="s">
        <v>160</v>
      </c>
      <c r="B11" s="2228"/>
      <c r="C11" s="2228"/>
      <c r="D11" s="2228"/>
      <c r="E11" s="2256"/>
      <c r="F11" s="770" t="s">
        <v>852</v>
      </c>
      <c r="G11" s="771"/>
      <c r="H11" s="764"/>
      <c r="I11" s="764"/>
      <c r="J11" s="765"/>
      <c r="K11" s="773"/>
    </row>
    <row r="12" spans="1:11" ht="13.5" thickBot="1" x14ac:dyDescent="0.25">
      <c r="A12" s="2245" t="s">
        <v>905</v>
      </c>
      <c r="B12" s="2246"/>
      <c r="C12" s="2246"/>
      <c r="D12" s="2246"/>
      <c r="E12" s="2247"/>
      <c r="F12" s="1756"/>
      <c r="G12" s="1757">
        <f>SUM(G5:G11)</f>
        <v>0</v>
      </c>
      <c r="H12" s="1757">
        <f>SUM(H5:H11)</f>
        <v>246652</v>
      </c>
      <c r="I12" s="1757">
        <f>SUM(I5:I11)</f>
        <v>0</v>
      </c>
      <c r="J12" s="1757">
        <f>SUM(J5:J11)</f>
        <v>0</v>
      </c>
      <c r="K12" s="1757">
        <f>SUM(K5:K11)</f>
        <v>0</v>
      </c>
    </row>
    <row r="13" spans="1:11" ht="13.5" thickTop="1" x14ac:dyDescent="0.2">
      <c r="A13" s="2239" t="s">
        <v>370</v>
      </c>
      <c r="B13" s="2240"/>
      <c r="C13" s="2240"/>
      <c r="D13" s="2240"/>
      <c r="E13" s="2241"/>
      <c r="F13" s="785"/>
      <c r="G13" s="786"/>
      <c r="H13" s="787"/>
      <c r="I13" s="788"/>
      <c r="J13" s="788"/>
      <c r="K13" s="788"/>
    </row>
    <row r="14" spans="1:11" x14ac:dyDescent="0.2">
      <c r="A14" s="2261" t="s">
        <v>456</v>
      </c>
      <c r="B14" s="2261"/>
      <c r="C14" s="2261"/>
      <c r="D14" s="2261"/>
      <c r="E14" s="2262"/>
      <c r="F14" s="789" t="s">
        <v>854</v>
      </c>
      <c r="G14" s="782"/>
      <c r="H14" s="764">
        <v>246652</v>
      </c>
      <c r="I14" s="771"/>
      <c r="J14" s="773"/>
      <c r="K14" s="765"/>
    </row>
    <row r="15" spans="1:11" x14ac:dyDescent="0.2">
      <c r="A15" s="2228" t="s">
        <v>4</v>
      </c>
      <c r="B15" s="2228"/>
      <c r="C15" s="2228"/>
      <c r="D15" s="2228"/>
      <c r="E15" s="2256"/>
      <c r="F15" s="789" t="s">
        <v>855</v>
      </c>
      <c r="G15" s="771"/>
      <c r="H15" s="764"/>
      <c r="I15" s="764"/>
      <c r="J15" s="765"/>
      <c r="K15" s="765"/>
    </row>
    <row r="16" spans="1:11" x14ac:dyDescent="0.2">
      <c r="A16" s="2228" t="s">
        <v>298</v>
      </c>
      <c r="B16" s="2228"/>
      <c r="C16" s="2228"/>
      <c r="D16" s="2228"/>
      <c r="E16" s="2256"/>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42" t="s">
        <v>368</v>
      </c>
      <c r="B18" s="2243"/>
      <c r="C18" s="2243"/>
      <c r="D18" s="2243"/>
      <c r="E18" s="2244"/>
      <c r="F18" s="789" t="s">
        <v>932</v>
      </c>
      <c r="G18" s="782"/>
      <c r="H18" s="782"/>
      <c r="I18" s="782"/>
      <c r="J18" s="765"/>
      <c r="K18" s="795"/>
    </row>
    <row r="19" spans="1:11" ht="21.75" customHeight="1" x14ac:dyDescent="0.2">
      <c r="A19" s="2263" t="s">
        <v>1805</v>
      </c>
      <c r="B19" s="2263"/>
      <c r="C19" s="2263"/>
      <c r="D19" s="2263"/>
      <c r="E19" s="2264"/>
      <c r="F19" s="789" t="s">
        <v>933</v>
      </c>
      <c r="G19" s="782"/>
      <c r="H19" s="782"/>
      <c r="I19" s="782"/>
      <c r="J19" s="765"/>
      <c r="K19" s="795"/>
    </row>
    <row r="20" spans="1:11" x14ac:dyDescent="0.2">
      <c r="A20" s="2242" t="s">
        <v>1810</v>
      </c>
      <c r="B20" s="2243"/>
      <c r="C20" s="2243"/>
      <c r="D20" s="2243"/>
      <c r="E20" s="2244"/>
      <c r="F20" s="789" t="s">
        <v>934</v>
      </c>
      <c r="G20" s="782"/>
      <c r="H20" s="782"/>
      <c r="I20" s="782"/>
      <c r="J20" s="765"/>
      <c r="K20" s="795"/>
    </row>
    <row r="21" spans="1:11" ht="13.5" thickBot="1" x14ac:dyDescent="0.25">
      <c r="A21" s="2248" t="s">
        <v>638</v>
      </c>
      <c r="B21" s="2248"/>
      <c r="C21" s="2248"/>
      <c r="D21" s="2248"/>
      <c r="E21" s="2248"/>
      <c r="F21" s="1758"/>
      <c r="G21" s="792"/>
      <c r="H21" s="796"/>
      <c r="I21" s="796"/>
      <c r="J21" s="1759">
        <f>SUM(J18:J20)</f>
        <v>0</v>
      </c>
      <c r="K21" s="793"/>
    </row>
    <row r="22" spans="1:11" ht="13.5" thickTop="1" x14ac:dyDescent="0.2">
      <c r="A22" s="2228" t="s">
        <v>1811</v>
      </c>
      <c r="B22" s="2228"/>
      <c r="C22" s="2228"/>
      <c r="D22" s="2228"/>
      <c r="E22" s="2256"/>
      <c r="F22" s="789" t="s">
        <v>862</v>
      </c>
      <c r="G22" s="782"/>
      <c r="H22" s="764"/>
      <c r="I22" s="764"/>
      <c r="J22" s="797"/>
      <c r="K22" s="765"/>
    </row>
    <row r="23" spans="1:11" ht="13.5" thickBot="1" x14ac:dyDescent="0.25">
      <c r="A23" s="2249" t="s">
        <v>906</v>
      </c>
      <c r="B23" s="2248"/>
      <c r="C23" s="2248"/>
      <c r="D23" s="2248"/>
      <c r="E23" s="2248"/>
      <c r="F23" s="1760"/>
      <c r="G23" s="1757">
        <f>SUM(G14:G16,G21,G22)</f>
        <v>0</v>
      </c>
      <c r="H23" s="1757">
        <f>SUM(H14:H16,H21,H22)</f>
        <v>246652</v>
      </c>
      <c r="I23" s="1757">
        <f>SUM(I14:I16,I21,I22)</f>
        <v>0</v>
      </c>
      <c r="J23" s="1757">
        <f>SUM(J14:J16,J21,J22)</f>
        <v>0</v>
      </c>
      <c r="K23" s="1757">
        <f>SUM(K14:K16,K21,K22)</f>
        <v>0</v>
      </c>
    </row>
    <row r="24" spans="1:11" ht="14.25" thickTop="1" thickBot="1" x14ac:dyDescent="0.25">
      <c r="A24" s="2249" t="s">
        <v>1961</v>
      </c>
      <c r="B24" s="2248"/>
      <c r="C24" s="2248"/>
      <c r="D24" s="2248"/>
      <c r="E24" s="2248"/>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1906</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8"/>
      <c r="I31" s="2259"/>
      <c r="J31" s="2259"/>
      <c r="K31" s="2259"/>
    </row>
    <row r="32" spans="1:11" x14ac:dyDescent="0.2">
      <c r="A32" s="809"/>
      <c r="B32" s="237"/>
      <c r="C32" s="237"/>
      <c r="D32" s="237"/>
      <c r="E32" s="805"/>
      <c r="F32" s="811" t="s">
        <v>540</v>
      </c>
      <c r="G32" s="764"/>
      <c r="H32" s="2260"/>
      <c r="I32" s="2259"/>
      <c r="J32" s="2259"/>
      <c r="K32" s="2259"/>
    </row>
    <row r="33" spans="1:11" ht="1.5" customHeight="1" x14ac:dyDescent="0.2">
      <c r="A33" s="812" t="s">
        <v>1169</v>
      </c>
      <c r="B33" s="364"/>
      <c r="C33" s="364"/>
      <c r="D33" s="364"/>
      <c r="E33" s="364"/>
      <c r="F33" s="364"/>
      <c r="G33" s="813"/>
      <c r="H33" s="2260"/>
      <c r="I33" s="2259"/>
      <c r="J33" s="2259"/>
      <c r="K33" s="2259"/>
    </row>
    <row r="34" spans="1:11" x14ac:dyDescent="0.2">
      <c r="A34" s="814" t="s">
        <v>1812</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162311</v>
      </c>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8"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1806</v>
      </c>
      <c r="B46" s="408" t="s">
        <v>1675</v>
      </c>
    </row>
    <row r="47" spans="1:11" s="823" customFormat="1" ht="12.75" customHeight="1" x14ac:dyDescent="0.2">
      <c r="A47" s="821"/>
      <c r="B47" s="822" t="s">
        <v>1676</v>
      </c>
      <c r="E47" s="822"/>
      <c r="K47" s="824"/>
    </row>
    <row r="48" spans="1:11" ht="12.75" customHeight="1" x14ac:dyDescent="0.2">
      <c r="A48" s="1531" t="s">
        <v>1807</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1905</v>
      </c>
      <c r="B1" s="2268"/>
      <c r="C1" s="2269"/>
      <c r="D1" s="826"/>
      <c r="E1" s="827"/>
      <c r="F1" s="827"/>
      <c r="G1" s="828"/>
      <c r="H1" s="829"/>
      <c r="I1" s="830"/>
      <c r="J1" s="2265"/>
      <c r="K1" s="2266"/>
      <c r="L1" s="2266"/>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8" t="s">
        <v>892</v>
      </c>
      <c r="B3" s="1629">
        <v>210</v>
      </c>
      <c r="C3" s="835">
        <v>0</v>
      </c>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1096591</v>
      </c>
      <c r="D5" s="841"/>
      <c r="E5" s="841"/>
      <c r="F5" s="1759">
        <f>(C5+D5)-E5</f>
        <v>1096591</v>
      </c>
      <c r="G5" s="837"/>
      <c r="H5" s="842"/>
      <c r="I5" s="842"/>
      <c r="J5" s="842"/>
      <c r="K5" s="793"/>
      <c r="L5" s="1768">
        <f>F5-K5</f>
        <v>1096591</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52728915</v>
      </c>
      <c r="D8" s="844"/>
      <c r="E8" s="844"/>
      <c r="F8" s="1759">
        <f>(C8+D8)-E8</f>
        <v>52728915</v>
      </c>
      <c r="G8" s="843">
        <v>50</v>
      </c>
      <c r="H8" s="765">
        <v>20945266</v>
      </c>
      <c r="I8" s="765">
        <v>1112993</v>
      </c>
      <c r="J8" s="765"/>
      <c r="K8" s="1768">
        <f>(H8+I8)-J8</f>
        <v>22058259</v>
      </c>
      <c r="L8" s="1768">
        <f>F8-K8</f>
        <v>30670656</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22689302</v>
      </c>
      <c r="D10" s="846">
        <v>9219963</v>
      </c>
      <c r="E10" s="846"/>
      <c r="F10" s="1763">
        <f>(C10+D10)-E10</f>
        <v>31909265</v>
      </c>
      <c r="G10" s="843">
        <v>20</v>
      </c>
      <c r="H10" s="847">
        <v>4216443</v>
      </c>
      <c r="I10" s="847">
        <v>795238</v>
      </c>
      <c r="J10" s="847"/>
      <c r="K10" s="1768">
        <f>(H10+I10)-J10</f>
        <v>5011681</v>
      </c>
      <c r="L10" s="1768">
        <f>F10-K10</f>
        <v>26897584</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23270120</v>
      </c>
      <c r="D12" s="844"/>
      <c r="E12" s="844">
        <v>215297</v>
      </c>
      <c r="F12" s="1759">
        <f>(C12+D12)-E12</f>
        <v>23054823</v>
      </c>
      <c r="G12" s="843">
        <v>10</v>
      </c>
      <c r="H12" s="765">
        <v>19943220</v>
      </c>
      <c r="I12" s="765">
        <v>878434</v>
      </c>
      <c r="J12" s="765">
        <v>215297</v>
      </c>
      <c r="K12" s="1768">
        <f>(H12+I12)-J12</f>
        <v>20606357</v>
      </c>
      <c r="L12" s="1768">
        <f>F12-K12</f>
        <v>2448466</v>
      </c>
    </row>
    <row r="13" spans="1:14" ht="14.25" thickTop="1" thickBot="1" x14ac:dyDescent="0.25">
      <c r="A13" s="848" t="s">
        <v>1122</v>
      </c>
      <c r="B13" s="840">
        <v>252</v>
      </c>
      <c r="C13" s="844">
        <v>5434759</v>
      </c>
      <c r="D13" s="844">
        <v>462001</v>
      </c>
      <c r="E13" s="844"/>
      <c r="F13" s="1759">
        <f>(C13+D13)-E13</f>
        <v>5896760</v>
      </c>
      <c r="G13" s="843">
        <v>5</v>
      </c>
      <c r="H13" s="765">
        <v>3099872</v>
      </c>
      <c r="I13" s="765">
        <v>728559</v>
      </c>
      <c r="J13" s="765"/>
      <c r="K13" s="1768">
        <f>(H13+I13)-J13</f>
        <v>3828431</v>
      </c>
      <c r="L13" s="1768">
        <f>F13-K13</f>
        <v>2068329</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v>6882649</v>
      </c>
      <c r="D15" s="844">
        <v>4677666</v>
      </c>
      <c r="E15" s="844">
        <v>9208688</v>
      </c>
      <c r="F15" s="1759">
        <f>(C15+D15)-E15</f>
        <v>2351627</v>
      </c>
      <c r="G15" s="849" t="s">
        <v>862</v>
      </c>
      <c r="H15" s="781"/>
      <c r="I15" s="781"/>
      <c r="J15" s="781"/>
      <c r="K15" s="781"/>
      <c r="L15" s="1768">
        <f>F15-K15</f>
        <v>2351627</v>
      </c>
    </row>
    <row r="16" spans="1:14" ht="15" customHeight="1" thickTop="1" thickBot="1" x14ac:dyDescent="0.25">
      <c r="A16" s="1764" t="s">
        <v>643</v>
      </c>
      <c r="B16" s="1765">
        <v>200</v>
      </c>
      <c r="C16" s="1759">
        <f>SUM(C3,C5:C6,C8:C10,C12:C15)</f>
        <v>112102336</v>
      </c>
      <c r="D16" s="1759">
        <f>SUM(D3,D5:D6,D8:D10,D12:D15)</f>
        <v>14359630</v>
      </c>
      <c r="E16" s="1759">
        <f>SUM(E3,E5:E6,E8:E10,E12:E15)</f>
        <v>9423985</v>
      </c>
      <c r="F16" s="1759">
        <f>SUM(F3,F5:F6,F8:F10,F12:F15)</f>
        <v>117037981</v>
      </c>
      <c r="G16" s="843"/>
      <c r="H16" s="1759">
        <f>SUM(H3,H6,H8:H10,H12:H14,)</f>
        <v>48204801</v>
      </c>
      <c r="I16" s="1759">
        <f>SUM(I3,I6,I8:I10,I12:I14,)</f>
        <v>3515224</v>
      </c>
      <c r="J16" s="1759">
        <f>SUM(J3,J6,J8:J10,J12:J14,)</f>
        <v>215297</v>
      </c>
      <c r="K16" s="1759">
        <f>(H16+I16)-J16</f>
        <v>51504728</v>
      </c>
      <c r="L16" s="1759">
        <f>F16-K16</f>
        <v>65533253</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3515224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4"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3" t="s">
        <v>1971</v>
      </c>
      <c r="B1" s="2274"/>
      <c r="C1" s="2274"/>
      <c r="D1" s="2274"/>
      <c r="E1" s="2274"/>
      <c r="F1" s="2275"/>
      <c r="G1" s="855"/>
    </row>
    <row r="2" spans="1:7" ht="15" customHeight="1" thickBot="1" x14ac:dyDescent="0.25">
      <c r="A2" s="2276" t="s">
        <v>477</v>
      </c>
      <c r="B2" s="2277"/>
      <c r="C2" s="2277"/>
      <c r="D2" s="2277"/>
      <c r="E2" s="2277"/>
      <c r="F2" s="227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9"/>
      <c r="B5" s="2280"/>
      <c r="C5" s="2280"/>
      <c r="D5" s="2280"/>
      <c r="E5" s="2280"/>
      <c r="F5" s="2280"/>
    </row>
    <row r="6" spans="1:7" ht="13.5" customHeight="1" thickBot="1" x14ac:dyDescent="0.25">
      <c r="A6" s="2270" t="s">
        <v>1104</v>
      </c>
      <c r="B6" s="2271"/>
      <c r="C6" s="2271"/>
      <c r="D6" s="2271"/>
      <c r="E6" s="2271"/>
      <c r="F6" s="227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37589084</v>
      </c>
      <c r="G8" s="865"/>
    </row>
    <row r="9" spans="1:7" x14ac:dyDescent="0.2">
      <c r="A9" s="869" t="s">
        <v>460</v>
      </c>
      <c r="B9" s="870" t="s">
        <v>1873</v>
      </c>
      <c r="C9" s="871"/>
      <c r="D9" s="869" t="s">
        <v>501</v>
      </c>
      <c r="E9" s="868"/>
      <c r="F9" s="1908">
        <f>'Expenditures 15-22'!K151</f>
        <v>7343123</v>
      </c>
      <c r="G9" s="872"/>
    </row>
    <row r="10" spans="1:7" x14ac:dyDescent="0.2">
      <c r="A10" s="869" t="s">
        <v>499</v>
      </c>
      <c r="B10" s="870" t="s">
        <v>1874</v>
      </c>
      <c r="C10" s="871"/>
      <c r="D10" s="869" t="s">
        <v>501</v>
      </c>
      <c r="E10" s="868"/>
      <c r="F10" s="1908">
        <f>'Expenditures 15-22'!K174</f>
        <v>0</v>
      </c>
      <c r="G10" s="872"/>
    </row>
    <row r="11" spans="1:7" x14ac:dyDescent="0.2">
      <c r="A11" s="869" t="s">
        <v>461</v>
      </c>
      <c r="B11" s="870" t="s">
        <v>1875</v>
      </c>
      <c r="C11" s="871"/>
      <c r="D11" s="869" t="s">
        <v>501</v>
      </c>
      <c r="E11" s="868"/>
      <c r="F11" s="1908">
        <f>'Expenditures 15-22'!K210</f>
        <v>1786368</v>
      </c>
      <c r="G11" s="872"/>
    </row>
    <row r="12" spans="1:7" x14ac:dyDescent="0.2">
      <c r="A12" s="869" t="s">
        <v>462</v>
      </c>
      <c r="B12" s="870" t="s">
        <v>1876</v>
      </c>
      <c r="C12" s="871"/>
      <c r="D12" s="869" t="s">
        <v>501</v>
      </c>
      <c r="E12" s="868"/>
      <c r="F12" s="1908">
        <f>'Expenditures 15-22'!K295</f>
        <v>1504837</v>
      </c>
      <c r="G12" s="872"/>
    </row>
    <row r="13" spans="1:7" x14ac:dyDescent="0.2">
      <c r="A13" s="869" t="s">
        <v>106</v>
      </c>
      <c r="B13" s="870" t="s">
        <v>1877</v>
      </c>
      <c r="C13" s="871"/>
      <c r="D13" s="869" t="s">
        <v>501</v>
      </c>
      <c r="E13" s="868"/>
      <c r="F13" s="1908">
        <f>'Expenditures 15-22'!K342</f>
        <v>0</v>
      </c>
      <c r="G13" s="873"/>
    </row>
    <row r="14" spans="1:7" ht="12" customHeight="1" thickBot="1" x14ac:dyDescent="0.25">
      <c r="A14" s="1769"/>
      <c r="B14" s="1770"/>
      <c r="C14" s="1771"/>
      <c r="D14" s="1772" t="s">
        <v>501</v>
      </c>
      <c r="E14" s="1773" t="s">
        <v>958</v>
      </c>
      <c r="F14" s="1774">
        <f>SUM(F8:F13)</f>
        <v>48223412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3">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1998</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131793</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136990</v>
      </c>
      <c r="G52" s="865"/>
    </row>
    <row r="53" spans="1:7" x14ac:dyDescent="0.2">
      <c r="A53" s="869" t="s">
        <v>459</v>
      </c>
      <c r="B53" s="869" t="s">
        <v>1475</v>
      </c>
      <c r="C53" s="889">
        <f>'Expenditures 15-22'!B102</f>
        <v>4000</v>
      </c>
      <c r="D53" s="888" t="str">
        <f>'Expenditures 15-22'!A102</f>
        <v>Total Payments to Other Govt Units</v>
      </c>
      <c r="E53" s="868"/>
      <c r="F53" s="1912">
        <f>'Expenditures 15-22'!K102</f>
        <v>1026679</v>
      </c>
      <c r="G53" s="865"/>
    </row>
    <row r="54" spans="1:7" x14ac:dyDescent="0.2">
      <c r="A54" s="869" t="s">
        <v>459</v>
      </c>
      <c r="B54" s="869" t="s">
        <v>1476</v>
      </c>
      <c r="C54" s="889" t="s">
        <v>982</v>
      </c>
      <c r="D54" s="885" t="s">
        <v>1095</v>
      </c>
      <c r="E54" s="868"/>
      <c r="F54" s="1912">
        <f>'Expenditures 15-22'!G114</f>
        <v>929029</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2">
        <f>'Expenditures 15-22'!K139</f>
        <v>0</v>
      </c>
      <c r="G57" s="865"/>
    </row>
    <row r="58" spans="1:7" x14ac:dyDescent="0.2">
      <c r="A58" s="869" t="s">
        <v>460</v>
      </c>
      <c r="B58" s="869" t="s">
        <v>1879</v>
      </c>
      <c r="C58" s="886" t="s">
        <v>982</v>
      </c>
      <c r="D58" s="885" t="s">
        <v>1095</v>
      </c>
      <c r="E58" s="868"/>
      <c r="F58" s="1914">
        <f>'Expenditures 15-22'!G151</f>
        <v>3942373</v>
      </c>
      <c r="G58" s="865"/>
    </row>
    <row r="59" spans="1:7" x14ac:dyDescent="0.2">
      <c r="A59" s="893" t="s">
        <v>460</v>
      </c>
      <c r="B59" s="856" t="s">
        <v>1880</v>
      </c>
      <c r="C59" s="894" t="s">
        <v>982</v>
      </c>
      <c r="D59" s="856" t="s">
        <v>291</v>
      </c>
      <c r="F59" s="1915">
        <f>'Expenditures 15-22'!I151</f>
        <v>0</v>
      </c>
      <c r="G59" s="865"/>
    </row>
    <row r="60" spans="1:7" x14ac:dyDescent="0.2">
      <c r="A60" s="893" t="s">
        <v>499</v>
      </c>
      <c r="B60" s="856" t="s">
        <v>1881</v>
      </c>
      <c r="C60" s="894">
        <v>4000</v>
      </c>
      <c r="D60" s="856" t="s">
        <v>312</v>
      </c>
      <c r="F60" s="1913">
        <f>'Expenditures 15-22'!K160</f>
        <v>0</v>
      </c>
      <c r="G60" s="865"/>
    </row>
    <row r="61" spans="1:7" x14ac:dyDescent="0.2">
      <c r="A61" s="895" t="s">
        <v>499</v>
      </c>
      <c r="B61" s="895" t="s">
        <v>1882</v>
      </c>
      <c r="C61" s="896" t="str">
        <f>'Expenditures 15-22'!B170</f>
        <v>5300</v>
      </c>
      <c r="D61" s="897" t="s">
        <v>311</v>
      </c>
      <c r="E61" s="879"/>
      <c r="F61" s="1912">
        <f>'Expenditures 15-22'!K170</f>
        <v>0</v>
      </c>
      <c r="G61" s="865"/>
    </row>
    <row r="62" spans="1:7" x14ac:dyDescent="0.2">
      <c r="A62" s="869" t="s">
        <v>461</v>
      </c>
      <c r="B62" s="869" t="s">
        <v>1883</v>
      </c>
      <c r="C62" s="886">
        <f>'Expenditures 15-22'!B185</f>
        <v>3000</v>
      </c>
      <c r="D62" s="876" t="s">
        <v>449</v>
      </c>
      <c r="E62" s="868"/>
      <c r="F62" s="1912">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1885</v>
      </c>
      <c r="C64" s="896" t="str">
        <f>'Expenditures 15-22'!B206</f>
        <v>5300</v>
      </c>
      <c r="D64" s="892" t="s">
        <v>311</v>
      </c>
      <c r="E64" s="868"/>
      <c r="F64" s="1912">
        <f>'Expenditures 15-22'!K206</f>
        <v>0</v>
      </c>
      <c r="G64" s="865"/>
    </row>
    <row r="65" spans="1:8" x14ac:dyDescent="0.2">
      <c r="A65" s="869" t="s">
        <v>461</v>
      </c>
      <c r="B65" s="869" t="s">
        <v>1886</v>
      </c>
      <c r="C65" s="886" t="s">
        <v>982</v>
      </c>
      <c r="D65" s="885" t="s">
        <v>1095</v>
      </c>
      <c r="E65" s="868"/>
      <c r="F65" s="1912">
        <f>'Expenditures 15-22'!G210</f>
        <v>279540</v>
      </c>
      <c r="G65" s="865"/>
    </row>
    <row r="66" spans="1:8" x14ac:dyDescent="0.2">
      <c r="A66" s="869" t="s">
        <v>461</v>
      </c>
      <c r="B66" s="869" t="s">
        <v>1887</v>
      </c>
      <c r="C66" s="886" t="s">
        <v>982</v>
      </c>
      <c r="D66" s="885" t="s">
        <v>291</v>
      </c>
      <c r="E66" s="868"/>
      <c r="F66" s="1912">
        <f>'Expenditures 15-22'!I210</f>
        <v>0</v>
      </c>
      <c r="G66" s="865"/>
    </row>
    <row r="67" spans="1:8" x14ac:dyDescent="0.2">
      <c r="A67" s="869" t="s">
        <v>462</v>
      </c>
      <c r="B67" s="869" t="s">
        <v>1888</v>
      </c>
      <c r="C67" s="886" t="str">
        <f>'Expenditures 15-22'!B216</f>
        <v>1125</v>
      </c>
      <c r="D67" s="892" t="str">
        <f>'Expenditures 15-22'!A216</f>
        <v>Pre-K Programs</v>
      </c>
      <c r="E67" s="868"/>
      <c r="F67" s="1912">
        <f>'Expenditures 15-22'!K216</f>
        <v>0</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1890</v>
      </c>
      <c r="C70" s="886">
        <f>'Expenditures 15-22'!B221</f>
        <v>1300</v>
      </c>
      <c r="D70" s="887" t="str">
        <f>'Expenditures 15-22'!A221</f>
        <v>Adult/Continuing Education Programs</v>
      </c>
      <c r="E70" s="868"/>
      <c r="F70" s="1912">
        <f>'Expenditures 15-22'!K221</f>
        <v>0</v>
      </c>
      <c r="G70" s="865"/>
    </row>
    <row r="71" spans="1:8" x14ac:dyDescent="0.2">
      <c r="A71" s="869" t="s">
        <v>462</v>
      </c>
      <c r="B71" s="869" t="s">
        <v>1891</v>
      </c>
      <c r="C71" s="886">
        <f>'Expenditures 15-22'!B224</f>
        <v>1600</v>
      </c>
      <c r="D71" s="887" t="str">
        <f>'Expenditures 15-22'!A224</f>
        <v>Summer School Programs</v>
      </c>
      <c r="E71" s="868"/>
      <c r="F71" s="1912">
        <f>'Expenditures 15-22'!K224</f>
        <v>11054</v>
      </c>
      <c r="G71" s="865"/>
    </row>
    <row r="72" spans="1:8" x14ac:dyDescent="0.2">
      <c r="A72" s="869" t="s">
        <v>462</v>
      </c>
      <c r="B72" s="869" t="s">
        <v>1892</v>
      </c>
      <c r="C72" s="886">
        <f>'Expenditures 15-22'!B280</f>
        <v>3000</v>
      </c>
      <c r="D72" s="876" t="s">
        <v>449</v>
      </c>
      <c r="E72" s="868"/>
      <c r="F72" s="1912">
        <f>'Expenditures 15-22'!K280</f>
        <v>215</v>
      </c>
      <c r="G72" s="865"/>
    </row>
    <row r="73" spans="1:8" x14ac:dyDescent="0.2">
      <c r="A73" s="869" t="s">
        <v>462</v>
      </c>
      <c r="B73" s="869" t="s">
        <v>1893</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1894</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1895</v>
      </c>
      <c r="E76" s="1773" t="s">
        <v>958</v>
      </c>
      <c r="F76" s="1777">
        <f>SUM(F18:F74)</f>
        <v>6457673</v>
      </c>
      <c r="G76" s="865"/>
    </row>
    <row r="77" spans="1:8" s="893" customFormat="1" ht="12" customHeight="1" thickTop="1" thickBot="1" x14ac:dyDescent="0.25">
      <c r="A77" s="1778"/>
      <c r="B77" s="1775"/>
      <c r="C77" s="1771"/>
      <c r="D77" s="1776" t="s">
        <v>1896</v>
      </c>
      <c r="E77" s="1773"/>
      <c r="F77" s="1779">
        <f>(F14-F76)</f>
        <v>41765739</v>
      </c>
      <c r="G77" s="869"/>
    </row>
    <row r="78" spans="1:8" s="893" customFormat="1" ht="12" customHeight="1" thickTop="1" x14ac:dyDescent="0.2">
      <c r="A78" s="1780"/>
      <c r="B78" s="1775"/>
      <c r="C78" s="1771"/>
      <c r="D78" s="1776" t="s">
        <v>2058</v>
      </c>
      <c r="E78" s="1773"/>
      <c r="F78" s="898">
        <v>3328.6</v>
      </c>
      <c r="G78" s="899"/>
      <c r="H78" s="869"/>
    </row>
    <row r="79" spans="1:8" s="893" customFormat="1" ht="12" customHeight="1" thickBot="1" x14ac:dyDescent="0.25">
      <c r="A79" s="1781"/>
      <c r="B79" s="1775"/>
      <c r="C79" s="1771"/>
      <c r="D79" s="1776" t="s">
        <v>1897</v>
      </c>
      <c r="E79" s="1773" t="s">
        <v>958</v>
      </c>
      <c r="F79" s="1782">
        <f>IF(F78&gt;0,F77/F78," Complete Line 78")</f>
        <v>12547.539205672054</v>
      </c>
      <c r="G79" s="869"/>
    </row>
    <row r="80" spans="1:8" s="893" customFormat="1" ht="8.25" customHeight="1" thickTop="1" x14ac:dyDescent="0.2">
      <c r="A80" s="900"/>
      <c r="B80" s="869"/>
      <c r="C80" s="871"/>
      <c r="D80" s="901"/>
      <c r="E80" s="868"/>
      <c r="F80" s="902"/>
      <c r="G80" s="869"/>
    </row>
    <row r="81" spans="1:7" s="893" customFormat="1" ht="12" thickBot="1" x14ac:dyDescent="0.25">
      <c r="A81" s="2270" t="s">
        <v>1105</v>
      </c>
      <c r="B81" s="2271"/>
      <c r="C81" s="2271"/>
      <c r="D81" s="2271"/>
      <c r="E81" s="2271"/>
      <c r="F81" s="227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73181</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46470</v>
      </c>
      <c r="G94" s="912"/>
    </row>
    <row r="95" spans="1:7" x14ac:dyDescent="0.2">
      <c r="A95" s="908" t="s">
        <v>140</v>
      </c>
      <c r="B95" s="908" t="s">
        <v>175</v>
      </c>
      <c r="C95" s="910">
        <v>1700</v>
      </c>
      <c r="D95" s="918" t="str">
        <f>'Revenues 9-14'!A82</f>
        <v>Total District/School Activity Income</v>
      </c>
      <c r="E95" s="906"/>
      <c r="F95" s="1788">
        <f>SUM('Revenues 9-14'!C82,'Revenues 9-14'!D82)</f>
        <v>34117</v>
      </c>
      <c r="G95" s="912"/>
    </row>
    <row r="96" spans="1:7" x14ac:dyDescent="0.2">
      <c r="A96" s="908" t="s">
        <v>459</v>
      </c>
      <c r="B96" s="908" t="s">
        <v>176</v>
      </c>
      <c r="C96" s="910">
        <f>'Revenues 9-14'!B84</f>
        <v>1811</v>
      </c>
      <c r="D96" s="911" t="str">
        <f>'Revenues 9-14'!A84</f>
        <v>Rentals - Regular Textbooks</v>
      </c>
      <c r="E96" s="906"/>
      <c r="F96" s="1788">
        <f>'Revenues 9-14'!C84</f>
        <v>601012</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18325</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1999</v>
      </c>
      <c r="C105" s="913">
        <v>3100</v>
      </c>
      <c r="D105" s="919" t="str">
        <f>'Revenues 9-14'!A132</f>
        <v>Total Special Education</v>
      </c>
      <c r="E105" s="906"/>
      <c r="F105" s="1788">
        <f>SUM('Revenues 9-14'!C132:D132,'Revenues 9-14'!F132)</f>
        <v>348631</v>
      </c>
      <c r="G105" s="912"/>
    </row>
    <row r="106" spans="1:7" x14ac:dyDescent="0.2">
      <c r="A106" s="908" t="s">
        <v>673</v>
      </c>
      <c r="B106" s="908" t="s">
        <v>2000</v>
      </c>
      <c r="C106" s="920">
        <v>3200</v>
      </c>
      <c r="D106" s="911" t="str">
        <f>'Revenues 9-14'!A141</f>
        <v>Total Career and Technical Education</v>
      </c>
      <c r="E106" s="906"/>
      <c r="F106" s="1788">
        <f>SUM('Revenues 9-14'!C141,'Revenues 9-14'!D141,'Revenues 9-14'!G141)</f>
        <v>3431</v>
      </c>
      <c r="G106" s="912"/>
    </row>
    <row r="107" spans="1:7" x14ac:dyDescent="0.2">
      <c r="A107" s="921" t="s">
        <v>664</v>
      </c>
      <c r="B107" s="908" t="s">
        <v>2001</v>
      </c>
      <c r="C107" s="920">
        <v>3300</v>
      </c>
      <c r="D107" s="911" t="str">
        <f>'Revenues 9-14'!A145</f>
        <v>Total Bilingual Ed</v>
      </c>
      <c r="E107" s="906"/>
      <c r="F107" s="1788">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8">
        <f>'Revenues 9-14'!C146</f>
        <v>1531</v>
      </c>
      <c r="G108" s="912"/>
    </row>
    <row r="109" spans="1:7" x14ac:dyDescent="0.2">
      <c r="A109" s="908" t="s">
        <v>673</v>
      </c>
      <c r="B109" s="908" t="s">
        <v>2003</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8">
        <f>SUM('Revenues 9-14'!C148,'Revenues 9-14'!D148)</f>
        <v>0</v>
      </c>
      <c r="G110" s="912"/>
    </row>
    <row r="111" spans="1:7" x14ac:dyDescent="0.2">
      <c r="A111" s="908" t="s">
        <v>668</v>
      </c>
      <c r="B111" s="908" t="s">
        <v>2005</v>
      </c>
      <c r="C111" s="922">
        <v>3500</v>
      </c>
      <c r="D111" s="911" t="str">
        <f>'Revenues 9-14'!A155</f>
        <v>Total Transportation</v>
      </c>
      <c r="E111" s="906"/>
      <c r="F111" s="1788">
        <f>SUM('Revenues 9-14'!C155,'Revenues 9-14'!D155,'Revenues 9-14'!F155,'Revenues 9-14'!G155)</f>
        <v>695802</v>
      </c>
      <c r="G111" s="912"/>
    </row>
    <row r="112" spans="1:7" x14ac:dyDescent="0.2">
      <c r="A112" s="908" t="s">
        <v>459</v>
      </c>
      <c r="B112" s="908" t="s">
        <v>2006</v>
      </c>
      <c r="C112" s="920">
        <f>'Revenues 9-14'!B156</f>
        <v>3610</v>
      </c>
      <c r="D112" s="911" t="str">
        <f>'Revenues 9-14'!A156</f>
        <v>Learning Improvement - Change Grants</v>
      </c>
      <c r="E112" s="906"/>
      <c r="F112" s="1788">
        <f>'Revenues 9-14'!C156</f>
        <v>0</v>
      </c>
      <c r="G112" s="912"/>
    </row>
    <row r="113" spans="1:7" x14ac:dyDescent="0.2">
      <c r="A113" s="908" t="s">
        <v>668</v>
      </c>
      <c r="B113" s="908" t="s">
        <v>2007</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6">
        <f>SUM('Revenues 9-14'!C163:G163)</f>
        <v>0</v>
      </c>
      <c r="G118" s="912"/>
    </row>
    <row r="119" spans="1:7" x14ac:dyDescent="0.2">
      <c r="A119" s="923" t="s">
        <v>504</v>
      </c>
      <c r="B119" s="923" t="s">
        <v>2013</v>
      </c>
      <c r="C119" s="924">
        <f>'Revenues 9-14'!B164</f>
        <v>3815</v>
      </c>
      <c r="D119" s="925" t="str">
        <f>'Revenues 9-14'!A164</f>
        <v>State Charter Schools</v>
      </c>
      <c r="E119" s="906"/>
      <c r="F119" s="1906">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8">
        <f>'Revenues 9-14'!D167</f>
        <v>0</v>
      </c>
      <c r="G120" s="930"/>
    </row>
    <row r="121" spans="1:7" x14ac:dyDescent="0.2">
      <c r="A121" s="927" t="s">
        <v>500</v>
      </c>
      <c r="B121" s="927" t="s">
        <v>2015</v>
      </c>
      <c r="C121" s="928">
        <f>'Revenues 9-14'!B168</f>
        <v>3999</v>
      </c>
      <c r="D121" s="929" t="s">
        <v>543</v>
      </c>
      <c r="E121" s="931"/>
      <c r="F121" s="1788">
        <f>SUM('Revenues 9-14'!C168:G168,'Revenues 9-14'!J168)</f>
        <v>2567</v>
      </c>
      <c r="G121" s="930"/>
    </row>
    <row r="122" spans="1:7" x14ac:dyDescent="0.2">
      <c r="A122" s="927" t="s">
        <v>459</v>
      </c>
      <c r="B122" s="927" t="s">
        <v>2016</v>
      </c>
      <c r="C122" s="932">
        <f>'Revenues 9-14'!B177</f>
        <v>4045</v>
      </c>
      <c r="D122" s="929" t="str">
        <f>'Revenues 9-14'!A177 &amp; " (Subtract)"</f>
        <v>Head Start (Subtract)</v>
      </c>
      <c r="E122" s="906"/>
      <c r="F122" s="1788">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2018</v>
      </c>
      <c r="C124" s="932">
        <v>4100</v>
      </c>
      <c r="D124" s="933" t="str">
        <f>'Revenues 9-14'!A188</f>
        <v>Total Title V</v>
      </c>
      <c r="E124" s="906"/>
      <c r="F124" s="1788">
        <f>SUM('Revenues 9-14'!C188,'Revenues 9-14'!D188,'Revenues 9-14'!F188,'Revenues 9-14'!G188)</f>
        <v>0</v>
      </c>
      <c r="G124" s="930"/>
    </row>
    <row r="125" spans="1:7" x14ac:dyDescent="0.2">
      <c r="A125" s="927" t="s">
        <v>664</v>
      </c>
      <c r="B125" s="927" t="s">
        <v>2019</v>
      </c>
      <c r="C125" s="932">
        <v>4200</v>
      </c>
      <c r="D125" s="929" t="str">
        <f>'Revenues 9-14'!A198</f>
        <v>Total Food Service</v>
      </c>
      <c r="E125" s="906"/>
      <c r="F125" s="1788">
        <f>SUM('Revenues 9-14'!C198,'Revenues 9-14'!G198)</f>
        <v>61160</v>
      </c>
      <c r="G125" s="930"/>
    </row>
    <row r="126" spans="1:7" x14ac:dyDescent="0.2">
      <c r="A126" s="927" t="s">
        <v>668</v>
      </c>
      <c r="B126" s="927" t="s">
        <v>2020</v>
      </c>
      <c r="C126" s="932">
        <v>4300</v>
      </c>
      <c r="D126" s="933" t="str">
        <f>'Revenues 9-14'!A204</f>
        <v>Total Title I</v>
      </c>
      <c r="E126" s="906"/>
      <c r="F126" s="1788">
        <f>SUM('Revenues 9-14'!C204,'Revenues 9-14'!D204,'Revenues 9-14'!F204,'Revenues 9-14'!G204)</f>
        <v>571032</v>
      </c>
      <c r="G126" s="930"/>
    </row>
    <row r="127" spans="1:7" x14ac:dyDescent="0.2">
      <c r="A127" s="927" t="s">
        <v>668</v>
      </c>
      <c r="B127" s="927" t="s">
        <v>2021</v>
      </c>
      <c r="C127" s="932">
        <v>4400</v>
      </c>
      <c r="D127" s="933" t="str">
        <f>'Revenues 9-14'!A209</f>
        <v>Total Title IV</v>
      </c>
      <c r="E127" s="906"/>
      <c r="F127" s="1788">
        <f>SUM('Revenues 9-14'!C209,'Revenues 9-14'!D209,'Revenues 9-14'!F209,'Revenues 9-14'!G209)</f>
        <v>23515</v>
      </c>
      <c r="G127" s="930"/>
    </row>
    <row r="128" spans="1:7" x14ac:dyDescent="0.2">
      <c r="A128" s="927" t="s">
        <v>668</v>
      </c>
      <c r="B128" s="927" t="s">
        <v>2022</v>
      </c>
      <c r="C128" s="932">
        <f>'Revenues 9-14'!B213</f>
        <v>4620</v>
      </c>
      <c r="D128" s="933" t="str">
        <f>'Revenues 9-14'!A213</f>
        <v>Fed - Spec Education - IDEA - Flow Through</v>
      </c>
      <c r="E128" s="906"/>
      <c r="F128" s="1788">
        <f>SUM('Revenues 9-14'!C213:D213,'Revenues 9-14'!F213:G213)</f>
        <v>954772</v>
      </c>
      <c r="G128" s="930"/>
    </row>
    <row r="129" spans="1:7" x14ac:dyDescent="0.2">
      <c r="A129" s="927" t="s">
        <v>668</v>
      </c>
      <c r="B129" s="927" t="s">
        <v>2023</v>
      </c>
      <c r="C129" s="932">
        <f>'Revenues 9-14'!B214</f>
        <v>4625</v>
      </c>
      <c r="D129" s="933" t="str">
        <f>'Revenues 9-14'!A214</f>
        <v>Fed - Spec Education - IDEA - Room &amp; Board</v>
      </c>
      <c r="E129" s="906"/>
      <c r="F129" s="1788">
        <f>SUM('Revenues 9-14'!C214,'Revenues 9-14'!D214,'Revenues 9-14'!F214,'Revenues 9-14'!G214)</f>
        <v>111721</v>
      </c>
      <c r="G129" s="930"/>
    </row>
    <row r="130" spans="1:7" x14ac:dyDescent="0.2">
      <c r="A130" s="927" t="s">
        <v>668</v>
      </c>
      <c r="B130" s="927" t="s">
        <v>2024</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2025</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8">
        <v>0</v>
      </c>
      <c r="G138" s="905"/>
    </row>
    <row r="139" spans="1:7" s="867" customFormat="1" hidden="1" x14ac:dyDescent="0.2">
      <c r="A139" s="934" t="s">
        <v>206</v>
      </c>
      <c r="B139" s="934" t="s">
        <v>2032</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2040</v>
      </c>
      <c r="C157" s="940" t="s">
        <v>841</v>
      </c>
      <c r="D157" s="941" t="s">
        <v>777</v>
      </c>
      <c r="E157" s="942"/>
      <c r="F157" s="1788">
        <f>SUM(F133:F156)</f>
        <v>0</v>
      </c>
      <c r="G157" s="905"/>
    </row>
    <row r="158" spans="1:7" s="867" customFormat="1" x14ac:dyDescent="0.2">
      <c r="A158" s="938" t="s">
        <v>459</v>
      </c>
      <c r="B158" s="939" t="s">
        <v>2041</v>
      </c>
      <c r="C158" s="940" t="s">
        <v>1427</v>
      </c>
      <c r="D158" s="941" t="s">
        <v>1428</v>
      </c>
      <c r="E158" s="942"/>
      <c r="F158" s="1788">
        <f>SUM('Revenues 9-14'!C253)</f>
        <v>0</v>
      </c>
      <c r="G158" s="905"/>
    </row>
    <row r="159" spans="1:7" s="867" customFormat="1" x14ac:dyDescent="0.2">
      <c r="A159" s="938" t="s">
        <v>500</v>
      </c>
      <c r="B159" s="939" t="s">
        <v>2042</v>
      </c>
      <c r="C159" s="940" t="s">
        <v>1466</v>
      </c>
      <c r="D159" s="941" t="s">
        <v>1467</v>
      </c>
      <c r="E159" s="942"/>
      <c r="F159" s="1788">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8">
        <f>SUM('Revenues 9-14'!C256,'Revenues 9-14'!F256,'Revenues 9-14'!G256)</f>
        <v>15275</v>
      </c>
      <c r="G161" s="943"/>
    </row>
    <row r="162" spans="1:7" x14ac:dyDescent="0.2">
      <c r="A162" s="927" t="s">
        <v>668</v>
      </c>
      <c r="B162" s="927" t="s">
        <v>2045</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6">
        <f>SUM('Revenues 9-14'!C259,'Revenues 9-14'!D259,'Revenues 9-14'!F259,'Revenues 9-14'!G259)</f>
        <v>0</v>
      </c>
      <c r="G164" s="930"/>
    </row>
    <row r="165" spans="1:7" x14ac:dyDescent="0.2">
      <c r="A165" s="927" t="s">
        <v>668</v>
      </c>
      <c r="B165" s="927" t="s">
        <v>2048</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8">
        <f>SUM('Revenues 9-14'!C263:D263,'Revenues 9-14'!F263:G263)</f>
        <v>52077</v>
      </c>
      <c r="G168" s="947">
        <v>6320</v>
      </c>
    </row>
    <row r="169" spans="1:7" x14ac:dyDescent="0.2">
      <c r="A169" s="927" t="s">
        <v>668</v>
      </c>
      <c r="B169" s="927" t="s">
        <v>2050</v>
      </c>
      <c r="C169" s="932">
        <f>'Revenues 9-14'!B264</f>
        <v>4992</v>
      </c>
      <c r="D169" s="933" t="str">
        <f>'Revenues 9-14'!A264</f>
        <v>Medicaid Matching Funds - Fee-for-Service Program</v>
      </c>
      <c r="E169" s="906"/>
      <c r="F169" s="1788">
        <f>SUM('Revenues 9-14'!C264:D264,'Revenues 9-14'!F264:G264)</f>
        <v>247208</v>
      </c>
      <c r="G169" s="947"/>
    </row>
    <row r="170" spans="1:7" x14ac:dyDescent="0.2">
      <c r="A170" s="948" t="s">
        <v>668</v>
      </c>
      <c r="B170" s="944" t="s">
        <v>2051</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1916</v>
      </c>
      <c r="C171" s="1919">
        <v>3100</v>
      </c>
      <c r="D171" s="1920" t="s">
        <v>1918</v>
      </c>
      <c r="E171" s="906"/>
      <c r="F171" s="1905">
        <v>1490259</v>
      </c>
      <c r="G171" s="927"/>
    </row>
    <row r="172" spans="1:7" x14ac:dyDescent="0.2">
      <c r="A172" s="1917" t="s">
        <v>664</v>
      </c>
      <c r="B172" s="1918" t="s">
        <v>1916</v>
      </c>
      <c r="C172" s="1919">
        <v>3300</v>
      </c>
      <c r="D172" s="1920" t="s">
        <v>1919</v>
      </c>
      <c r="E172" s="906"/>
      <c r="F172" s="1905">
        <v>13136</v>
      </c>
      <c r="G172" s="927"/>
    </row>
    <row r="173" spans="1:7" ht="6" customHeight="1" x14ac:dyDescent="0.2">
      <c r="A173" s="927"/>
      <c r="B173" s="927"/>
      <c r="C173" s="949"/>
      <c r="D173" s="927"/>
      <c r="E173" s="906"/>
      <c r="F173" s="950"/>
      <c r="G173" s="947"/>
    </row>
    <row r="174" spans="1:7" x14ac:dyDescent="0.2">
      <c r="A174" s="1769"/>
      <c r="B174" s="1783"/>
      <c r="C174" s="1784"/>
      <c r="D174" s="1785" t="s">
        <v>2052</v>
      </c>
      <c r="E174" s="1786" t="s">
        <v>958</v>
      </c>
      <c r="F174" s="1787">
        <f>SUM(F84:F132,F157:F172)</f>
        <v>5365222</v>
      </c>
    </row>
    <row r="175" spans="1:7" ht="12" customHeight="1" x14ac:dyDescent="0.2">
      <c r="A175" s="1769"/>
      <c r="B175" s="1783"/>
      <c r="C175" s="1784"/>
      <c r="D175" s="1785" t="s">
        <v>2053</v>
      </c>
      <c r="E175" s="1786"/>
      <c r="F175" s="1788">
        <f>'PCTC-OEPP 27-28'!F77-F174</f>
        <v>36400517</v>
      </c>
    </row>
    <row r="176" spans="1:7" ht="12" customHeight="1" x14ac:dyDescent="0.2">
      <c r="A176" s="1769"/>
      <c r="B176" s="1783"/>
      <c r="C176" s="1784"/>
      <c r="D176" s="1785" t="s">
        <v>1813</v>
      </c>
      <c r="E176" s="1786"/>
      <c r="F176" s="1788">
        <f>'Cap Outlay Deprec 26'!I18</f>
        <v>3515224</v>
      </c>
    </row>
    <row r="177" spans="1:7" ht="12" customHeight="1" x14ac:dyDescent="0.2">
      <c r="A177" s="1769"/>
      <c r="B177" s="1783"/>
      <c r="C177" s="1784"/>
      <c r="D177" s="1785" t="s">
        <v>2054</v>
      </c>
      <c r="E177" s="1786"/>
      <c r="F177" s="1788">
        <f>F175+F176</f>
        <v>39915741</v>
      </c>
    </row>
    <row r="178" spans="1:7" ht="12" customHeight="1" x14ac:dyDescent="0.2">
      <c r="A178" s="1769"/>
      <c r="B178" s="1789"/>
      <c r="C178" s="1784"/>
      <c r="D178" s="1785" t="str">
        <f>D78</f>
        <v>9 Month ADA from District Average Daily Attendance/Prior General State Aid Inquiry 2018-2019</v>
      </c>
      <c r="E178" s="1786"/>
      <c r="F178" s="1790">
        <f>'PCTC-OEPP 27-28'!F78</f>
        <v>3328.6</v>
      </c>
      <c r="G178" s="930"/>
    </row>
    <row r="179" spans="1:7" ht="12" customHeight="1" thickBot="1" x14ac:dyDescent="0.25">
      <c r="A179" s="1769"/>
      <c r="B179" s="1789"/>
      <c r="C179" s="1784"/>
      <c r="D179" s="1785" t="s">
        <v>2055</v>
      </c>
      <c r="E179" s="1786" t="s">
        <v>1545</v>
      </c>
      <c r="F179" s="1791">
        <f>F177/F178</f>
        <v>11991.750585831882</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1" customFormat="1" ht="12.2" customHeight="1" x14ac:dyDescent="0.2">
      <c r="A182" s="1921" t="s">
        <v>1990</v>
      </c>
      <c r="B182" s="1922"/>
      <c r="C182" s="1923"/>
      <c r="D182" s="1922"/>
      <c r="E182" s="1923"/>
      <c r="F182" s="1922"/>
      <c r="G182" s="1922"/>
    </row>
    <row r="183" spans="1:7" s="1921" customFormat="1" ht="12.2" customHeight="1" x14ac:dyDescent="0.2">
      <c r="A183" s="1924" t="s">
        <v>1992</v>
      </c>
      <c r="C183" s="1923"/>
      <c r="D183" s="1922"/>
      <c r="E183" s="1923"/>
      <c r="F183" s="1922"/>
      <c r="G183" s="1922"/>
    </row>
    <row r="184" spans="1:7" ht="12" customHeight="1" x14ac:dyDescent="0.2">
      <c r="C184" s="949"/>
      <c r="D184" s="930"/>
      <c r="E184" s="949"/>
      <c r="F184" s="930"/>
      <c r="G184" s="930"/>
    </row>
    <row r="185" spans="1:7" x14ac:dyDescent="0.2">
      <c r="A185" s="1925" t="s">
        <v>1921</v>
      </c>
      <c r="B185" s="1926"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9" sqref="A19"/>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1828</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84" t="s">
        <v>1814</v>
      </c>
      <c r="B4" s="2285"/>
      <c r="C4" s="2285"/>
      <c r="D4" s="2285"/>
      <c r="E4" s="2285"/>
      <c r="F4" s="2285"/>
      <c r="G4" s="2286"/>
    </row>
    <row r="5" spans="1:7" x14ac:dyDescent="0.25">
      <c r="A5" s="2287"/>
      <c r="B5" s="2288"/>
      <c r="C5" s="2288"/>
      <c r="D5" s="2288"/>
      <c r="E5" s="2288"/>
      <c r="F5" s="2288"/>
      <c r="G5" s="2289"/>
    </row>
    <row r="6" spans="1:7" ht="18.75" x14ac:dyDescent="0.25">
      <c r="A6" s="1533" t="s">
        <v>1815</v>
      </c>
      <c r="B6" s="1534"/>
      <c r="C6" s="1534"/>
      <c r="D6" s="1534"/>
      <c r="E6" s="1534"/>
      <c r="F6" s="1534"/>
      <c r="G6" s="1535"/>
    </row>
    <row r="7" spans="1:7" ht="30.75" customHeight="1" x14ac:dyDescent="0.25">
      <c r="A7" s="2290" t="s">
        <v>1928</v>
      </c>
      <c r="B7" s="2291"/>
      <c r="C7" s="2291"/>
      <c r="D7" s="2291"/>
      <c r="E7" s="2291"/>
      <c r="F7" s="2291"/>
      <c r="G7" s="2292"/>
    </row>
    <row r="8" spans="1:7" ht="15.75" customHeight="1" x14ac:dyDescent="0.25">
      <c r="A8" s="2293" t="s">
        <v>1903</v>
      </c>
      <c r="B8" s="2294"/>
      <c r="C8" s="2294"/>
      <c r="D8" s="2294"/>
      <c r="E8" s="2294"/>
      <c r="F8" s="2294"/>
      <c r="G8" s="2295"/>
    </row>
    <row r="9" spans="1:7" ht="35.25" customHeight="1" x14ac:dyDescent="0.25">
      <c r="A9" s="2290" t="s">
        <v>1931</v>
      </c>
      <c r="B9" s="2291"/>
      <c r="C9" s="2291"/>
      <c r="D9" s="2291"/>
      <c r="E9" s="2291"/>
      <c r="F9" s="2291"/>
      <c r="G9" s="2292"/>
    </row>
    <row r="10" spans="1:7" ht="15" customHeight="1" x14ac:dyDescent="0.25">
      <c r="A10" s="1536" t="s">
        <v>1816</v>
      </c>
      <c r="B10" s="1537"/>
      <c r="C10" s="1537"/>
      <c r="D10" s="1537"/>
      <c r="E10" s="1537"/>
      <c r="F10" s="1537"/>
      <c r="G10" s="1538"/>
    </row>
    <row r="11" spans="1:7" ht="17.25" customHeight="1" x14ac:dyDescent="0.25">
      <c r="A11" s="2290" t="s">
        <v>1930</v>
      </c>
      <c r="B11" s="2291"/>
      <c r="C11" s="2291"/>
      <c r="D11" s="2291"/>
      <c r="E11" s="2291"/>
      <c r="F11" s="2291"/>
      <c r="G11" s="2292"/>
    </row>
    <row r="12" spans="1:7" ht="15" customHeight="1" x14ac:dyDescent="0.25">
      <c r="A12" s="1536" t="s">
        <v>1821</v>
      </c>
      <c r="B12" s="1537"/>
      <c r="C12" s="1537"/>
      <c r="D12" s="1537"/>
      <c r="E12" s="1537"/>
      <c r="F12" s="1537"/>
      <c r="G12" s="1538"/>
    </row>
    <row r="13" spans="1:7" ht="32.25" customHeight="1" x14ac:dyDescent="0.25">
      <c r="A13" s="2281" t="s">
        <v>1972</v>
      </c>
      <c r="B13" s="2282"/>
      <c r="C13" s="2282"/>
      <c r="D13" s="2282"/>
      <c r="E13" s="2282"/>
      <c r="F13" s="2282"/>
      <c r="G13" s="2283"/>
    </row>
    <row r="14" spans="1:7" x14ac:dyDescent="0.25">
      <c r="A14" s="1660" t="s">
        <v>1829</v>
      </c>
      <c r="B14" s="1661"/>
      <c r="C14" s="1661"/>
      <c r="D14" s="1661"/>
      <c r="E14" s="1661"/>
      <c r="F14" s="1661"/>
      <c r="G14" s="1662"/>
    </row>
    <row r="15" spans="1:7" ht="61.5" customHeight="1" x14ac:dyDescent="0.25">
      <c r="A15" s="1545" t="s">
        <v>1822</v>
      </c>
      <c r="B15" s="1545" t="s">
        <v>1823</v>
      </c>
      <c r="C15" s="1545" t="s">
        <v>1824</v>
      </c>
      <c r="D15" s="1546" t="s">
        <v>1825</v>
      </c>
      <c r="E15" s="1546" t="s">
        <v>1817</v>
      </c>
      <c r="F15" s="1546" t="s">
        <v>1826</v>
      </c>
      <c r="G15" s="1546" t="s">
        <v>1827</v>
      </c>
    </row>
    <row r="16" spans="1:7" x14ac:dyDescent="0.25">
      <c r="A16" s="1647" t="s">
        <v>1830</v>
      </c>
      <c r="B16" s="1648" t="s">
        <v>1820</v>
      </c>
      <c r="C16" s="1649" t="s">
        <v>1818</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54" t="s">
        <v>2162</v>
      </c>
      <c r="B17" s="1952" t="s">
        <v>2156</v>
      </c>
      <c r="C17" s="1953" t="s">
        <v>2157</v>
      </c>
      <c r="D17" s="1843">
        <v>819411</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794411</v>
      </c>
      <c r="H17" s="1646"/>
    </row>
    <row r="18" spans="1:8" x14ac:dyDescent="0.25">
      <c r="A18" s="1954" t="s">
        <v>2163</v>
      </c>
      <c r="B18" s="1952" t="s">
        <v>2158</v>
      </c>
      <c r="C18" s="1953" t="s">
        <v>2159</v>
      </c>
      <c r="D18" s="1843">
        <v>416694</v>
      </c>
      <c r="E18" s="1539">
        <f t="shared" ref="E18:E140" si="2">IF(D18&lt;=25000,D18,IF(D18&gt;25000,25000,0))</f>
        <v>25000</v>
      </c>
      <c r="F18" s="1931">
        <f t="shared" si="1"/>
        <v>25000</v>
      </c>
      <c r="G18" s="1792">
        <f t="shared" ref="G18:G140" si="3">IF(F18=0,0,D18-F18)</f>
        <v>391694</v>
      </c>
    </row>
    <row r="19" spans="1:8" x14ac:dyDescent="0.25">
      <c r="A19" s="1954" t="s">
        <v>2162</v>
      </c>
      <c r="B19" s="1952" t="s">
        <v>2156</v>
      </c>
      <c r="C19" s="1953" t="s">
        <v>2160</v>
      </c>
      <c r="D19" s="1843">
        <v>49711</v>
      </c>
      <c r="E19" s="1539">
        <f t="shared" si="2"/>
        <v>25000</v>
      </c>
      <c r="F19" s="1931">
        <f t="shared" si="1"/>
        <v>25000</v>
      </c>
      <c r="G19" s="1792">
        <f t="shared" si="3"/>
        <v>24711</v>
      </c>
    </row>
    <row r="20" spans="1:8" x14ac:dyDescent="0.25">
      <c r="A20" s="1954" t="s">
        <v>2162</v>
      </c>
      <c r="B20" s="1952" t="s">
        <v>2156</v>
      </c>
      <c r="C20" s="1953" t="s">
        <v>2161</v>
      </c>
      <c r="D20" s="1843">
        <v>27592</v>
      </c>
      <c r="E20" s="1539">
        <f t="shared" si="2"/>
        <v>25000</v>
      </c>
      <c r="F20" s="1931">
        <f t="shared" si="1"/>
        <v>25000</v>
      </c>
      <c r="G20" s="1792">
        <f t="shared" si="3"/>
        <v>2592</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1313408</v>
      </c>
      <c r="E141" s="1540">
        <f t="shared" si="0"/>
        <v>25000</v>
      </c>
      <c r="F141" s="1932">
        <f>SUM(F17:F140)</f>
        <v>100000</v>
      </c>
      <c r="G141" s="1794">
        <f>SUM(G17:G140)</f>
        <v>1213408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6" t="s">
        <v>1679</v>
      </c>
      <c r="B5" s="2297"/>
      <c r="C5" s="2297"/>
      <c r="D5" s="2297"/>
      <c r="E5" s="2297"/>
      <c r="F5" s="2297"/>
      <c r="G5" s="2298"/>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61160</v>
      </c>
      <c r="F10" s="974"/>
      <c r="G10" s="975"/>
      <c r="H10" s="162"/>
      <c r="I10" s="162"/>
    </row>
    <row r="11" spans="1:9" s="668" customFormat="1" ht="22.5" customHeight="1" x14ac:dyDescent="0.2">
      <c r="A11" s="2301" t="s">
        <v>1973</v>
      </c>
      <c r="B11" s="2302"/>
      <c r="C11" s="2302"/>
      <c r="D11" s="2303"/>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26878273</v>
      </c>
      <c r="F19" s="1798"/>
      <c r="G19" s="1800">
        <f>'Expenditures 15-22'!K33-SUM('Expenditures 15-22'!G33,'Expenditures 15-22'!I33)+'Expenditures 15-22'!D229</f>
        <v>26878273</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3651181</v>
      </c>
      <c r="F21" s="1801"/>
      <c r="G21" s="1804">
        <f>'Expenditures 15-22'!K42-SUM('Expenditures 15-22'!G42,'Expenditures 15-22'!I42)+'Expenditures 15-22'!K120-SUM('Expenditures 15-22'!G120,'Expenditures 15-22'!I120)+'Expenditures 15-22'!K180-SUM('Expenditures 15-22'!G180,'Expenditures 15-22'!I180)+'Expenditures 15-22'!D238</f>
        <v>3651181</v>
      </c>
      <c r="H21" s="987"/>
      <c r="I21" s="162"/>
    </row>
    <row r="22" spans="1:9" s="668" customFormat="1" ht="12" customHeight="1" x14ac:dyDescent="0.2">
      <c r="A22" s="994" t="s">
        <v>564</v>
      </c>
      <c r="B22" s="995"/>
      <c r="C22" s="993">
        <v>2200</v>
      </c>
      <c r="D22" s="1801"/>
      <c r="E22" s="1803">
        <f>'Expenditures 15-22'!K47-SUM('Expenditures 15-22'!G47,'Expenditures 15-22'!I47)+'Expenditures 15-22'!D243</f>
        <v>2524893</v>
      </c>
      <c r="F22" s="1801"/>
      <c r="G22" s="1804">
        <f>'Expenditures 15-22'!K47-SUM('Expenditures 15-22'!G47,'Expenditures 15-22'!I47)+'Expenditures 15-22'!D243</f>
        <v>2524893</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1076147</v>
      </c>
      <c r="F23" s="1801"/>
      <c r="G23" s="1803">
        <f>'Expenditures 15-22'!K53-SUM('Expenditures 15-22'!G53,'Expenditures 15-22'!I53)+'Expenditures 15-22'!D257+'Expenditures 15-22'!K330-SUM('Expenditures 15-22'!G330,'Expenditures 15-22'!I330)</f>
        <v>1076147</v>
      </c>
      <c r="H23" s="987"/>
      <c r="I23" s="162"/>
    </row>
    <row r="24" spans="1:9" s="668" customFormat="1" ht="12" customHeight="1" x14ac:dyDescent="0.2">
      <c r="A24" s="994" t="s">
        <v>566</v>
      </c>
      <c r="B24" s="995"/>
      <c r="C24" s="993">
        <v>2400</v>
      </c>
      <c r="D24" s="1801"/>
      <c r="E24" s="1803">
        <f>'Expenditures 15-22'!K57-SUM('Expenditures 15-22'!G57,'Expenditures 15-22'!I57)+'Expenditures 15-22'!D261</f>
        <v>1921777</v>
      </c>
      <c r="F24" s="1801"/>
      <c r="G24" s="1804">
        <f>'Expenditures 15-22'!K57-SUM('Expenditures 15-22'!G57,'Expenditures 15-22'!I57)+'Expenditures 15-22'!D261</f>
        <v>1921777</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507775</v>
      </c>
      <c r="E27" s="1803">
        <f>E8</f>
        <v>0</v>
      </c>
      <c r="F27" s="1803">
        <f>'Expenditures 15-22'!K60-SUM('Expenditures 15-22'!G60,'Expenditures 15-22'!I60)+'Expenditures 15-22'!D264-E8</f>
        <v>507775</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3645178</v>
      </c>
      <c r="F28" s="1805">
        <f>'Expenditures 15-22'!K61-SUM('Expenditures 15-22'!G61,'Expenditures 15-22'!I61)+'Expenditures 15-22'!K124-SUM('Expenditures 15-22'!G124,'Expenditures 15-22'!I124)+'Expenditures 15-22'!D266-E9</f>
        <v>3645178</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1568870</v>
      </c>
      <c r="F29" s="1801"/>
      <c r="G29" s="1804">
        <f>'Expenditures 15-22'!K62-SUM('Expenditures 15-22'!G62,'Expenditures 15-22'!I62)+'Expenditures 15-22'!K125-SUM('Expenditures 15-22'!G125,'Expenditures 15-22'!I125)+'Expenditures 15-22'!K182-SUM('Expenditures 15-22'!G182,'Expenditures 15-22'!I182)+'Expenditures 15-22'!D267</f>
        <v>1568870</v>
      </c>
      <c r="H29" s="985"/>
    </row>
    <row r="30" spans="1:9" ht="12" customHeight="1" x14ac:dyDescent="0.2">
      <c r="A30" s="994" t="s">
        <v>100</v>
      </c>
      <c r="B30" s="997"/>
      <c r="C30" s="993">
        <v>2560</v>
      </c>
      <c r="D30" s="1801"/>
      <c r="E30" s="1803">
        <f>'Expenditures 15-22'!K63-SUM('Expenditures 15-22'!G63,'Expenditures 15-22'!I63)+'Expenditures 15-22'!D268-E10</f>
        <v>64516</v>
      </c>
      <c r="F30" s="1801"/>
      <c r="G30" s="1803">
        <f>'Expenditures 15-22'!K63-SUM('Expenditures 15-22'!G63,'Expenditures 15-22'!I63)+'Expenditures 15-22'!D268-E10</f>
        <v>64516</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7816</v>
      </c>
      <c r="F33" s="1801"/>
      <c r="G33" s="1803">
        <f>'Expenditures 15-22'!K67-SUM('Expenditures 15-22'!G67,'Expenditures 15-22'!I67)+'Expenditures 15-22'!D272</f>
        <v>7816</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1000</v>
      </c>
      <c r="F38" s="1801"/>
      <c r="G38" s="1803">
        <f>'Expenditures 15-22'!K73-SUM('Expenditures 15-22'!G73,'Expenditures 15-22'!I73)+'Expenditures 15-22'!K128-SUM('Expenditures 15-22'!G128,'Expenditures 15-22'!I128)+'Expenditures 15-22'!K183-SUM('Expenditures 15-22'!G183,'Expenditures 15-22'!I183)+'Expenditures 15-22'!D278</f>
        <v>1000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137205</v>
      </c>
      <c r="F39" s="1801"/>
      <c r="G39" s="1803">
        <f>'Expenditures 15-22'!K75-SUM('Expenditures 15-22'!G75,'Expenditures 15-22'!I75)+'Expenditures 15-22'!K130-SUM('Expenditures 15-22'!G130,'Expenditures 15-22'!I130)+'Expenditures 15-22'!K185-SUM('Expenditures 15-22'!G185,'Expenditures 15-22'!I185)+'Expenditures 15-22'!D280</f>
        <v>137205</v>
      </c>
    </row>
    <row r="40" spans="1:7" ht="12" customHeight="1" x14ac:dyDescent="0.2">
      <c r="A40" s="990" t="s">
        <v>1819</v>
      </c>
      <c r="B40" s="991"/>
      <c r="C40" s="993"/>
      <c r="D40" s="1801"/>
      <c r="E40" s="1805">
        <f>-'Contracts Paid in CY 29'!G141</f>
        <v>-1213408</v>
      </c>
      <c r="F40" s="1801"/>
      <c r="G40" s="1805">
        <f>-'Contracts Paid in CY 29'!G141</f>
        <v>-1213408</v>
      </c>
    </row>
    <row r="41" spans="1:7" ht="12" customHeight="1" x14ac:dyDescent="0.2">
      <c r="A41" s="998" t="s">
        <v>156</v>
      </c>
      <c r="B41" s="999"/>
      <c r="C41" s="1000"/>
      <c r="D41" s="1805">
        <f>SUM(D19:D39)</f>
        <v>507775</v>
      </c>
      <c r="E41" s="1805">
        <f>SUM(E19:E40)</f>
        <v>40263448</v>
      </c>
      <c r="F41" s="1805">
        <f>SUM(F19:F39)</f>
        <v>4152953</v>
      </c>
      <c r="G41" s="1805">
        <f>SUM(G19:G40)</f>
        <v>36618270</v>
      </c>
    </row>
    <row r="42" spans="1:7" x14ac:dyDescent="0.2">
      <c r="A42" s="987"/>
      <c r="B42" s="162"/>
      <c r="C42" s="1001"/>
      <c r="D42" s="2299" t="s">
        <v>522</v>
      </c>
      <c r="E42" s="2300"/>
      <c r="F42" s="1002" t="s">
        <v>523</v>
      </c>
      <c r="G42" s="1003"/>
    </row>
    <row r="43" spans="1:7" ht="12" customHeight="1" x14ac:dyDescent="0.2">
      <c r="A43" s="987"/>
      <c r="B43" s="162"/>
      <c r="C43" s="1001"/>
      <c r="D43" s="1806" t="s">
        <v>473</v>
      </c>
      <c r="E43" s="1807">
        <f>D41</f>
        <v>507775</v>
      </c>
      <c r="F43" s="1806" t="s">
        <v>473</v>
      </c>
      <c r="G43" s="1807">
        <f>F41</f>
        <v>4152953</v>
      </c>
    </row>
    <row r="44" spans="1:7" ht="12" customHeight="1" x14ac:dyDescent="0.2">
      <c r="A44" s="987"/>
      <c r="B44" s="162"/>
      <c r="C44" s="1001"/>
      <c r="D44" s="1806" t="s">
        <v>474</v>
      </c>
      <c r="E44" s="1807">
        <f>E41</f>
        <v>40263448</v>
      </c>
      <c r="F44" s="1806" t="s">
        <v>474</v>
      </c>
      <c r="G44" s="1807">
        <f>G41</f>
        <v>36618270</v>
      </c>
    </row>
    <row r="45" spans="1:7" ht="12" customHeight="1" x14ac:dyDescent="0.2">
      <c r="A45" s="987"/>
      <c r="B45" s="162"/>
      <c r="C45" s="162"/>
      <c r="D45" s="1808" t="s">
        <v>1006</v>
      </c>
      <c r="E45" s="1809">
        <f>(E43/E44)</f>
        <v>1.2611314361353255E-2</v>
      </c>
      <c r="F45" s="1808" t="s">
        <v>1006</v>
      </c>
      <c r="G45" s="1809">
        <f>(G43/G44)</f>
        <v>0.11341204813881159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1" activePane="bottomLeft" state="frozen"/>
      <selection activeCell="A47" sqref="A47"/>
      <selection pane="bottomLeft" activeCell="F34" sqref="F34"/>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7" t="s">
        <v>1379</v>
      </c>
      <c r="B1" s="2307"/>
      <c r="C1" s="2307"/>
      <c r="D1" s="2307"/>
      <c r="E1" s="2307"/>
      <c r="F1" s="2307"/>
    </row>
    <row r="2" spans="1:10" x14ac:dyDescent="0.2">
      <c r="A2" s="1886" t="s">
        <v>1908</v>
      </c>
      <c r="B2" s="1847"/>
      <c r="C2" s="1886"/>
      <c r="D2" s="1847"/>
      <c r="E2" s="1847"/>
      <c r="F2" s="1848"/>
    </row>
    <row r="3" spans="1:10" x14ac:dyDescent="0.2">
      <c r="A3" s="1886" t="s">
        <v>1974</v>
      </c>
      <c r="B3" s="1847"/>
      <c r="C3" s="1886"/>
      <c r="D3" s="1847"/>
      <c r="E3" s="1847"/>
      <c r="F3" s="1848"/>
    </row>
    <row r="4" spans="1:10" ht="3.75" customHeight="1" x14ac:dyDescent="0.2">
      <c r="A4" s="1847"/>
      <c r="B4" s="1847"/>
      <c r="C4" s="1847"/>
      <c r="D4" s="1847"/>
      <c r="E4" s="1847"/>
      <c r="F4" s="1848"/>
    </row>
    <row r="5" spans="1:10" ht="15" x14ac:dyDescent="0.25">
      <c r="A5" s="2308" t="s">
        <v>1546</v>
      </c>
      <c r="B5" s="2309"/>
      <c r="C5" s="2310"/>
      <c r="D5" s="2310"/>
      <c r="E5" s="2310"/>
      <c r="F5" s="2310"/>
    </row>
    <row r="6" spans="1:10" ht="12" customHeight="1" x14ac:dyDescent="0.25">
      <c r="A6" s="1849"/>
      <c r="B6" s="1850"/>
      <c r="C6" s="2311" t="str">
        <f>COVER!A17</f>
        <v>KIRBY SD 140</v>
      </c>
      <c r="D6" s="2311"/>
      <c r="E6" s="2311"/>
      <c r="F6" s="1851"/>
    </row>
    <row r="7" spans="1:10" ht="11.25" customHeight="1" thickBot="1" x14ac:dyDescent="0.3">
      <c r="A7" s="1849"/>
      <c r="B7" s="1850"/>
      <c r="C7" s="2312">
        <f>COVER!A13</f>
        <v>7016140002</v>
      </c>
      <c r="D7" s="2312"/>
      <c r="E7" s="2312"/>
      <c r="F7" s="1851"/>
    </row>
    <row r="8" spans="1:10" ht="25.5" customHeight="1" thickBot="1" x14ac:dyDescent="0.25">
      <c r="A8" s="1892" t="s">
        <v>1904</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2117</v>
      </c>
      <c r="D26" s="1864" t="s">
        <v>2117</v>
      </c>
      <c r="E26" s="1867"/>
      <c r="F26" s="1866" t="s">
        <v>2146</v>
      </c>
      <c r="H26" s="1877">
        <f t="shared" si="0"/>
        <v>5</v>
      </c>
      <c r="I26" s="1877">
        <f t="shared" si="1"/>
        <v>5</v>
      </c>
      <c r="J26" s="1877">
        <f t="shared" si="2"/>
        <v>0</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t="s">
        <v>2117</v>
      </c>
      <c r="D33" s="1864" t="s">
        <v>2117</v>
      </c>
      <c r="E33" s="1867"/>
      <c r="F33" s="1866" t="s">
        <v>2147</v>
      </c>
      <c r="H33" s="1877">
        <f t="shared" si="0"/>
        <v>5</v>
      </c>
      <c r="I33" s="1877">
        <f t="shared" si="1"/>
        <v>5</v>
      </c>
      <c r="J33" s="1877">
        <f t="shared" si="2"/>
        <v>0</v>
      </c>
    </row>
    <row r="34" spans="1:11" ht="12" customHeight="1" x14ac:dyDescent="0.25">
      <c r="A34" s="1869"/>
      <c r="B34" s="1869"/>
      <c r="C34" s="1869"/>
      <c r="D34" s="1869"/>
      <c r="E34" s="1869"/>
      <c r="F34" s="1869"/>
      <c r="H34" s="1877">
        <f>SUM(H11:H32)</f>
        <v>5</v>
      </c>
      <c r="I34" s="1877">
        <f>SUM(I11:I32)</f>
        <v>5</v>
      </c>
      <c r="J34" s="1877">
        <f>SUM(J11:J32)</f>
        <v>0</v>
      </c>
      <c r="K34" s="1877">
        <f>SUM(H34:J34)</f>
        <v>10</v>
      </c>
    </row>
    <row r="35" spans="1:11" ht="12" customHeight="1" x14ac:dyDescent="0.2">
      <c r="A35" s="1870" t="s">
        <v>1392</v>
      </c>
      <c r="B35" s="1871"/>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872"/>
      <c r="B39" s="1872"/>
      <c r="C39" s="1872"/>
      <c r="D39" s="1872"/>
      <c r="E39" s="1872"/>
      <c r="F39" s="1872"/>
    </row>
    <row r="40" spans="1:11" s="1869" customFormat="1" ht="12" customHeight="1" x14ac:dyDescent="0.25">
      <c r="A40" s="1873" t="s">
        <v>1391</v>
      </c>
      <c r="B40" s="1874"/>
      <c r="C40" s="2321"/>
      <c r="D40" s="2321"/>
      <c r="E40" s="2321"/>
      <c r="F40" s="2322"/>
      <c r="H40" s="1878"/>
      <c r="I40" s="1878"/>
      <c r="J40" s="1878"/>
      <c r="K40" s="1878"/>
    </row>
    <row r="41" spans="1:11" s="1869" customFormat="1" ht="12" customHeight="1" x14ac:dyDescent="0.25">
      <c r="A41" s="2323"/>
      <c r="B41" s="2324"/>
      <c r="C41" s="2324"/>
      <c r="D41" s="2324"/>
      <c r="E41" s="2324"/>
      <c r="F41" s="2325"/>
      <c r="H41" s="1878"/>
      <c r="I41" s="1878"/>
      <c r="J41" s="1878"/>
      <c r="K41" s="1878"/>
    </row>
    <row r="42" spans="1:11" s="1869" customFormat="1" ht="12" customHeight="1" x14ac:dyDescent="0.25">
      <c r="A42" s="2323"/>
      <c r="B42" s="2324"/>
      <c r="C42" s="2324"/>
      <c r="D42" s="2324"/>
      <c r="E42" s="2324"/>
      <c r="F42" s="2325"/>
      <c r="H42" s="1878"/>
      <c r="I42" s="1878"/>
      <c r="J42" s="1878"/>
      <c r="K42" s="1878"/>
    </row>
    <row r="43" spans="1:11" s="1869" customFormat="1" ht="15" x14ac:dyDescent="0.25">
      <c r="A43" s="2315"/>
      <c r="B43" s="2316"/>
      <c r="C43" s="2316"/>
      <c r="D43" s="2316"/>
      <c r="E43" s="2316"/>
      <c r="F43" s="2317"/>
      <c r="H43" s="1878"/>
      <c r="I43" s="1878"/>
      <c r="J43" s="1878"/>
      <c r="K43" s="1878"/>
    </row>
    <row r="44" spans="1:11" s="1869" customFormat="1" ht="12" hidden="1" customHeight="1" x14ac:dyDescent="0.25">
      <c r="A44" s="2315"/>
      <c r="B44" s="2316"/>
      <c r="C44" s="2316"/>
      <c r="D44" s="2316"/>
      <c r="E44" s="2316"/>
      <c r="F44" s="2317"/>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31" t="str">
        <f>COVER!A17</f>
        <v>KIRBY SD 140</v>
      </c>
      <c r="J6" s="2332"/>
      <c r="Q6" s="1663"/>
    </row>
    <row r="7" spans="1:17" x14ac:dyDescent="0.2">
      <c r="A7" s="2333" t="s">
        <v>869</v>
      </c>
      <c r="B7" s="2334"/>
      <c r="C7" s="2334"/>
      <c r="D7" s="2334"/>
      <c r="E7" s="2335"/>
      <c r="F7" s="1017"/>
      <c r="G7" s="1009"/>
      <c r="H7" s="1016" t="s">
        <v>372</v>
      </c>
      <c r="I7" s="2336">
        <f>COVER!A13</f>
        <v>7016140002</v>
      </c>
      <c r="J7" s="2336"/>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1975</v>
      </c>
      <c r="F9" s="1023"/>
      <c r="G9" s="1023"/>
      <c r="H9" s="1895"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7" t="s">
        <v>481</v>
      </c>
      <c r="B11" s="2338"/>
      <c r="C11" s="233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353130</v>
      </c>
      <c r="F12" s="1039"/>
      <c r="G12" s="1810">
        <f t="shared" ref="G12:G18" si="0">SUM(E12:F12)</f>
        <v>353130</v>
      </c>
      <c r="H12" s="1040">
        <v>316100</v>
      </c>
      <c r="I12" s="1039"/>
      <c r="J12" s="1810">
        <f t="shared" ref="J12:J18" si="1">SUM(H12:I12)</f>
        <v>316100</v>
      </c>
    </row>
    <row r="13" spans="1:17" ht="15" customHeight="1" x14ac:dyDescent="0.2">
      <c r="A13" s="1035">
        <v>2</v>
      </c>
      <c r="B13" s="1036" t="s">
        <v>42</v>
      </c>
      <c r="C13" s="1037"/>
      <c r="D13" s="1038">
        <v>2330</v>
      </c>
      <c r="E13" s="1810">
        <f>'Expenditures 15-22'!K51</f>
        <v>506658</v>
      </c>
      <c r="F13" s="1039"/>
      <c r="G13" s="1810">
        <f t="shared" si="0"/>
        <v>506658</v>
      </c>
      <c r="H13" s="1040">
        <v>506514</v>
      </c>
      <c r="I13" s="1039"/>
      <c r="J13" s="1810">
        <f t="shared" si="1"/>
        <v>506514</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7816</v>
      </c>
      <c r="F17" s="1039"/>
      <c r="G17" s="1810">
        <f t="shared" si="0"/>
        <v>7816</v>
      </c>
      <c r="H17" s="1040">
        <v>13000</v>
      </c>
      <c r="I17" s="1039"/>
      <c r="J17" s="1810">
        <f t="shared" si="1"/>
        <v>13000</v>
      </c>
    </row>
    <row r="18" spans="1:10" ht="22.5" customHeight="1" x14ac:dyDescent="0.2">
      <c r="A18" s="1042">
        <v>7</v>
      </c>
      <c r="B18" s="2340" t="s">
        <v>7</v>
      </c>
      <c r="C18" s="2341"/>
      <c r="D18" s="2342"/>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867604</v>
      </c>
      <c r="F19" s="1812">
        <f t="shared" si="2"/>
        <v>0</v>
      </c>
      <c r="G19" s="1812">
        <f t="shared" si="2"/>
        <v>867604</v>
      </c>
      <c r="H19" s="1812">
        <f t="shared" si="2"/>
        <v>835614</v>
      </c>
      <c r="I19" s="1812">
        <f t="shared" si="2"/>
        <v>0</v>
      </c>
      <c r="J19" s="1812">
        <f t="shared" si="2"/>
        <v>835614</v>
      </c>
    </row>
    <row r="20" spans="1:10" ht="13.5" thickTop="1" x14ac:dyDescent="0.2">
      <c r="A20" s="1035">
        <v>9</v>
      </c>
      <c r="B20" s="2343" t="s">
        <v>1977</v>
      </c>
      <c r="C20" s="2343"/>
      <c r="D20" s="2344"/>
      <c r="E20" s="1046"/>
      <c r="F20" s="1046"/>
      <c r="G20" s="1046"/>
      <c r="H20" s="1046"/>
      <c r="I20" s="1046"/>
      <c r="J20" s="1813">
        <f>IF(AND(G19&gt;0,J19&gt;0),(((J19-G19)/G19)),"Enter Budget Data")</f>
        <v>-3.6871660342737006E-2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49"/>
      <c r="D26" s="2349"/>
      <c r="E26" s="1050"/>
      <c r="F26" s="2348"/>
      <c r="G26" s="2348"/>
    </row>
    <row r="27" spans="1:10" x14ac:dyDescent="0.2">
      <c r="B27" s="1047"/>
      <c r="C27" s="1051" t="s">
        <v>1033</v>
      </c>
      <c r="D27" s="1052"/>
      <c r="E27" s="1053"/>
      <c r="F27" s="2345" t="s">
        <v>1509</v>
      </c>
      <c r="G27" s="2345"/>
    </row>
    <row r="28" spans="1:10" ht="28.5" customHeight="1" x14ac:dyDescent="0.2">
      <c r="B28" s="1047"/>
      <c r="C28" s="2347"/>
      <c r="D28" s="2347"/>
      <c r="E28" s="1054"/>
      <c r="F28" s="2347"/>
      <c r="G28" s="2347"/>
    </row>
    <row r="29" spans="1:10" x14ac:dyDescent="0.2">
      <c r="B29" s="1047"/>
      <c r="C29" s="1055" t="s">
        <v>1561</v>
      </c>
      <c r="E29" s="1056"/>
      <c r="F29" s="2346" t="s">
        <v>1510</v>
      </c>
      <c r="G29" s="234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8" t="s">
        <v>132</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2"/>
    </row>
    <row r="36" spans="1:10" ht="13.5" customHeight="1" x14ac:dyDescent="0.2">
      <c r="B36" s="1061"/>
      <c r="C36" s="2330" t="s">
        <v>1979</v>
      </c>
      <c r="D36" s="2329"/>
      <c r="E36" s="2329"/>
      <c r="F36" s="2329"/>
      <c r="G36" s="2329"/>
      <c r="H36" s="2329"/>
      <c r="I36" s="2329"/>
      <c r="J36" s="1063"/>
    </row>
    <row r="37" spans="1:10" ht="22.5" customHeight="1" x14ac:dyDescent="0.2">
      <c r="C37" s="2329"/>
      <c r="D37" s="2329"/>
      <c r="E37" s="2329"/>
      <c r="F37" s="2329"/>
      <c r="G37" s="2329"/>
      <c r="H37" s="2329"/>
      <c r="I37" s="2329"/>
      <c r="J37" s="1063"/>
    </row>
    <row r="38" spans="1:10" ht="7.5" customHeight="1" x14ac:dyDescent="0.2">
      <c r="C38" s="1062"/>
      <c r="D38" s="1064"/>
      <c r="E38" s="1065"/>
      <c r="F38" s="1066"/>
      <c r="G38" s="1065"/>
    </row>
    <row r="39" spans="1:10" ht="13.5" customHeight="1" x14ac:dyDescent="0.2">
      <c r="B39" s="1061"/>
      <c r="C39" s="2326" t="s">
        <v>882</v>
      </c>
      <c r="D39" s="2327"/>
      <c r="E39" s="2327"/>
      <c r="F39" s="2327"/>
      <c r="G39" s="2327"/>
      <c r="H39" s="2327"/>
      <c r="I39" s="232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4" sqref="B1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947">
        <v>1</v>
      </c>
      <c r="B5" s="1946" t="s">
        <v>2148</v>
      </c>
    </row>
    <row r="6" spans="1:2" x14ac:dyDescent="0.2">
      <c r="A6" s="1947">
        <v>2</v>
      </c>
      <c r="B6" s="1949" t="s">
        <v>2149</v>
      </c>
    </row>
    <row r="7" spans="1:2" x14ac:dyDescent="0.2">
      <c r="A7" s="1947">
        <v>3</v>
      </c>
      <c r="B7" s="1946" t="s">
        <v>2154</v>
      </c>
    </row>
    <row r="8" spans="1:2" x14ac:dyDescent="0.2">
      <c r="A8" s="1947">
        <v>4</v>
      </c>
      <c r="B8" s="1948" t="s">
        <v>2155</v>
      </c>
    </row>
    <row r="9" spans="1:2" x14ac:dyDescent="0.2">
      <c r="A9" s="1947">
        <v>6</v>
      </c>
      <c r="B9" s="1948" t="s">
        <v>2150</v>
      </c>
    </row>
    <row r="10" spans="1:2" x14ac:dyDescent="0.2">
      <c r="A10" s="1947">
        <v>7</v>
      </c>
      <c r="B10" s="1950" t="s">
        <v>2151</v>
      </c>
    </row>
    <row r="11" spans="1:2" x14ac:dyDescent="0.2">
      <c r="A11" s="1947">
        <v>8</v>
      </c>
      <c r="B11" s="1950" t="s">
        <v>2152</v>
      </c>
    </row>
    <row r="12" spans="1:2" x14ac:dyDescent="0.2">
      <c r="A12" s="1947">
        <v>9</v>
      </c>
      <c r="B12" s="1946" t="s">
        <v>2153</v>
      </c>
    </row>
    <row r="13" spans="1:2" x14ac:dyDescent="0.2">
      <c r="A13" s="1947">
        <v>10</v>
      </c>
    </row>
    <row r="14" spans="1:2" s="1946" customFormat="1" x14ac:dyDescent="0.2">
      <c r="A14" s="1947">
        <v>11</v>
      </c>
    </row>
    <row r="15" spans="1:2" x14ac:dyDescent="0.2">
      <c r="A15" s="1947"/>
      <c r="B15" s="1949"/>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KIRBY SD 140</v>
      </c>
    </row>
    <row r="65" spans="2:2" x14ac:dyDescent="0.2">
      <c r="B65" s="1069">
        <f>COVER!A13</f>
        <v>7016140002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5" t="s">
        <v>1611</v>
      </c>
    </row>
    <row r="23" spans="1:5" x14ac:dyDescent="0.2">
      <c r="A23" s="168"/>
      <c r="B23" s="162" t="s">
        <v>1853</v>
      </c>
      <c r="D23" s="167" t="s">
        <v>637</v>
      </c>
      <c r="E23" s="1835"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7" t="s">
        <v>1065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691</v>
      </c>
      <c r="B40" s="2064"/>
      <c r="C40" s="2064"/>
      <c r="D40" s="2064"/>
      <c r="E40" s="2064"/>
    </row>
    <row r="41" spans="1:5" x14ac:dyDescent="0.2">
      <c r="A41" s="2065" t="s">
        <v>1608</v>
      </c>
      <c r="B41" s="2065"/>
      <c r="C41" s="2065"/>
      <c r="D41" s="2065"/>
      <c r="E41" s="2065"/>
    </row>
    <row r="42" spans="1:5" ht="12.75" customHeight="1" x14ac:dyDescent="0.2">
      <c r="A42" s="2066" t="s">
        <v>1022</v>
      </c>
      <c r="B42" s="2066"/>
      <c r="C42" s="2066"/>
      <c r="D42" s="2066"/>
      <c r="E42" s="2066"/>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4" t="s">
        <v>1772</v>
      </c>
    </row>
    <row r="60" spans="1:3" x14ac:dyDescent="0.2">
      <c r="A60" s="196"/>
      <c r="B60" s="1484" t="s">
        <v>1773</v>
      </c>
    </row>
    <row r="61" spans="1:3" ht="6" customHeight="1" x14ac:dyDescent="0.2">
      <c r="A61" s="197"/>
      <c r="B61" s="189"/>
    </row>
    <row r="62" spans="1:3" x14ac:dyDescent="0.2">
      <c r="A62" s="169" t="s">
        <v>1616</v>
      </c>
      <c r="B62" s="198" t="s">
        <v>1769</v>
      </c>
    </row>
    <row r="63" spans="1:3" x14ac:dyDescent="0.2">
      <c r="A63" s="188"/>
      <c r="B63" s="169" t="s">
        <v>1784</v>
      </c>
    </row>
    <row r="64" spans="1:3" x14ac:dyDescent="0.2">
      <c r="A64" s="195"/>
      <c r="B64" s="1486"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5" t="s">
        <v>1619</v>
      </c>
    </row>
    <row r="72" spans="1:9" ht="9" customHeight="1" x14ac:dyDescent="0.2">
      <c r="A72" s="192"/>
      <c r="B72" s="199"/>
    </row>
    <row r="73" spans="1:9" x14ac:dyDescent="0.2">
      <c r="A73" s="189" t="s">
        <v>1620</v>
      </c>
      <c r="B73" s="169" t="s">
        <v>1780</v>
      </c>
    </row>
    <row r="74" spans="1:9" x14ac:dyDescent="0.2">
      <c r="A74" s="189"/>
      <c r="B74" s="169" t="s">
        <v>1779</v>
      </c>
    </row>
    <row r="75" spans="1:9" ht="8.25" customHeight="1" x14ac:dyDescent="0.2">
      <c r="A75" s="189"/>
      <c r="B75" s="189"/>
    </row>
    <row r="76" spans="1:9" ht="12.2" customHeight="1" x14ac:dyDescent="0.2">
      <c r="A76" s="189" t="s">
        <v>1621</v>
      </c>
      <c r="B76" s="198" t="s">
        <v>1781</v>
      </c>
    </row>
    <row r="77" spans="1:9" ht="12.2" customHeight="1" x14ac:dyDescent="0.2">
      <c r="A77" s="190"/>
      <c r="B77" s="169" t="s">
        <v>1622</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50" t="s">
        <v>1685</v>
      </c>
      <c r="B18" s="235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7" dvAspect="DVASPECT_ICON" shapeId="36865" r:id="rId4">
          <objectPr defaultSize="0" r:id="rId5">
            <anchor moveWithCells="1">
              <from>
                <xdr:col>1</xdr:col>
                <xdr:colOff>409575</xdr:colOff>
                <xdr:row>3</xdr:row>
                <xdr:rowOff>38100</xdr:rowOff>
              </from>
              <to>
                <xdr:col>1</xdr:col>
                <xdr:colOff>1323975</xdr:colOff>
                <xdr:row>7</xdr:row>
                <xdr:rowOff>76200</xdr:rowOff>
              </to>
            </anchor>
          </objectPr>
        </oleObject>
      </mc:Choice>
      <mc:Fallback>
        <oleObject progId="Acrobat.Document.2017"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G12" sqref="G1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1690</v>
      </c>
      <c r="B1" s="2352"/>
      <c r="C1" s="2352"/>
      <c r="D1" s="2352"/>
      <c r="E1" s="2352"/>
      <c r="F1" s="2353"/>
    </row>
    <row r="2" spans="1:8" ht="45" customHeight="1" x14ac:dyDescent="0.2">
      <c r="A2" s="2361" t="s">
        <v>1983</v>
      </c>
      <c r="B2" s="2362"/>
      <c r="C2" s="2362"/>
      <c r="D2" s="2362"/>
      <c r="E2" s="2362"/>
      <c r="F2" s="2363"/>
      <c r="G2" s="1073"/>
      <c r="H2" s="1073"/>
    </row>
    <row r="3" spans="1:8" ht="57" customHeight="1" x14ac:dyDescent="0.2">
      <c r="A3" s="2364" t="s">
        <v>1686</v>
      </c>
      <c r="B3" s="2365"/>
      <c r="C3" s="2365"/>
      <c r="D3" s="2365"/>
      <c r="E3" s="2365"/>
      <c r="F3" s="2366"/>
      <c r="G3" s="1073"/>
      <c r="H3" s="1073"/>
    </row>
    <row r="4" spans="1:8" ht="14.25" customHeight="1" x14ac:dyDescent="0.2">
      <c r="A4" s="2370" t="s">
        <v>1984</v>
      </c>
      <c r="B4" s="2371"/>
      <c r="C4" s="2371"/>
      <c r="D4" s="2371"/>
      <c r="E4" s="2371"/>
      <c r="F4" s="2372"/>
      <c r="G4" s="1073"/>
      <c r="H4" s="1073"/>
    </row>
    <row r="5" spans="1:8" ht="14.25" customHeight="1" x14ac:dyDescent="0.2">
      <c r="A5" s="2373" t="s">
        <v>1980</v>
      </c>
      <c r="B5" s="2374"/>
      <c r="C5" s="2374"/>
      <c r="D5" s="2374"/>
      <c r="E5" s="2374"/>
      <c r="F5" s="2375"/>
      <c r="G5" s="1073"/>
      <c r="H5" s="1073"/>
    </row>
    <row r="6" spans="1:8" s="1074" customFormat="1" ht="41.25" customHeight="1" x14ac:dyDescent="0.2">
      <c r="A6" s="2367" t="s">
        <v>1691</v>
      </c>
      <c r="B6" s="2368"/>
      <c r="C6" s="2368"/>
      <c r="D6" s="2368"/>
      <c r="E6" s="2368"/>
      <c r="F6" s="2369"/>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41108701</v>
      </c>
      <c r="C8" s="1814">
        <f>'Acct Summary 7-8'!D8</f>
        <v>6177103</v>
      </c>
      <c r="D8" s="1814">
        <f>'Acct Summary 7-8'!F8</f>
        <v>1556670</v>
      </c>
      <c r="E8" s="1814">
        <f>'Acct Summary 7-8'!I8</f>
        <v>361292</v>
      </c>
      <c r="F8" s="1814">
        <f>SUM(B8:E8)</f>
        <v>49203766</v>
      </c>
    </row>
    <row r="9" spans="1:8" s="1078" customFormat="1" ht="14.25" customHeight="1" thickBot="1" x14ac:dyDescent="0.25">
      <c r="A9" s="1077" t="s">
        <v>1369</v>
      </c>
      <c r="B9" s="1815">
        <f>'Acct Summary 7-8'!C17</f>
        <v>37589084</v>
      </c>
      <c r="C9" s="1815">
        <f>'Acct Summary 7-8'!D17</f>
        <v>7343123</v>
      </c>
      <c r="D9" s="1815">
        <f>'Acct Summary 7-8'!F17</f>
        <v>1786368</v>
      </c>
      <c r="E9" s="1814"/>
      <c r="F9" s="1814">
        <f>SUM(B9:E9)</f>
        <v>46718575</v>
      </c>
    </row>
    <row r="10" spans="1:8" s="1078" customFormat="1" ht="14.25" thickTop="1" thickBot="1" x14ac:dyDescent="0.25">
      <c r="A10" s="1079" t="s">
        <v>1370</v>
      </c>
      <c r="B10" s="1816">
        <f>(B8-B9)</f>
        <v>3519617</v>
      </c>
      <c r="C10" s="1816">
        <f>(C8-C9)</f>
        <v>-1166020</v>
      </c>
      <c r="D10" s="1816">
        <f>(D8-D9)</f>
        <v>-229698</v>
      </c>
      <c r="E10" s="1815">
        <f>(E8-E9)</f>
        <v>361292</v>
      </c>
      <c r="F10" s="1817">
        <f>SUM(F8-F9)</f>
        <v>2485191</v>
      </c>
    </row>
    <row r="11" spans="1:8" s="1078" customFormat="1" ht="14.25" thickTop="1" thickBot="1" x14ac:dyDescent="0.25">
      <c r="A11" s="1080" t="s">
        <v>1981</v>
      </c>
      <c r="B11" s="1818">
        <f>'Acct Summary 7-8'!C81</f>
        <v>38820462</v>
      </c>
      <c r="C11" s="1818">
        <f>'Acct Summary 7-8'!D81</f>
        <v>3252816</v>
      </c>
      <c r="D11" s="1818">
        <f>'Acct Summary 7-8'!F81</f>
        <v>606209</v>
      </c>
      <c r="E11" s="1818">
        <f>'Acct Summary 7-8'!I81</f>
        <v>4010048</v>
      </c>
      <c r="F11" s="1819">
        <f>SUM(B11:E11)</f>
        <v>46689535</v>
      </c>
    </row>
    <row r="12" spans="1:8" ht="16.5" customHeight="1" thickTop="1" x14ac:dyDescent="0.2">
      <c r="A12" s="1081"/>
      <c r="B12" s="1082"/>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3"/>
      <c r="B13" s="1084"/>
      <c r="C13" s="2355"/>
      <c r="D13" s="2356"/>
      <c r="E13" s="2356"/>
      <c r="F13" s="2357"/>
      <c r="H13" s="1073"/>
    </row>
    <row r="14" spans="1:8" ht="19.5" customHeight="1" x14ac:dyDescent="0.2">
      <c r="A14" s="1083"/>
      <c r="B14" s="1084"/>
      <c r="C14" s="2355"/>
      <c r="D14" s="2356"/>
      <c r="E14" s="2356"/>
      <c r="F14" s="2357"/>
      <c r="H14" s="1073"/>
    </row>
    <row r="15" spans="1:8" ht="17.25" customHeight="1" x14ac:dyDescent="0.2">
      <c r="A15" s="1083"/>
      <c r="B15" s="1084"/>
      <c r="C15" s="2358"/>
      <c r="D15" s="2359"/>
      <c r="E15" s="2359"/>
      <c r="F15" s="2360"/>
      <c r="H15" s="1073"/>
    </row>
    <row r="16" spans="1:8" s="310" customFormat="1" ht="51.75" hidden="1" customHeight="1" x14ac:dyDescent="0.2">
      <c r="A16" s="2354" t="s">
        <v>1687</v>
      </c>
      <c r="B16" s="2354"/>
      <c r="C16" s="2354"/>
      <c r="D16" s="2354"/>
      <c r="E16" s="2354"/>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6" colorId="8" zoomScale="110" zoomScaleNormal="110" workbookViewId="0">
      <selection activeCell="D31" sqref="D31"/>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76" t="s">
        <v>665</v>
      </c>
      <c r="B3" s="2377"/>
      <c r="C3" s="2377"/>
      <c r="D3" s="2378"/>
    </row>
    <row r="4" spans="1:4" x14ac:dyDescent="0.2">
      <c r="A4" s="1151" t="s">
        <v>1692</v>
      </c>
      <c r="B4" s="1152"/>
      <c r="C4" s="1153"/>
      <c r="D4" s="1154"/>
    </row>
    <row r="5" spans="1:4" ht="21" customHeight="1" x14ac:dyDescent="0.2">
      <c r="A5" s="1147"/>
      <c r="B5" s="1148">
        <v>1</v>
      </c>
      <c r="C5" s="1149" t="s">
        <v>1831</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87" t="s">
        <v>1504</v>
      </c>
      <c r="D7" s="2388"/>
    </row>
    <row r="8" spans="1:4" s="668" customFormat="1" ht="12.75" x14ac:dyDescent="0.2">
      <c r="A8" s="1137"/>
      <c r="B8" s="1092"/>
      <c r="C8" s="1095" t="s">
        <v>1503</v>
      </c>
      <c r="D8" s="1096"/>
    </row>
    <row r="9" spans="1:4" s="668" customFormat="1" ht="14.25" customHeight="1" x14ac:dyDescent="0.2">
      <c r="A9" s="1137"/>
      <c r="B9" s="1092">
        <f>B7+1</f>
        <v>4</v>
      </c>
      <c r="C9" s="1093" t="s">
        <v>1909</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79" t="s">
        <v>1008</v>
      </c>
      <c r="B15" s="2380"/>
      <c r="C15" s="2380"/>
      <c r="D15" s="2381"/>
    </row>
    <row r="16" spans="1:4" s="668" customFormat="1" ht="24" customHeight="1" x14ac:dyDescent="0.2">
      <c r="A16" s="2382" t="s">
        <v>663</v>
      </c>
      <c r="B16" s="2383"/>
      <c r="C16" s="2383"/>
      <c r="D16" s="2384"/>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91" t="s">
        <v>314</v>
      </c>
      <c r="D21" s="2392"/>
    </row>
    <row r="22" spans="1:10" ht="12.75" x14ac:dyDescent="0.2">
      <c r="A22" s="1138"/>
      <c r="B22" s="1139">
        <v>2</v>
      </c>
      <c r="C22" s="2389" t="s">
        <v>1524</v>
      </c>
      <c r="D22" s="2390"/>
    </row>
    <row r="23" spans="1:10" ht="12.2" customHeight="1" x14ac:dyDescent="0.2">
      <c r="A23" s="1138"/>
      <c r="B23" s="1139"/>
      <c r="C23" s="1140" t="s">
        <v>954</v>
      </c>
      <c r="D23" s="1141" t="str">
        <f>IF(COVER!O11="X","CASH",IF(COVER!O12="X","ACCRUAL ","PLEASE CHECK AN ACCOUNTING BASIS."))</f>
        <v xml:space="preserve">ACCRUAL </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93" t="s">
        <v>536</v>
      </c>
      <c r="D43" s="2394"/>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85" t="s">
        <v>784</v>
      </c>
      <c r="D56" s="2386"/>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1910</v>
      </c>
      <c r="D66" s="1124"/>
    </row>
    <row r="67" spans="1:4" x14ac:dyDescent="0.2">
      <c r="A67" s="1118"/>
      <c r="B67" s="1139"/>
      <c r="C67" s="1146" t="s">
        <v>1021</v>
      </c>
      <c r="D67" s="1124"/>
    </row>
    <row r="68" spans="1:4" x14ac:dyDescent="0.2">
      <c r="A68" s="1099"/>
      <c r="B68" s="1109"/>
      <c r="C68" s="1101" t="s">
        <v>1911</v>
      </c>
      <c r="D68" s="1123" t="str">
        <f>IF('Short-Term Long-Term Debt 24'!F49=SUM(,'Acct Summary 7-8'!C33:K33),"OK","ERROR!")</f>
        <v>OK</v>
      </c>
    </row>
    <row r="69" spans="1:4" x14ac:dyDescent="0.2">
      <c r="A69" s="1099"/>
      <c r="B69" s="1109"/>
      <c r="C69" s="1101" t="s">
        <v>1912</v>
      </c>
      <c r="D69" s="1123" t="str">
        <f>IF('Expenditures 15-22'!H170&lt;&gt;'Short-Term Long-Term Debt 24'!H49,"ERROR!","OK")</f>
        <v>OK</v>
      </c>
    </row>
    <row r="70" spans="1:4" x14ac:dyDescent="0.2">
      <c r="A70" s="1097"/>
      <c r="B70" s="1119">
        <f>B66+1</f>
        <v>9</v>
      </c>
      <c r="C70" s="2385" t="s">
        <v>1696</v>
      </c>
      <c r="D70" s="2386"/>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1913</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1914</v>
      </c>
      <c r="D78" s="1123" t="str">
        <f>IF(ISNUMBER('Acct Summary 7-8'!C9),"OK","ENTRY IS REQUIRED!")</f>
        <v>OK</v>
      </c>
    </row>
    <row r="79" spans="1:4" x14ac:dyDescent="0.2">
      <c r="A79" s="1118"/>
      <c r="B79" s="1119">
        <f>B74+1+1</f>
        <v>12</v>
      </c>
      <c r="C79" s="1129" t="s">
        <v>1899</v>
      </c>
      <c r="D79" s="1130" t="str">
        <f>IF(OR(COVER!$B$6="X",'PCTC-OEPP 27-28'!F78&gt;0),"OK","PLEASE ENTER 9 MO ADA.")</f>
        <v>OK</v>
      </c>
    </row>
    <row r="80" spans="1:4" x14ac:dyDescent="0.2">
      <c r="A80" s="1097"/>
      <c r="B80" s="1119">
        <v>13</v>
      </c>
      <c r="C80" s="1129" t="s">
        <v>1915</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7016140002</v>
      </c>
    </row>
    <row r="3" spans="1:2" x14ac:dyDescent="0.2">
      <c r="A3" t="s">
        <v>956</v>
      </c>
      <c r="B3" s="138" t="str">
        <f>COVER!A15</f>
        <v>COOK</v>
      </c>
    </row>
    <row r="4" spans="1:2" x14ac:dyDescent="0.2">
      <c r="A4" t="s">
        <v>1007</v>
      </c>
      <c r="B4" s="138" t="str">
        <f>COVER!A17</f>
        <v>KIRBY SD 140</v>
      </c>
    </row>
    <row r="5" spans="1:2" x14ac:dyDescent="0.2">
      <c r="A5" t="s">
        <v>704</v>
      </c>
      <c r="B5" s="138" t="str">
        <f>COVER!A38</f>
        <v>JULIA MIKULICH</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066-003328</v>
      </c>
    </row>
    <row r="16" spans="1:2" x14ac:dyDescent="0.2">
      <c r="A16" t="s">
        <v>422</v>
      </c>
      <c r="B16" s="138" t="str">
        <f>COVER!T13</f>
        <v>MUELLER &amp; CO., LLP</v>
      </c>
    </row>
    <row r="17" spans="1:2" x14ac:dyDescent="0.2">
      <c r="A17" t="s">
        <v>884</v>
      </c>
      <c r="B17" s="138" t="str">
        <f>COVER!T15</f>
        <v>EDWARD MCCORMICK</v>
      </c>
    </row>
    <row r="18" spans="1:2" x14ac:dyDescent="0.2">
      <c r="A18" t="s">
        <v>1150</v>
      </c>
      <c r="B18" s="138" t="str">
        <f>COVER!T17</f>
        <v>14300 S. RAVINIA AVE. STE.200</v>
      </c>
    </row>
    <row r="19" spans="1:2" x14ac:dyDescent="0.2">
      <c r="A19" t="s">
        <v>886</v>
      </c>
      <c r="B19" s="138" t="str">
        <f>COVER!T25</f>
        <v>EMCCORMICK@MUELLERCPA.COM</v>
      </c>
    </row>
    <row r="20" spans="1:2" x14ac:dyDescent="0.2">
      <c r="A20" t="s">
        <v>887</v>
      </c>
      <c r="B20" s="138" t="str">
        <f>COVER!T19</f>
        <v>ORLAND PARK</v>
      </c>
    </row>
    <row r="21" spans="1:2" x14ac:dyDescent="0.2">
      <c r="A21" t="s">
        <v>479</v>
      </c>
      <c r="B21" s="138" t="str">
        <f>COVER!X19</f>
        <v>IL</v>
      </c>
    </row>
    <row r="22" spans="1:2" x14ac:dyDescent="0.2">
      <c r="A22" t="s">
        <v>888</v>
      </c>
      <c r="B22" s="138">
        <f>COVER!Z19</f>
        <v>60462</v>
      </c>
    </row>
    <row r="23" spans="1:2" x14ac:dyDescent="0.2">
      <c r="A23" t="s">
        <v>1152</v>
      </c>
      <c r="B23" s="138" t="str">
        <f>COVER!T21</f>
        <v>708-428-5305</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15859262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569114</v>
      </c>
      <c r="D76" s="2" t="str">
        <f t="shared" si="0"/>
        <v>Error?</v>
      </c>
    </row>
    <row r="77" spans="1:4" x14ac:dyDescent="0.2">
      <c r="A77" s="5">
        <v>16</v>
      </c>
      <c r="B77" s="138">
        <f>'Assets-Liab 5-6'!C13</f>
        <v>59538392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16826052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20717930</v>
      </c>
      <c r="C91" s="2" t="s">
        <v>573</v>
      </c>
      <c r="D91" s="2" t="str">
        <f t="shared" si="0"/>
        <v>Error?</v>
      </c>
    </row>
    <row r="92" spans="1:4" x14ac:dyDescent="0.2">
      <c r="A92" s="5">
        <v>31</v>
      </c>
      <c r="B92" s="138">
        <f>'Assets-Liab 5-6'!C39</f>
        <v>38559835</v>
      </c>
      <c r="D92" s="2" t="str">
        <f t="shared" si="0"/>
        <v>Error?</v>
      </c>
    </row>
    <row r="93" spans="1:4" x14ac:dyDescent="0.2">
      <c r="A93" s="5">
        <v>32</v>
      </c>
      <c r="B93" s="138">
        <f>'Assets-Liab 5-6'!C41</f>
        <v>59538392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1903127</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6101703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2019143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2848887</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6101703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697866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1382086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740407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775877</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1382086</v>
      </c>
      <c r="C171" s="2" t="s">
        <v>573</v>
      </c>
      <c r="D171" s="2" t="str">
        <f t="shared" si="1"/>
        <v>Error?</v>
      </c>
    </row>
    <row r="172" spans="1:4" x14ac:dyDescent="0.2">
      <c r="A172" s="10">
        <v>111</v>
      </c>
      <c r="D172" s="2" t="str">
        <f t="shared" si="1"/>
        <v>OK</v>
      </c>
    </row>
    <row r="173" spans="1:4" x14ac:dyDescent="0.2">
      <c r="A173" s="5">
        <v>112</v>
      </c>
      <c r="B173" s="138">
        <f>'Assets-Liab 5-6'!G6</f>
        <v>122107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2872779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129550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262533</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2872779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1096591</v>
      </c>
      <c r="D273" s="2" t="str">
        <f t="shared" si="3"/>
        <v>Error?</v>
      </c>
    </row>
    <row r="274" spans="1:4" x14ac:dyDescent="0.2">
      <c r="A274" s="5">
        <v>213</v>
      </c>
      <c r="B274" s="138">
        <f>'Assets-Liab 5-6'!M17</f>
        <v>52728915</v>
      </c>
      <c r="D274" s="2" t="str">
        <f t="shared" si="3"/>
        <v>Error?</v>
      </c>
    </row>
    <row r="275" spans="1:4" x14ac:dyDescent="0.2">
      <c r="A275" s="5">
        <v>214</v>
      </c>
      <c r="B275" s="138">
        <f>'Assets-Liab 5-6'!M18</f>
        <v>31909265</v>
      </c>
      <c r="D275" s="2" t="str">
        <f t="shared" si="3"/>
        <v>Error?</v>
      </c>
    </row>
    <row r="276" spans="1:4" x14ac:dyDescent="0.2">
      <c r="A276" s="5">
        <v>215</v>
      </c>
      <c r="B276" s="138">
        <f>'Assets-Liab 5-6'!M19</f>
        <v>28951583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117037981</v>
      </c>
      <c r="C279" s="2" t="s">
        <v>573</v>
      </c>
      <c r="D279" s="2" t="str">
        <f t="shared" si="3"/>
        <v>Error?</v>
      </c>
    </row>
    <row r="280" spans="1:4" x14ac:dyDescent="0.2">
      <c r="A280" s="5">
        <v>219</v>
      </c>
      <c r="B280" s="138">
        <f>'Assets-Liab 5-6'!M40</f>
        <v>117037981</v>
      </c>
      <c r="D280" s="2" t="str">
        <f t="shared" si="3"/>
        <v>Error?</v>
      </c>
    </row>
    <row r="281" spans="1:4" x14ac:dyDescent="0.2">
      <c r="A281" s="5">
        <v>220</v>
      </c>
      <c r="B281" s="138">
        <f>'Assets-Liab 5-6'!M41</f>
        <v>117037981</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14681603</v>
      </c>
      <c r="D705" s="2" t="str">
        <f t="shared" si="10"/>
        <v>Error?</v>
      </c>
    </row>
    <row r="706" spans="1:4" x14ac:dyDescent="0.2">
      <c r="A706" s="5">
        <v>645</v>
      </c>
      <c r="B706" s="138">
        <f>'Expenditures 15-22'!C16</f>
        <v>325277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278054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410800</v>
      </c>
      <c r="D718" s="2" t="str">
        <f t="shared" si="10"/>
        <v>Error?</v>
      </c>
    </row>
    <row r="719" spans="1:4" x14ac:dyDescent="0.2">
      <c r="A719" s="5">
        <v>658</v>
      </c>
      <c r="B719" s="138">
        <f>'Expenditures 15-22'!C15</f>
        <v>130705</v>
      </c>
      <c r="D719" s="2" t="str">
        <f t="shared" si="10"/>
        <v>Error?</v>
      </c>
    </row>
    <row r="720" spans="1:4" x14ac:dyDescent="0.2">
      <c r="A720" s="5">
        <v>659</v>
      </c>
      <c r="B720" s="138">
        <f>'Expenditures 15-22'!C33</f>
        <v>21137181</v>
      </c>
      <c r="C720" s="2" t="s">
        <v>573</v>
      </c>
      <c r="D720" s="2" t="str">
        <f t="shared" si="10"/>
        <v>Error?</v>
      </c>
    </row>
    <row r="721" spans="1:4" x14ac:dyDescent="0.2">
      <c r="A721" s="5">
        <v>660</v>
      </c>
      <c r="B721" s="138">
        <f>'Expenditures 15-22'!C36</f>
        <v>512066</v>
      </c>
      <c r="D721" s="2" t="str">
        <f t="shared" si="10"/>
        <v>Error?</v>
      </c>
    </row>
    <row r="722" spans="1:4" x14ac:dyDescent="0.2">
      <c r="A722" s="5">
        <v>661</v>
      </c>
      <c r="B722" s="138">
        <f>'Expenditures 15-22'!C37</f>
        <v>429549</v>
      </c>
      <c r="D722" s="2" t="str">
        <f t="shared" si="10"/>
        <v>Error?</v>
      </c>
    </row>
    <row r="723" spans="1:4" x14ac:dyDescent="0.2">
      <c r="A723" s="5">
        <v>662</v>
      </c>
      <c r="B723" s="138">
        <f>'Expenditures 15-22'!C38</f>
        <v>340540</v>
      </c>
      <c r="D723" s="2" t="str">
        <f t="shared" si="10"/>
        <v>Error?</v>
      </c>
    </row>
    <row r="724" spans="1:4" x14ac:dyDescent="0.2">
      <c r="A724" s="5">
        <v>663</v>
      </c>
      <c r="B724" s="138">
        <f>'Expenditures 15-22'!C39</f>
        <v>311370</v>
      </c>
      <c r="D724" s="2" t="str">
        <f t="shared" si="10"/>
        <v>Error?</v>
      </c>
    </row>
    <row r="725" spans="1:4" x14ac:dyDescent="0.2">
      <c r="A725" s="5">
        <v>664</v>
      </c>
      <c r="B725" s="138">
        <f>'Expenditures 15-22'!C40</f>
        <v>1017983</v>
      </c>
      <c r="D725" s="2" t="str">
        <f t="shared" si="10"/>
        <v>Error?</v>
      </c>
    </row>
    <row r="726" spans="1:4" x14ac:dyDescent="0.2">
      <c r="A726" s="5">
        <v>665</v>
      </c>
      <c r="B726" s="138">
        <f>'Expenditures 15-22'!C41</f>
        <v>454083</v>
      </c>
      <c r="D726" s="2" t="str">
        <f t="shared" si="10"/>
        <v>Error?</v>
      </c>
    </row>
    <row r="727" spans="1:4" x14ac:dyDescent="0.2">
      <c r="A727" s="5">
        <v>666</v>
      </c>
      <c r="B727" s="138">
        <f>'Expenditures 15-22'!C42</f>
        <v>3065591</v>
      </c>
      <c r="C727" s="2" t="s">
        <v>573</v>
      </c>
      <c r="D727" s="2" t="str">
        <f t="shared" si="10"/>
        <v>Error?</v>
      </c>
    </row>
    <row r="728" spans="1:4" x14ac:dyDescent="0.2">
      <c r="A728" s="5">
        <v>667</v>
      </c>
      <c r="B728" s="138">
        <f>'Expenditures 15-22'!C44</f>
        <v>424108</v>
      </c>
      <c r="D728" s="2" t="str">
        <f t="shared" si="10"/>
        <v>Error?</v>
      </c>
    </row>
    <row r="729" spans="1:4" x14ac:dyDescent="0.2">
      <c r="A729" s="5">
        <v>668</v>
      </c>
      <c r="B729" s="138">
        <f>'Expenditures 15-22'!C45</f>
        <v>1099137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1523245</v>
      </c>
      <c r="C731" s="2" t="s">
        <v>573</v>
      </c>
      <c r="D731" s="2" t="str">
        <f t="shared" si="10"/>
        <v>Error?</v>
      </c>
    </row>
    <row r="732" spans="1:4" x14ac:dyDescent="0.2">
      <c r="A732" s="5">
        <v>671</v>
      </c>
      <c r="B732" s="138">
        <f>'Expenditures 15-22'!C49</f>
        <v>19698</v>
      </c>
      <c r="D732" s="2" t="str">
        <f t="shared" si="10"/>
        <v>Error?</v>
      </c>
    </row>
    <row r="733" spans="1:4" x14ac:dyDescent="0.2">
      <c r="A733" s="5">
        <v>672</v>
      </c>
      <c r="B733" s="138">
        <f>'Expenditures 15-22'!C50</f>
        <v>310444</v>
      </c>
      <c r="D733" s="2" t="str">
        <f t="shared" si="10"/>
        <v>Error?</v>
      </c>
    </row>
    <row r="734" spans="1:4" x14ac:dyDescent="0.2">
      <c r="A734" s="5">
        <v>673</v>
      </c>
      <c r="B734" s="138">
        <f>'Expenditures 15-22'!C53</f>
        <v>806051</v>
      </c>
      <c r="C734" s="2" t="s">
        <v>573</v>
      </c>
      <c r="D734" s="2" t="str">
        <f t="shared" si="10"/>
        <v>Error?</v>
      </c>
    </row>
    <row r="735" spans="1:4" x14ac:dyDescent="0.2">
      <c r="A735" s="5">
        <v>674</v>
      </c>
      <c r="B735" s="138">
        <f>'Expenditures 15-22'!C55</f>
        <v>1512749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1512749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379688</v>
      </c>
      <c r="D739" s="2" t="str">
        <f t="shared" si="10"/>
        <v>Error?</v>
      </c>
    </row>
    <row r="740" spans="1:4" x14ac:dyDescent="0.2">
      <c r="A740" s="5">
        <v>679</v>
      </c>
      <c r="B740" s="138">
        <f>'Expenditures 15-22'!C61</f>
        <v>16707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396395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7304031</v>
      </c>
      <c r="C755" s="2" t="s">
        <v>573</v>
      </c>
      <c r="D755" s="2" t="str">
        <f t="shared" si="10"/>
        <v>Error?</v>
      </c>
    </row>
    <row r="756" spans="1:4" x14ac:dyDescent="0.2">
      <c r="A756" s="5">
        <v>695</v>
      </c>
      <c r="B756" s="138">
        <f>'Expenditures 15-22'!C75</f>
        <v>88294</v>
      </c>
      <c r="D756" s="2" t="str">
        <f t="shared" si="10"/>
        <v>Error?</v>
      </c>
    </row>
    <row r="757" spans="1:4" x14ac:dyDescent="0.2">
      <c r="A757" s="5">
        <v>696</v>
      </c>
      <c r="B757" s="138">
        <f>'Expenditures 15-22'!C114</f>
        <v>28529506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2933674</v>
      </c>
      <c r="D763" s="2" t="str">
        <f t="shared" si="10"/>
        <v>Error?</v>
      </c>
    </row>
    <row r="764" spans="1:4" x14ac:dyDescent="0.2">
      <c r="A764" s="5">
        <v>703</v>
      </c>
      <c r="B764" s="138">
        <f>'Expenditures 15-22'!D16</f>
        <v>18692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29199</v>
      </c>
      <c r="D776" s="2" t="str">
        <f t="shared" si="11"/>
        <v>Error?</v>
      </c>
    </row>
    <row r="777" spans="1:4" x14ac:dyDescent="0.2">
      <c r="A777" s="5">
        <v>716</v>
      </c>
      <c r="B777" s="138">
        <f>'Expenditures 15-22'!D15</f>
        <v>1088</v>
      </c>
      <c r="D777" s="2" t="str">
        <f t="shared" si="11"/>
        <v>Error?</v>
      </c>
    </row>
    <row r="778" spans="1:4" x14ac:dyDescent="0.2">
      <c r="A778" s="5">
        <v>717</v>
      </c>
      <c r="B778" s="138">
        <f>'Expenditures 15-22'!D33</f>
        <v>3560891</v>
      </c>
      <c r="C778" s="2" t="s">
        <v>573</v>
      </c>
      <c r="D778" s="2" t="str">
        <f t="shared" si="11"/>
        <v>Error?</v>
      </c>
    </row>
    <row r="779" spans="1:4" x14ac:dyDescent="0.2">
      <c r="A779" s="5">
        <v>718</v>
      </c>
      <c r="B779" s="138">
        <f>'Expenditures 15-22'!D36</f>
        <v>70668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43663</v>
      </c>
      <c r="D781" s="2" t="str">
        <f t="shared" si="11"/>
        <v>Error?</v>
      </c>
    </row>
    <row r="782" spans="1:4" x14ac:dyDescent="0.2">
      <c r="A782" s="5">
        <v>721</v>
      </c>
      <c r="B782" s="138">
        <f>'Expenditures 15-22'!D39</f>
        <v>36868</v>
      </c>
      <c r="D782" s="2" t="str">
        <f t="shared" si="11"/>
        <v>Error?</v>
      </c>
    </row>
    <row r="783" spans="1:4" x14ac:dyDescent="0.2">
      <c r="A783" s="5">
        <v>722</v>
      </c>
      <c r="B783" s="138">
        <f>'Expenditures 15-22'!D40</f>
        <v>90547</v>
      </c>
      <c r="D783" s="2" t="str">
        <f t="shared" si="11"/>
        <v>Error?</v>
      </c>
    </row>
    <row r="784" spans="1:4" x14ac:dyDescent="0.2">
      <c r="A784" s="5">
        <v>723</v>
      </c>
      <c r="B784" s="138">
        <f>'Expenditures 15-22'!D41</f>
        <v>10168</v>
      </c>
      <c r="D784" s="2" t="str">
        <f t="shared" si="11"/>
        <v>Error?</v>
      </c>
    </row>
    <row r="785" spans="1:4" x14ac:dyDescent="0.2">
      <c r="A785" s="5">
        <v>724</v>
      </c>
      <c r="B785" s="138">
        <f>'Expenditures 15-22'!D42</f>
        <v>251914</v>
      </c>
      <c r="C785" s="2" t="s">
        <v>573</v>
      </c>
      <c r="D785" s="2" t="str">
        <f t="shared" si="11"/>
        <v>Error?</v>
      </c>
    </row>
    <row r="786" spans="1:4" x14ac:dyDescent="0.2">
      <c r="A786" s="5">
        <v>725</v>
      </c>
      <c r="B786" s="138">
        <f>'Expenditures 15-22'!D44</f>
        <v>1552</v>
      </c>
      <c r="D786" s="2" t="str">
        <f t="shared" si="11"/>
        <v>Error?</v>
      </c>
    </row>
    <row r="787" spans="1:4" x14ac:dyDescent="0.2">
      <c r="A787" s="5">
        <v>726</v>
      </c>
      <c r="B787" s="138">
        <f>'Expenditures 15-22'!D45</f>
        <v>137506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139058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36704</v>
      </c>
      <c r="D791" s="2" t="str">
        <f t="shared" si="11"/>
        <v>Error?</v>
      </c>
    </row>
    <row r="792" spans="1:4" x14ac:dyDescent="0.2">
      <c r="A792" s="5">
        <v>731</v>
      </c>
      <c r="B792" s="138">
        <f>'Expenditures 15-22'!D53</f>
        <v>63536</v>
      </c>
      <c r="C792" s="2" t="s">
        <v>573</v>
      </c>
      <c r="D792" s="2" t="str">
        <f t="shared" si="11"/>
        <v>Error?</v>
      </c>
    </row>
    <row r="793" spans="1:4" x14ac:dyDescent="0.2">
      <c r="A793" s="5">
        <v>732</v>
      </c>
      <c r="B793" s="138">
        <f>'Expenditures 15-22'!D55</f>
        <v>301168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301168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56220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56220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811896</v>
      </c>
      <c r="C813" s="2" t="s">
        <v>573</v>
      </c>
      <c r="D813" s="2" t="str">
        <f t="shared" si="11"/>
        <v>Error?</v>
      </c>
    </row>
    <row r="814" spans="1:4" x14ac:dyDescent="0.2">
      <c r="A814" s="5">
        <v>753</v>
      </c>
      <c r="B814" s="138">
        <f>'Expenditures 15-22'!D75</f>
        <v>6554</v>
      </c>
      <c r="D814" s="2" t="str">
        <f t="shared" si="11"/>
        <v>Error?</v>
      </c>
    </row>
    <row r="815" spans="1:4" x14ac:dyDescent="0.2">
      <c r="A815" s="5">
        <v>754</v>
      </c>
      <c r="B815" s="138">
        <f>'Expenditures 15-22'!D114</f>
        <v>4379341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497603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11916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511313</v>
      </c>
      <c r="C836" s="2" t="s">
        <v>573</v>
      </c>
      <c r="D836" s="2" t="str">
        <f t="shared" si="12"/>
        <v>Error?</v>
      </c>
    </row>
    <row r="837" spans="1:4" x14ac:dyDescent="0.2">
      <c r="A837" s="5">
        <v>776</v>
      </c>
      <c r="B837" s="138">
        <f>'Expenditures 15-22'!E36</f>
        <v>76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77898</v>
      </c>
      <c r="D839" s="2" t="str">
        <f t="shared" si="12"/>
        <v>Error?</v>
      </c>
    </row>
    <row r="840" spans="1:4" x14ac:dyDescent="0.2">
      <c r="A840" s="5">
        <v>779</v>
      </c>
      <c r="B840" s="138">
        <f>'Expenditures 15-22'!E39</f>
        <v>56999</v>
      </c>
      <c r="D840" s="2" t="str">
        <f t="shared" si="12"/>
        <v>Error?</v>
      </c>
    </row>
    <row r="841" spans="1:4" x14ac:dyDescent="0.2">
      <c r="A841" s="5">
        <v>780</v>
      </c>
      <c r="B841" s="138">
        <f>'Expenditures 15-22'!E40</f>
        <v>9507</v>
      </c>
      <c r="D841" s="2" t="str">
        <f t="shared" si="12"/>
        <v>Error?</v>
      </c>
    </row>
    <row r="842" spans="1:4" x14ac:dyDescent="0.2">
      <c r="A842" s="5">
        <v>781</v>
      </c>
      <c r="B842" s="138">
        <f>'Expenditures 15-22'!E41</f>
        <v>324</v>
      </c>
      <c r="D842" s="2" t="str">
        <f t="shared" si="12"/>
        <v>Error?</v>
      </c>
    </row>
    <row r="843" spans="1:4" x14ac:dyDescent="0.2">
      <c r="A843" s="5">
        <v>782</v>
      </c>
      <c r="B843" s="138">
        <f>'Expenditures 15-22'!E42</f>
        <v>144804</v>
      </c>
      <c r="C843" s="2" t="s">
        <v>573</v>
      </c>
      <c r="D843" s="2" t="str">
        <f t="shared" si="12"/>
        <v>Error?</v>
      </c>
    </row>
    <row r="844" spans="1:4" x14ac:dyDescent="0.2">
      <c r="A844" s="5">
        <v>783</v>
      </c>
      <c r="B844" s="138">
        <f>'Expenditures 15-22'!E44</f>
        <v>258947</v>
      </c>
      <c r="D844" s="2" t="str">
        <f t="shared" si="12"/>
        <v>Error?</v>
      </c>
    </row>
    <row r="845" spans="1:4" x14ac:dyDescent="0.2">
      <c r="A845" s="5">
        <v>784</v>
      </c>
      <c r="B845" s="138">
        <f>'Expenditures 15-22'!E45</f>
        <v>327430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586377</v>
      </c>
      <c r="C847" s="2" t="s">
        <v>573</v>
      </c>
      <c r="D847" s="2" t="str">
        <f t="shared" si="12"/>
        <v>Error?</v>
      </c>
    </row>
    <row r="848" spans="1:4" x14ac:dyDescent="0.2">
      <c r="A848" s="5">
        <v>787</v>
      </c>
      <c r="B848" s="138">
        <f>'Expenditures 15-22'!E49</f>
        <v>135414</v>
      </c>
      <c r="D848" s="2" t="str">
        <f t="shared" si="12"/>
        <v>Error?</v>
      </c>
    </row>
    <row r="849" spans="1:4" x14ac:dyDescent="0.2">
      <c r="A849" s="5">
        <v>788</v>
      </c>
      <c r="B849" s="138">
        <f>'Expenditures 15-22'!E50</f>
        <v>2020</v>
      </c>
      <c r="D849" s="2" t="str">
        <f t="shared" si="12"/>
        <v>Error?</v>
      </c>
    </row>
    <row r="850" spans="1:4" x14ac:dyDescent="0.2">
      <c r="A850" s="5">
        <v>789</v>
      </c>
      <c r="B850" s="138">
        <f>'Expenditures 15-22'!E53</f>
        <v>137739</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19208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19208</v>
      </c>
      <c r="C861" s="2" t="s">
        <v>573</v>
      </c>
      <c r="D861" s="2" t="str">
        <f t="shared" si="12"/>
        <v>Error?</v>
      </c>
    </row>
    <row r="862" spans="1:4" x14ac:dyDescent="0.2">
      <c r="A862" s="5">
        <v>801</v>
      </c>
      <c r="B862" s="138">
        <f>'Expenditures 15-22'!E67</f>
        <v>6582</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6582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894710</v>
      </c>
      <c r="C871" s="2" t="s">
        <v>573</v>
      </c>
      <c r="D871" s="2" t="str">
        <f t="shared" si="12"/>
        <v>Error?</v>
      </c>
    </row>
    <row r="872" spans="1:4" x14ac:dyDescent="0.2">
      <c r="A872" s="5">
        <v>811</v>
      </c>
      <c r="B872" s="138">
        <f>'Expenditures 15-22'!E75</f>
        <v>36010</v>
      </c>
      <c r="D872" s="2" t="str">
        <f t="shared" si="12"/>
        <v>Error?</v>
      </c>
    </row>
    <row r="873" spans="1:4" x14ac:dyDescent="0.2">
      <c r="A873" s="5">
        <v>812</v>
      </c>
      <c r="B873" s="138">
        <f>'Expenditures 15-22'!E114</f>
        <v>1445516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840414</v>
      </c>
      <c r="D879" s="2" t="str">
        <f t="shared" si="12"/>
        <v>Error?</v>
      </c>
    </row>
    <row r="880" spans="1:4" x14ac:dyDescent="0.2">
      <c r="A880" s="5">
        <v>819</v>
      </c>
      <c r="B880" s="138">
        <f>'Expenditures 15-22'!F16</f>
        <v>2595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5396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12819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945921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30693</v>
      </c>
      <c r="D897" s="2" t="str">
        <f t="shared" si="13"/>
        <v>Error?</v>
      </c>
    </row>
    <row r="898" spans="1:4" x14ac:dyDescent="0.2">
      <c r="A898" s="5">
        <v>837</v>
      </c>
      <c r="B898" s="138">
        <f>'Expenditures 15-22'!F39</f>
        <v>3334</v>
      </c>
      <c r="D898" s="2" t="str">
        <f t="shared" si="13"/>
        <v>Error?</v>
      </c>
    </row>
    <row r="899" spans="1:4" x14ac:dyDescent="0.2">
      <c r="A899" s="5">
        <v>838</v>
      </c>
      <c r="B899" s="138">
        <f>'Expenditures 15-22'!F40</f>
        <v>5217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39244</v>
      </c>
      <c r="C901" s="2" t="s">
        <v>573</v>
      </c>
      <c r="D901" s="2" t="str">
        <f t="shared" si="13"/>
        <v>Error?</v>
      </c>
    </row>
    <row r="902" spans="1:4" x14ac:dyDescent="0.2">
      <c r="A902" s="5">
        <v>841</v>
      </c>
      <c r="B902" s="138">
        <f>'Expenditures 15-22'!F44</f>
        <v>7018</v>
      </c>
      <c r="D902" s="2" t="str">
        <f t="shared" si="13"/>
        <v>Error?</v>
      </c>
    </row>
    <row r="903" spans="1:4" x14ac:dyDescent="0.2">
      <c r="A903" s="5">
        <v>842</v>
      </c>
      <c r="B903" s="138">
        <f>'Expenditures 15-22'!F45</f>
        <v>128576</v>
      </c>
      <c r="D903" s="2" t="str">
        <f t="shared" si="13"/>
        <v>Error?</v>
      </c>
    </row>
    <row r="904" spans="1:4" x14ac:dyDescent="0.2">
      <c r="A904" s="5">
        <v>843</v>
      </c>
      <c r="B904" s="138">
        <f>'Expenditures 15-22'!F46</f>
        <v>1865</v>
      </c>
      <c r="D904" s="2" t="str">
        <f t="shared" si="13"/>
        <v>Error?</v>
      </c>
    </row>
    <row r="905" spans="1:4" x14ac:dyDescent="0.2">
      <c r="A905" s="5">
        <v>844</v>
      </c>
      <c r="B905" s="138">
        <f>'Expenditures 15-22'!F47</f>
        <v>137459</v>
      </c>
      <c r="C905" s="2" t="s">
        <v>573</v>
      </c>
      <c r="D905" s="2" t="str">
        <f t="shared" si="13"/>
        <v>Error?</v>
      </c>
    </row>
    <row r="906" spans="1:4" x14ac:dyDescent="0.2">
      <c r="A906" s="5">
        <v>845</v>
      </c>
      <c r="B906" s="138">
        <f>'Expenditures 15-22'!F49</f>
        <v>1106</v>
      </c>
      <c r="D906" s="2" t="str">
        <f t="shared" si="13"/>
        <v>Error?</v>
      </c>
    </row>
    <row r="907" spans="1:4" x14ac:dyDescent="0.2">
      <c r="A907" s="5">
        <v>846</v>
      </c>
      <c r="B907" s="138">
        <f>'Expenditures 15-22'!F50</f>
        <v>3812</v>
      </c>
      <c r="D907" s="2" t="str">
        <f t="shared" si="13"/>
        <v>Error?</v>
      </c>
    </row>
    <row r="908" spans="1:4" x14ac:dyDescent="0.2">
      <c r="A908" s="5">
        <v>847</v>
      </c>
      <c r="B908" s="138">
        <f>'Expenditures 15-22'!F53</f>
        <v>8350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5938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125676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131614</v>
      </c>
      <c r="C919" s="2" t="s">
        <v>573</v>
      </c>
      <c r="D919" s="2" t="str">
        <f t="shared" si="13"/>
        <v>Error?</v>
      </c>
    </row>
    <row r="920" spans="1:4" x14ac:dyDescent="0.2">
      <c r="A920" s="5">
        <v>859</v>
      </c>
      <c r="B920" s="138">
        <f>'Expenditures 15-22'!F67</f>
        <v>1234</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1234</v>
      </c>
      <c r="C927" s="2" t="s">
        <v>573</v>
      </c>
      <c r="D927" s="2" t="str">
        <f t="shared" si="13"/>
        <v>Error?</v>
      </c>
    </row>
    <row r="928" spans="1:4" x14ac:dyDescent="0.2">
      <c r="A928" s="5">
        <v>867</v>
      </c>
      <c r="B928" s="138">
        <f>'Expenditures 15-22'!F73</f>
        <v>1000</v>
      </c>
      <c r="D928" s="2" t="str">
        <f t="shared" si="13"/>
        <v>Error?</v>
      </c>
    </row>
    <row r="929" spans="1:4" x14ac:dyDescent="0.2">
      <c r="A929" s="5">
        <v>868</v>
      </c>
      <c r="B929" s="138">
        <f>'Expenditures 15-22'!F74</f>
        <v>318901</v>
      </c>
      <c r="C929" s="2" t="s">
        <v>573</v>
      </c>
      <c r="D929" s="2" t="str">
        <f t="shared" si="13"/>
        <v>Error?</v>
      </c>
    </row>
    <row r="930" spans="1:4" x14ac:dyDescent="0.2">
      <c r="A930" s="5">
        <v>869</v>
      </c>
      <c r="B930" s="138">
        <f>'Expenditures 15-22'!F75</f>
        <v>6132</v>
      </c>
      <c r="D930" s="2" t="str">
        <f t="shared" si="13"/>
        <v>Error?</v>
      </c>
    </row>
    <row r="931" spans="1:4" x14ac:dyDescent="0.2">
      <c r="A931" s="5">
        <v>870</v>
      </c>
      <c r="B931" s="138">
        <f>'Expenditures 15-22'!F114</f>
        <v>1270954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20577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2718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26686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49295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49295</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853048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853048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902343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929029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313</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4250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4563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638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638</v>
      </c>
      <c r="C1021" s="2" t="s">
        <v>573</v>
      </c>
      <c r="D1021" s="2" t="str">
        <f t="shared" si="14"/>
        <v>Error?</v>
      </c>
    </row>
    <row r="1022" spans="1:4" x14ac:dyDescent="0.2">
      <c r="A1022" s="5">
        <v>961</v>
      </c>
      <c r="B1022" s="138">
        <f>'Expenditures 15-22'!H49</f>
        <v>2120</v>
      </c>
      <c r="D1022" s="2" t="str">
        <f t="shared" si="14"/>
        <v>Error?</v>
      </c>
    </row>
    <row r="1023" spans="1:4" x14ac:dyDescent="0.2">
      <c r="A1023" s="5">
        <v>962</v>
      </c>
      <c r="B1023" s="138">
        <f>'Expenditures 15-22'!H50</f>
        <v>150</v>
      </c>
      <c r="D1023" s="2" t="str">
        <f t="shared" ref="D1023:D1086" si="15">IF(ISBLANK(B1023),"OK",IF(A1023-B1023=0,"OK","Error?"))</f>
        <v>Error?</v>
      </c>
    </row>
    <row r="1024" spans="1:4" x14ac:dyDescent="0.2">
      <c r="A1024" s="5">
        <v>963</v>
      </c>
      <c r="B1024" s="138">
        <f>'Expenditures 15-22'!H53</f>
        <v>2450</v>
      </c>
      <c r="C1024" s="2" t="s">
        <v>573</v>
      </c>
      <c r="D1024" s="2" t="str">
        <f t="shared" si="15"/>
        <v>Error?</v>
      </c>
    </row>
    <row r="1025" spans="1:4" x14ac:dyDescent="0.2">
      <c r="A1025" s="5">
        <v>964</v>
      </c>
      <c r="B1025" s="138">
        <f>'Expenditures 15-22'!H55</f>
        <v>3391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3391</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500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6979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1023196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1034738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18973871</v>
      </c>
      <c r="C1093" s="2" t="s">
        <v>573</v>
      </c>
      <c r="D1093" s="2" t="str">
        <f t="shared" si="16"/>
        <v>Error?</v>
      </c>
    </row>
    <row r="1094" spans="1:4" x14ac:dyDescent="0.2">
      <c r="A1094" s="5">
        <v>1033</v>
      </c>
      <c r="B1094" s="138">
        <f>'Expenditures 15-22'!K16</f>
        <v>346877</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283450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471702</v>
      </c>
      <c r="C1106" s="2" t="s">
        <v>573</v>
      </c>
      <c r="D1106" s="2" t="str">
        <f t="shared" si="16"/>
        <v>Error?</v>
      </c>
    </row>
    <row r="1107" spans="1:4" x14ac:dyDescent="0.2">
      <c r="A1107" s="5">
        <v>1046</v>
      </c>
      <c r="B1107" s="138">
        <f>'Expenditures 15-22'!K15</f>
        <v>131793</v>
      </c>
      <c r="C1107" s="2" t="s">
        <v>573</v>
      </c>
      <c r="D1107" s="2" t="str">
        <f t="shared" si="16"/>
        <v>Error?</v>
      </c>
    </row>
    <row r="1108" spans="1:4" x14ac:dyDescent="0.2">
      <c r="A1108" s="5">
        <v>1047</v>
      </c>
      <c r="B1108" s="138">
        <f>'Expenditures 15-22'!K33</f>
        <v>26186555</v>
      </c>
      <c r="C1108" s="2" t="s">
        <v>573</v>
      </c>
      <c r="D1108" s="2" t="str">
        <f t="shared" si="16"/>
        <v>Error?</v>
      </c>
    </row>
    <row r="1109" spans="1:4" x14ac:dyDescent="0.2">
      <c r="A1109" s="5">
        <v>1048</v>
      </c>
      <c r="B1109" s="138">
        <f>'Expenditures 15-22'!K36</f>
        <v>582810</v>
      </c>
      <c r="C1109" s="2" t="s">
        <v>573</v>
      </c>
      <c r="D1109" s="2" t="str">
        <f t="shared" si="16"/>
        <v>Error?</v>
      </c>
    </row>
    <row r="1110" spans="1:4" x14ac:dyDescent="0.2">
      <c r="A1110" s="5">
        <v>1049</v>
      </c>
      <c r="B1110" s="138">
        <f>'Expenditures 15-22'!K37</f>
        <v>429549</v>
      </c>
      <c r="C1110" s="2" t="s">
        <v>573</v>
      </c>
      <c r="D1110" s="2" t="str">
        <f t="shared" si="16"/>
        <v>Error?</v>
      </c>
    </row>
    <row r="1111" spans="1:4" x14ac:dyDescent="0.2">
      <c r="A1111" s="5">
        <v>1050</v>
      </c>
      <c r="B1111" s="138">
        <f>'Expenditures 15-22'!K38</f>
        <v>542089</v>
      </c>
      <c r="C1111" s="2" t="s">
        <v>573</v>
      </c>
      <c r="D1111" s="2" t="str">
        <f t="shared" si="16"/>
        <v>Error?</v>
      </c>
    </row>
    <row r="1112" spans="1:4" x14ac:dyDescent="0.2">
      <c r="A1112" s="5">
        <v>1051</v>
      </c>
      <c r="B1112" s="138">
        <f>'Expenditures 15-22'!K39</f>
        <v>408571</v>
      </c>
      <c r="C1112" s="2" t="s">
        <v>573</v>
      </c>
      <c r="D1112" s="2" t="str">
        <f t="shared" si="16"/>
        <v>Error?</v>
      </c>
    </row>
    <row r="1113" spans="1:4" x14ac:dyDescent="0.2">
      <c r="A1113" s="5">
        <v>1052</v>
      </c>
      <c r="B1113" s="138">
        <f>'Expenditures 15-22'!K40</f>
        <v>1123254</v>
      </c>
      <c r="C1113" s="2" t="s">
        <v>573</v>
      </c>
      <c r="D1113" s="2" t="str">
        <f t="shared" si="16"/>
        <v>Error?</v>
      </c>
    </row>
    <row r="1114" spans="1:4" x14ac:dyDescent="0.2">
      <c r="A1114" s="5">
        <v>1053</v>
      </c>
      <c r="B1114" s="138">
        <f>'Expenditures 15-22'!K41</f>
        <v>464575</v>
      </c>
      <c r="C1114" s="2" t="s">
        <v>573</v>
      </c>
      <c r="D1114" s="2" t="str">
        <f t="shared" si="16"/>
        <v>Error?</v>
      </c>
    </row>
    <row r="1115" spans="1:4" x14ac:dyDescent="0.2">
      <c r="A1115" s="5">
        <v>1054</v>
      </c>
      <c r="B1115" s="138">
        <f>'Expenditures 15-22'!K42</f>
        <v>3550848</v>
      </c>
      <c r="C1115" s="2" t="s">
        <v>573</v>
      </c>
      <c r="D1115" s="2" t="str">
        <f t="shared" si="16"/>
        <v>Error?</v>
      </c>
    </row>
    <row r="1116" spans="1:4" x14ac:dyDescent="0.2">
      <c r="A1116" s="5">
        <v>1055</v>
      </c>
      <c r="B1116" s="138">
        <f>'Expenditures 15-22'!K44</f>
        <v>692263</v>
      </c>
      <c r="C1116" s="2" t="s">
        <v>573</v>
      </c>
      <c r="D1116" s="2" t="str">
        <f t="shared" si="16"/>
        <v>Error?</v>
      </c>
    </row>
    <row r="1117" spans="1:4" x14ac:dyDescent="0.2">
      <c r="A1117" s="5">
        <v>1056</v>
      </c>
      <c r="B1117" s="138">
        <f>'Expenditures 15-22'!K45</f>
        <v>2545697</v>
      </c>
      <c r="C1117" s="2" t="s">
        <v>573</v>
      </c>
      <c r="D1117" s="2" t="str">
        <f t="shared" si="16"/>
        <v>Error?</v>
      </c>
    </row>
    <row r="1118" spans="1:4" x14ac:dyDescent="0.2">
      <c r="A1118" s="5">
        <v>1057</v>
      </c>
      <c r="B1118" s="138">
        <f>'Expenditures 15-22'!K46</f>
        <v>1865</v>
      </c>
      <c r="C1118" s="2" t="s">
        <v>573</v>
      </c>
      <c r="D1118" s="2" t="str">
        <f t="shared" si="16"/>
        <v>Error?</v>
      </c>
    </row>
    <row r="1119" spans="1:4" x14ac:dyDescent="0.2">
      <c r="A1119" s="5">
        <v>1058</v>
      </c>
      <c r="B1119" s="138">
        <f>'Expenditures 15-22'!K47</f>
        <v>3239825</v>
      </c>
      <c r="C1119" s="2" t="s">
        <v>573</v>
      </c>
      <c r="D1119" s="2" t="str">
        <f t="shared" si="16"/>
        <v>Error?</v>
      </c>
    </row>
    <row r="1120" spans="1:4" x14ac:dyDescent="0.2">
      <c r="A1120" s="5">
        <v>1059</v>
      </c>
      <c r="B1120" s="138">
        <f>'Expenditures 15-22'!K49</f>
        <v>158338</v>
      </c>
      <c r="C1120" s="2" t="s">
        <v>573</v>
      </c>
      <c r="D1120" s="2" t="str">
        <f t="shared" si="16"/>
        <v>Error?</v>
      </c>
    </row>
    <row r="1121" spans="1:4" x14ac:dyDescent="0.2">
      <c r="A1121" s="5">
        <v>1060</v>
      </c>
      <c r="B1121" s="138">
        <f>'Expenditures 15-22'!K50</f>
        <v>353130</v>
      </c>
      <c r="C1121" s="2" t="s">
        <v>573</v>
      </c>
      <c r="D1121" s="2" t="str">
        <f t="shared" si="16"/>
        <v>Error?</v>
      </c>
    </row>
    <row r="1122" spans="1:4" x14ac:dyDescent="0.2">
      <c r="A1122" s="5">
        <v>1061</v>
      </c>
      <c r="B1122" s="138">
        <f>'Expenditures 15-22'!K53</f>
        <v>1018126</v>
      </c>
      <c r="C1122" s="2" t="s">
        <v>573</v>
      </c>
      <c r="D1122" s="2" t="str">
        <f t="shared" si="16"/>
        <v>Error?</v>
      </c>
    </row>
    <row r="1123" spans="1:4" x14ac:dyDescent="0.2">
      <c r="A1123" s="5">
        <v>1062</v>
      </c>
      <c r="B1123" s="138">
        <f>'Expenditures 15-22'!K55</f>
        <v>1817308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1817308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461554</v>
      </c>
      <c r="C1127" s="2" t="s">
        <v>573</v>
      </c>
      <c r="D1127" s="2" t="str">
        <f t="shared" si="16"/>
        <v>Error?</v>
      </c>
    </row>
    <row r="1128" spans="1:4" x14ac:dyDescent="0.2">
      <c r="A1128" s="5">
        <v>1067</v>
      </c>
      <c r="B1128" s="138">
        <f>'Expenditures 15-22'!K61</f>
        <v>16707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125676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603937</v>
      </c>
      <c r="C1133" s="2" t="s">
        <v>573</v>
      </c>
      <c r="D1133" s="2" t="str">
        <f t="shared" si="16"/>
        <v>Error?</v>
      </c>
    </row>
    <row r="1134" spans="1:4" x14ac:dyDescent="0.2">
      <c r="A1134" s="5">
        <v>1073</v>
      </c>
      <c r="B1134" s="138">
        <f>'Expenditures 15-22'!K67</f>
        <v>7816</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7816</v>
      </c>
      <c r="C1141" s="2" t="s">
        <v>573</v>
      </c>
      <c r="D1141" s="2" t="str">
        <f t="shared" si="16"/>
        <v>Error?</v>
      </c>
    </row>
    <row r="1142" spans="1:4" x14ac:dyDescent="0.2">
      <c r="A1142" s="5">
        <v>1081</v>
      </c>
      <c r="B1142" s="138">
        <f>'Expenditures 15-22'!K73</f>
        <v>1000</v>
      </c>
      <c r="C1142" s="2" t="s">
        <v>573</v>
      </c>
      <c r="D1142" s="2" t="str">
        <f t="shared" si="16"/>
        <v>Error?</v>
      </c>
    </row>
    <row r="1143" spans="1:4" x14ac:dyDescent="0.2">
      <c r="A1143" s="5">
        <v>1082</v>
      </c>
      <c r="B1143" s="138">
        <f>'Expenditures 15-22'!K74</f>
        <v>10238860</v>
      </c>
      <c r="C1143" s="2" t="s">
        <v>573</v>
      </c>
      <c r="D1143" s="2" t="str">
        <f t="shared" si="16"/>
        <v>Error?</v>
      </c>
    </row>
    <row r="1144" spans="1:4" x14ac:dyDescent="0.2">
      <c r="A1144" s="5">
        <v>1083</v>
      </c>
      <c r="B1144" s="138">
        <f>'Expenditures 15-22'!K75</f>
        <v>136990</v>
      </c>
      <c r="C1144" s="2" t="s">
        <v>573</v>
      </c>
      <c r="D1144" s="2" t="str">
        <f t="shared" si="16"/>
        <v>Error?</v>
      </c>
    </row>
    <row r="1145" spans="1:4" x14ac:dyDescent="0.2">
      <c r="A1145" s="5">
        <v>1084</v>
      </c>
      <c r="B1145" s="138">
        <f>'Expenditures 15-22'!K102</f>
        <v>1026679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37589084</v>
      </c>
      <c r="C1152" s="2" t="s">
        <v>573</v>
      </c>
      <c r="D1152" s="2" t="str">
        <f t="shared" si="17"/>
        <v>Error?</v>
      </c>
    </row>
    <row r="1153" spans="1:4" x14ac:dyDescent="0.2">
      <c r="A1153" s="5">
        <v>1092</v>
      </c>
      <c r="B1153" s="138">
        <f>'Expenditures 15-22'!K115</f>
        <v>3519617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1238539</v>
      </c>
      <c r="D1221" s="2" t="str">
        <f t="shared" si="18"/>
        <v>Error?</v>
      </c>
    </row>
    <row r="1222" spans="1:4" x14ac:dyDescent="0.2">
      <c r="A1222" s="10">
        <v>1161</v>
      </c>
      <c r="D1222" s="2" t="str">
        <f t="shared" si="18"/>
        <v>OK</v>
      </c>
    </row>
    <row r="1223" spans="1:4" x14ac:dyDescent="0.2">
      <c r="A1223" s="5">
        <v>1162</v>
      </c>
      <c r="B1223" s="138">
        <f>'Expenditures 15-22'!C127</f>
        <v>1238539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1238539</v>
      </c>
      <c r="C1225" s="2" t="s">
        <v>573</v>
      </c>
      <c r="D1225" s="2" t="str">
        <f t="shared" si="18"/>
        <v>Error?</v>
      </c>
    </row>
    <row r="1226" spans="1:4" x14ac:dyDescent="0.2">
      <c r="A1226" s="5">
        <v>1165</v>
      </c>
      <c r="B1226" s="138">
        <f>'Expenditures 15-22'!C151</f>
        <v>1238539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196594</v>
      </c>
      <c r="D1229" s="2" t="str">
        <f t="shared" si="18"/>
        <v>Error?</v>
      </c>
    </row>
    <row r="1230" spans="1:4" x14ac:dyDescent="0.2">
      <c r="A1230" s="10">
        <v>1169</v>
      </c>
      <c r="D1230" s="2" t="str">
        <f t="shared" si="18"/>
        <v>OK</v>
      </c>
    </row>
    <row r="1231" spans="1:4" x14ac:dyDescent="0.2">
      <c r="A1231" s="5">
        <v>1170</v>
      </c>
      <c r="B1231" s="138">
        <f>'Expenditures 15-22'!D127</f>
        <v>196594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196594</v>
      </c>
      <c r="C1233" s="2" t="s">
        <v>573</v>
      </c>
      <c r="D1233" s="2" t="str">
        <f t="shared" si="18"/>
        <v>Error?</v>
      </c>
    </row>
    <row r="1234" spans="1:4" x14ac:dyDescent="0.2">
      <c r="A1234" s="5">
        <v>1173</v>
      </c>
      <c r="B1234" s="138">
        <f>'Expenditures 15-22'!D151</f>
        <v>196594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1429680</v>
      </c>
      <c r="D1237" s="2" t="str">
        <f t="shared" si="18"/>
        <v>Error?</v>
      </c>
    </row>
    <row r="1238" spans="1:4" x14ac:dyDescent="0.2">
      <c r="A1238" s="10">
        <v>1177</v>
      </c>
      <c r="D1238" s="2" t="str">
        <f t="shared" si="18"/>
        <v>OK</v>
      </c>
    </row>
    <row r="1239" spans="1:4" x14ac:dyDescent="0.2">
      <c r="A1239" s="5">
        <v>1178</v>
      </c>
      <c r="B1239" s="138">
        <f>'Expenditures 15-22'!E127</f>
        <v>1429680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1429680</v>
      </c>
      <c r="C1241" s="2" t="s">
        <v>573</v>
      </c>
      <c r="D1241" s="2" t="str">
        <f t="shared" si="18"/>
        <v>Error?</v>
      </c>
    </row>
    <row r="1242" spans="1:4" x14ac:dyDescent="0.2">
      <c r="A1242" s="5">
        <v>1181</v>
      </c>
      <c r="B1242" s="138">
        <f>'Expenditures 15-22'!E151</f>
        <v>1429680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535617</v>
      </c>
      <c r="D1245" s="2" t="str">
        <f t="shared" si="18"/>
        <v>Error?</v>
      </c>
    </row>
    <row r="1246" spans="1:4" x14ac:dyDescent="0.2">
      <c r="A1246" s="10">
        <v>1185</v>
      </c>
      <c r="D1246" s="2" t="str">
        <f t="shared" si="18"/>
        <v>OK</v>
      </c>
    </row>
    <row r="1247" spans="1:4" x14ac:dyDescent="0.2">
      <c r="A1247" s="5">
        <v>1186</v>
      </c>
      <c r="B1247" s="138">
        <f>'Expenditures 15-22'!F127</f>
        <v>535617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535617</v>
      </c>
      <c r="C1249" s="2" t="s">
        <v>573</v>
      </c>
      <c r="D1249" s="2" t="str">
        <f t="shared" si="18"/>
        <v>Error?</v>
      </c>
    </row>
    <row r="1250" spans="1:4" x14ac:dyDescent="0.2">
      <c r="A1250" s="5">
        <v>1189</v>
      </c>
      <c r="B1250" s="138">
        <f>'Expenditures 15-22'!F151</f>
        <v>535617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3942373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3942373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3942373</v>
      </c>
      <c r="C1258" s="2" t="s">
        <v>573</v>
      </c>
      <c r="D1258" s="2" t="str">
        <f t="shared" si="18"/>
        <v>Error?</v>
      </c>
    </row>
    <row r="1259" spans="1:4" x14ac:dyDescent="0.2">
      <c r="A1259" s="5">
        <v>1198</v>
      </c>
      <c r="B1259" s="138">
        <f>'Expenditures 15-22'!G151</f>
        <v>3942373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320</v>
      </c>
      <c r="D1262" s="2" t="str">
        <f t="shared" si="18"/>
        <v>Error?</v>
      </c>
    </row>
    <row r="1263" spans="1:4" x14ac:dyDescent="0.2">
      <c r="A1263" s="10">
        <v>1202</v>
      </c>
      <c r="D1263" s="2" t="str">
        <f t="shared" si="18"/>
        <v>OK</v>
      </c>
    </row>
    <row r="1264" spans="1:4" x14ac:dyDescent="0.2">
      <c r="A1264" s="5">
        <v>1203</v>
      </c>
      <c r="B1264" s="138">
        <f>'Expenditures 15-22'!H127</f>
        <v>320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320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320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7343123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7343123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7343123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7343123</v>
      </c>
      <c r="C1288" s="2" t="s">
        <v>573</v>
      </c>
      <c r="D1288" s="2" t="str">
        <f t="shared" si="19"/>
        <v>Error?</v>
      </c>
    </row>
    <row r="1289" spans="1:4" x14ac:dyDescent="0.2">
      <c r="A1289" s="5">
        <v>1228</v>
      </c>
      <c r="B1289" s="138">
        <f>'Expenditures 15-22'!K152</f>
        <v>-1166020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619892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619892</v>
      </c>
      <c r="C1339" s="2" t="s">
        <v>573</v>
      </c>
      <c r="D1339" s="2" t="str">
        <f t="shared" si="19"/>
        <v>Error?</v>
      </c>
    </row>
    <row r="1340" spans="1:4" x14ac:dyDescent="0.2">
      <c r="A1340" s="5">
        <v>1279</v>
      </c>
      <c r="B1340" s="138">
        <f>'Expenditures 15-22'!C210</f>
        <v>619892</v>
      </c>
      <c r="C1340" s="2" t="s">
        <v>573</v>
      </c>
      <c r="D1340" s="2" t="str">
        <f t="shared" si="19"/>
        <v>Error?</v>
      </c>
    </row>
    <row r="1341" spans="1:4" x14ac:dyDescent="0.2">
      <c r="A1341" s="5">
        <v>1280</v>
      </c>
      <c r="B1341" s="138">
        <f>'Expenditures 15-22'!D182</f>
        <v>149261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149261</v>
      </c>
      <c r="C1345" s="2" t="s">
        <v>573</v>
      </c>
      <c r="D1345" s="2" t="str">
        <f t="shared" si="20"/>
        <v>Error?</v>
      </c>
    </row>
    <row r="1346" spans="1:4" x14ac:dyDescent="0.2">
      <c r="A1346" s="5">
        <v>1285</v>
      </c>
      <c r="B1346" s="138">
        <f>'Expenditures 15-22'!D210</f>
        <v>149261</v>
      </c>
      <c r="C1346" s="2" t="s">
        <v>573</v>
      </c>
      <c r="D1346" s="2" t="str">
        <f t="shared" si="20"/>
        <v>Error?</v>
      </c>
    </row>
    <row r="1347" spans="1:4" x14ac:dyDescent="0.2">
      <c r="A1347" s="5">
        <v>1286</v>
      </c>
      <c r="B1347" s="138">
        <f>'Expenditures 15-22'!E182</f>
        <v>619996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619996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619996</v>
      </c>
      <c r="C1353" s="2" t="s">
        <v>573</v>
      </c>
      <c r="D1353" s="2" t="str">
        <f t="shared" si="20"/>
        <v>Error?</v>
      </c>
    </row>
    <row r="1354" spans="1:4" x14ac:dyDescent="0.2">
      <c r="A1354" s="5">
        <v>1293</v>
      </c>
      <c r="B1354" s="138">
        <f>'Expenditures 15-22'!F182</f>
        <v>117614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117614</v>
      </c>
      <c r="C1358" s="2" t="s">
        <v>573</v>
      </c>
      <c r="D1358" s="2" t="str">
        <f t="shared" si="20"/>
        <v>Error?</v>
      </c>
    </row>
    <row r="1359" spans="1:4" x14ac:dyDescent="0.2">
      <c r="A1359" s="5">
        <v>1298</v>
      </c>
      <c r="B1359" s="138">
        <f>'Expenditures 15-22'!F210</f>
        <v>117614</v>
      </c>
      <c r="C1359" s="2" t="s">
        <v>573</v>
      </c>
      <c r="D1359" s="2" t="str">
        <f t="shared" si="20"/>
        <v>Error?</v>
      </c>
    </row>
    <row r="1360" spans="1:4" x14ac:dyDescent="0.2">
      <c r="A1360" s="5">
        <v>1299</v>
      </c>
      <c r="B1360" s="138">
        <f>'Expenditures 15-22'!G182</f>
        <v>279540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279540</v>
      </c>
      <c r="C1364" s="2" t="s">
        <v>573</v>
      </c>
      <c r="D1364" s="2" t="str">
        <f t="shared" si="20"/>
        <v>Error?</v>
      </c>
    </row>
    <row r="1365" spans="1:4" x14ac:dyDescent="0.2">
      <c r="A1365" s="5">
        <v>1304</v>
      </c>
      <c r="B1365" s="138">
        <f>'Expenditures 15-22'!G210</f>
        <v>279540</v>
      </c>
      <c r="C1365" s="2" t="s">
        <v>573</v>
      </c>
      <c r="D1365" s="2" t="str">
        <f t="shared" si="20"/>
        <v>Error?</v>
      </c>
    </row>
    <row r="1366" spans="1:4" x14ac:dyDescent="0.2">
      <c r="A1366" s="5">
        <v>1305</v>
      </c>
      <c r="B1366" s="138">
        <f>'Expenditures 15-22'!H182</f>
        <v>65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65</v>
      </c>
      <c r="C1376" s="2" t="s">
        <v>573</v>
      </c>
      <c r="D1376" s="2" t="str">
        <f t="shared" si="20"/>
        <v>Error?</v>
      </c>
    </row>
    <row r="1377" spans="1:4" x14ac:dyDescent="0.2">
      <c r="A1377" s="5">
        <v>1316</v>
      </c>
      <c r="B1377" s="138">
        <f>'Expenditures 15-22'!K182</f>
        <v>1786368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1786368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1786368</v>
      </c>
      <c r="C1388" s="2" t="s">
        <v>573</v>
      </c>
      <c r="D1388" s="2" t="str">
        <f t="shared" si="20"/>
        <v>Error?</v>
      </c>
    </row>
    <row r="1389" spans="1:4" x14ac:dyDescent="0.2">
      <c r="A1389" s="5">
        <v>1328</v>
      </c>
      <c r="B1389" s="138">
        <f>'Expenditures 15-22'!K211</f>
        <v>-229698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2417</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5782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6642</v>
      </c>
      <c r="D1408" s="2" t="str">
        <f t="shared" si="21"/>
        <v>Error?</v>
      </c>
    </row>
    <row r="1409" spans="1:4" x14ac:dyDescent="0.2">
      <c r="A1409" s="5">
        <v>1348</v>
      </c>
      <c r="B1409" s="138">
        <f>'Expenditures 15-22'!D224</f>
        <v>11054</v>
      </c>
      <c r="D1409" s="2" t="str">
        <f t="shared" si="21"/>
        <v>Error?</v>
      </c>
    </row>
    <row r="1410" spans="1:4" x14ac:dyDescent="0.2">
      <c r="A1410" s="5">
        <v>1349</v>
      </c>
      <c r="B1410" s="138">
        <f>'Expenditures 15-22'!D229</f>
        <v>718404</v>
      </c>
      <c r="C1410" s="2" t="s">
        <v>573</v>
      </c>
      <c r="D1410" s="2" t="str">
        <f t="shared" si="21"/>
        <v>Error?</v>
      </c>
    </row>
    <row r="1411" spans="1:4" x14ac:dyDescent="0.2">
      <c r="A1411" s="5">
        <v>1350</v>
      </c>
      <c r="B1411" s="138">
        <f>'Expenditures 15-22'!D232</f>
        <v>9194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45317</v>
      </c>
      <c r="D1413" s="2" t="str">
        <f t="shared" si="21"/>
        <v>Error?</v>
      </c>
    </row>
    <row r="1414" spans="1:4" x14ac:dyDescent="0.2">
      <c r="A1414" s="5">
        <v>1353</v>
      </c>
      <c r="B1414" s="138">
        <f>'Expenditures 15-22'!D235</f>
        <v>5071</v>
      </c>
      <c r="D1414" s="2" t="str">
        <f t="shared" si="21"/>
        <v>Error?</v>
      </c>
    </row>
    <row r="1415" spans="1:4" x14ac:dyDescent="0.2">
      <c r="A1415" s="5">
        <v>1354</v>
      </c>
      <c r="B1415" s="138">
        <f>'Expenditures 15-22'!D236</f>
        <v>15216</v>
      </c>
      <c r="D1415" s="2" t="str">
        <f t="shared" si="21"/>
        <v>Error?</v>
      </c>
    </row>
    <row r="1416" spans="1:4" x14ac:dyDescent="0.2">
      <c r="A1416" s="5">
        <v>1355</v>
      </c>
      <c r="B1416" s="138">
        <f>'Expenditures 15-22'!D237</f>
        <v>74830</v>
      </c>
      <c r="D1416" s="2" t="str">
        <f t="shared" si="21"/>
        <v>Error?</v>
      </c>
    </row>
    <row r="1417" spans="1:4" x14ac:dyDescent="0.2">
      <c r="A1417" s="5">
        <v>1356</v>
      </c>
      <c r="B1417" s="138">
        <f>'Expenditures 15-22'!D238</f>
        <v>149628</v>
      </c>
      <c r="C1417" s="2" t="s">
        <v>573</v>
      </c>
      <c r="D1417" s="2" t="str">
        <f t="shared" si="21"/>
        <v>Error?</v>
      </c>
    </row>
    <row r="1418" spans="1:4" x14ac:dyDescent="0.2">
      <c r="A1418" s="5">
        <v>1357</v>
      </c>
      <c r="B1418" s="138">
        <f>'Expenditures 15-22'!D240</f>
        <v>14607</v>
      </c>
      <c r="D1418" s="2" t="str">
        <f t="shared" si="21"/>
        <v>Error?</v>
      </c>
    </row>
    <row r="1419" spans="1:4" x14ac:dyDescent="0.2">
      <c r="A1419" s="5">
        <v>1358</v>
      </c>
      <c r="B1419" s="138">
        <f>'Expenditures 15-22'!D241</f>
        <v>123509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138116</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28537</v>
      </c>
      <c r="D1423" s="2" t="str">
        <f t="shared" si="21"/>
        <v>Error?</v>
      </c>
    </row>
    <row r="1424" spans="1:4" x14ac:dyDescent="0.2">
      <c r="A1424" s="5">
        <v>1363</v>
      </c>
      <c r="B1424" s="138">
        <f>'Expenditures 15-22'!D257</f>
        <v>58021</v>
      </c>
      <c r="C1424" s="2" t="s">
        <v>573</v>
      </c>
      <c r="D1424" s="2" t="str">
        <f t="shared" si="21"/>
        <v>Error?</v>
      </c>
    </row>
    <row r="1425" spans="1:4" x14ac:dyDescent="0.2">
      <c r="A1425" s="5">
        <v>1364</v>
      </c>
      <c r="B1425" s="138">
        <f>'Expenditures 15-22'!D259</f>
        <v>104469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104469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46221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227721</v>
      </c>
      <c r="D1431" s="2" t="str">
        <f t="shared" si="21"/>
        <v>Error?</v>
      </c>
    </row>
    <row r="1432" spans="1:4" x14ac:dyDescent="0.2">
      <c r="A1432" s="5">
        <v>1371</v>
      </c>
      <c r="B1432" s="138">
        <f>'Expenditures 15-22'!D267</f>
        <v>62042</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335984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786218</v>
      </c>
      <c r="C1446" s="2" t="s">
        <v>573</v>
      </c>
      <c r="D1446" s="2" t="str">
        <f t="shared" si="21"/>
        <v>Error?</v>
      </c>
    </row>
    <row r="1447" spans="1:4" x14ac:dyDescent="0.2">
      <c r="A1447" s="5">
        <v>1386</v>
      </c>
      <c r="B1447" s="138">
        <f>'Expenditures 15-22'!D280</f>
        <v>215</v>
      </c>
      <c r="D1447" s="2" t="str">
        <f t="shared" si="21"/>
        <v>Error?</v>
      </c>
    </row>
    <row r="1448" spans="1:4" x14ac:dyDescent="0.2">
      <c r="A1448" s="5">
        <v>1387</v>
      </c>
      <c r="B1448" s="138">
        <f>'Expenditures 15-22'!D295</f>
        <v>1504837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2417</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5782</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6642</v>
      </c>
      <c r="C1472" s="2" t="s">
        <v>573</v>
      </c>
      <c r="D1472" s="2" t="str">
        <f t="shared" si="22"/>
        <v>Error?</v>
      </c>
    </row>
    <row r="1473" spans="1:4" x14ac:dyDescent="0.2">
      <c r="A1473" s="5">
        <v>1412</v>
      </c>
      <c r="B1473" s="138">
        <f>'Expenditures 15-22'!K224</f>
        <v>11054</v>
      </c>
      <c r="C1473" s="2" t="s">
        <v>573</v>
      </c>
      <c r="D1473" s="2" t="str">
        <f t="shared" si="22"/>
        <v>Error?</v>
      </c>
    </row>
    <row r="1474" spans="1:4" x14ac:dyDescent="0.2">
      <c r="A1474" s="5">
        <v>1413</v>
      </c>
      <c r="B1474" s="138">
        <f>'Expenditures 15-22'!K229</f>
        <v>718404</v>
      </c>
      <c r="C1474" s="2" t="s">
        <v>573</v>
      </c>
      <c r="D1474" s="2" t="str">
        <f t="shared" si="22"/>
        <v>Error?</v>
      </c>
    </row>
    <row r="1475" spans="1:4" x14ac:dyDescent="0.2">
      <c r="A1475" s="5">
        <v>1414</v>
      </c>
      <c r="B1475" s="138">
        <f>'Expenditures 15-22'!K232</f>
        <v>9194</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45317</v>
      </c>
      <c r="C1477" s="2" t="s">
        <v>573</v>
      </c>
      <c r="D1477" s="2" t="str">
        <f t="shared" si="22"/>
        <v>Error?</v>
      </c>
    </row>
    <row r="1478" spans="1:4" x14ac:dyDescent="0.2">
      <c r="A1478" s="5">
        <v>1417</v>
      </c>
      <c r="B1478" s="138">
        <f>'Expenditures 15-22'!K235</f>
        <v>5071</v>
      </c>
      <c r="C1478" s="2" t="s">
        <v>573</v>
      </c>
      <c r="D1478" s="2" t="str">
        <f t="shared" si="22"/>
        <v>Error?</v>
      </c>
    </row>
    <row r="1479" spans="1:4" x14ac:dyDescent="0.2">
      <c r="A1479" s="5">
        <v>1418</v>
      </c>
      <c r="B1479" s="138">
        <f>'Expenditures 15-22'!K236</f>
        <v>15216</v>
      </c>
      <c r="C1479" s="2" t="s">
        <v>573</v>
      </c>
      <c r="D1479" s="2" t="str">
        <f t="shared" si="22"/>
        <v>Error?</v>
      </c>
    </row>
    <row r="1480" spans="1:4" x14ac:dyDescent="0.2">
      <c r="A1480" s="5">
        <v>1419</v>
      </c>
      <c r="B1480" s="138">
        <f>'Expenditures 15-22'!K237</f>
        <v>74830</v>
      </c>
      <c r="C1480" s="2" t="s">
        <v>573</v>
      </c>
      <c r="D1480" s="2" t="str">
        <f t="shared" si="22"/>
        <v>Error?</v>
      </c>
    </row>
    <row r="1481" spans="1:4" x14ac:dyDescent="0.2">
      <c r="A1481" s="5">
        <v>1420</v>
      </c>
      <c r="B1481" s="138">
        <f>'Expenditures 15-22'!K238</f>
        <v>149628</v>
      </c>
      <c r="C1481" s="2" t="s">
        <v>573</v>
      </c>
      <c r="D1481" s="2" t="str">
        <f t="shared" si="22"/>
        <v>Error?</v>
      </c>
    </row>
    <row r="1482" spans="1:4" x14ac:dyDescent="0.2">
      <c r="A1482" s="5">
        <v>1421</v>
      </c>
      <c r="B1482" s="138">
        <f>'Expenditures 15-22'!K240</f>
        <v>14607</v>
      </c>
      <c r="C1482" s="2" t="s">
        <v>573</v>
      </c>
      <c r="D1482" s="2" t="str">
        <f t="shared" si="22"/>
        <v>Error?</v>
      </c>
    </row>
    <row r="1483" spans="1:4" x14ac:dyDescent="0.2">
      <c r="A1483" s="5">
        <v>1422</v>
      </c>
      <c r="B1483" s="138">
        <f>'Expenditures 15-22'!K241</f>
        <v>123509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138116</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28537</v>
      </c>
      <c r="C1487" s="2" t="s">
        <v>573</v>
      </c>
      <c r="D1487" s="2" t="str">
        <f t="shared" si="22"/>
        <v>Error?</v>
      </c>
    </row>
    <row r="1488" spans="1:4" x14ac:dyDescent="0.2">
      <c r="A1488" s="5">
        <v>1427</v>
      </c>
      <c r="B1488" s="138">
        <f>'Expenditures 15-22'!K257</f>
        <v>58021</v>
      </c>
      <c r="C1488" s="2" t="s">
        <v>573</v>
      </c>
      <c r="D1488" s="2" t="str">
        <f t="shared" si="22"/>
        <v>Error?</v>
      </c>
    </row>
    <row r="1489" spans="1:4" x14ac:dyDescent="0.2">
      <c r="A1489" s="5">
        <v>1428</v>
      </c>
      <c r="B1489" s="138">
        <f>'Expenditures 15-22'!K259</f>
        <v>104469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104469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46221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227721</v>
      </c>
      <c r="C1495" s="2" t="s">
        <v>573</v>
      </c>
      <c r="D1495" s="2" t="str">
        <f t="shared" si="22"/>
        <v>Error?</v>
      </c>
    </row>
    <row r="1496" spans="1:4" x14ac:dyDescent="0.2">
      <c r="A1496" s="5">
        <v>1435</v>
      </c>
      <c r="B1496" s="138">
        <f>'Expenditures 15-22'!K267</f>
        <v>62042</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335984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786218</v>
      </c>
      <c r="C1510" s="2" t="s">
        <v>573</v>
      </c>
      <c r="D1510" s="2" t="str">
        <f t="shared" si="22"/>
        <v>Error?</v>
      </c>
    </row>
    <row r="1511" spans="1:4" x14ac:dyDescent="0.2">
      <c r="A1511" s="5">
        <v>1450</v>
      </c>
      <c r="B1511" s="138">
        <f>'Expenditures 15-22'!K280</f>
        <v>215</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1504837</v>
      </c>
      <c r="C1517" s="2" t="s">
        <v>573</v>
      </c>
      <c r="D1517" s="2" t="str">
        <f t="shared" si="22"/>
        <v>Error?</v>
      </c>
    </row>
    <row r="1518" spans="1:4" x14ac:dyDescent="0.2">
      <c r="A1518" s="5">
        <v>1457</v>
      </c>
      <c r="B1518" s="138">
        <f>'Expenditures 15-22'!K296</f>
        <v>-274265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35300845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38820462</v>
      </c>
      <c r="C1630" s="2" t="s">
        <v>573</v>
      </c>
      <c r="D1630" s="2" t="str">
        <f t="shared" si="24"/>
        <v>Error?</v>
      </c>
    </row>
    <row r="1631" spans="1:4" x14ac:dyDescent="0.2">
      <c r="A1631" s="5">
        <v>1570</v>
      </c>
      <c r="B1631" s="138">
        <f>'Acct Summary 7-8'!D79</f>
        <v>4418836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3252816</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835907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606209</v>
      </c>
      <c r="C1672" s="2" t="s">
        <v>573</v>
      </c>
      <c r="D1672" s="2" t="str">
        <f t="shared" si="25"/>
        <v>Error?</v>
      </c>
    </row>
    <row r="1673" spans="1:4" x14ac:dyDescent="0.2">
      <c r="A1673" s="5">
        <v>1612</v>
      </c>
      <c r="B1673" s="138">
        <f>'Acct Summary 7-8'!G79</f>
        <v>2884511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2610246</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32043505</v>
      </c>
      <c r="C1744" s="2" t="s">
        <v>573</v>
      </c>
      <c r="D1744" s="2" t="str">
        <f t="shared" si="26"/>
        <v>Error?</v>
      </c>
    </row>
    <row r="1745" spans="1:5" x14ac:dyDescent="0.2">
      <c r="A1745" s="5">
        <v>1684</v>
      </c>
      <c r="B1745" s="138">
        <f>'Tax Sched 23'!B5</f>
        <v>3975130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1457937</v>
      </c>
      <c r="C1747" s="2" t="s">
        <v>573</v>
      </c>
      <c r="D1747" s="2" t="str">
        <f t="shared" si="26"/>
        <v>Error?</v>
      </c>
    </row>
    <row r="1748" spans="1:5" x14ac:dyDescent="0.2">
      <c r="A1748" s="5">
        <v>1687</v>
      </c>
      <c r="B1748" s="138">
        <f>'Tax Sched 23'!B8</f>
        <v>601301</v>
      </c>
      <c r="C1748" s="2" t="s">
        <v>573</v>
      </c>
      <c r="D1748" s="2" t="str">
        <f t="shared" si="26"/>
        <v>Error?</v>
      </c>
    </row>
    <row r="1749" spans="1:5" x14ac:dyDescent="0.2">
      <c r="A1749" s="5">
        <v>1688</v>
      </c>
      <c r="B1749" s="138">
        <f>'Tax Sched 23'!B10</f>
        <v>273781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246653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39085733</v>
      </c>
      <c r="C1759" s="2" t="s">
        <v>573</v>
      </c>
      <c r="D1759" s="2" t="str">
        <f t="shared" si="26"/>
        <v>Error?</v>
      </c>
    </row>
    <row r="1760" spans="1:5" x14ac:dyDescent="0.2">
      <c r="A1760" s="5">
        <v>1699</v>
      </c>
      <c r="B1760" s="138">
        <f>'Tax Sched 23'!D4</f>
        <v>14383225</v>
      </c>
      <c r="C1760" s="2" t="s">
        <v>573</v>
      </c>
      <c r="D1760" s="2" t="str">
        <f t="shared" si="26"/>
        <v>Error?</v>
      </c>
    </row>
    <row r="1761" spans="1:5" x14ac:dyDescent="0.2">
      <c r="A1761" s="5">
        <v>1700</v>
      </c>
      <c r="B1761" s="138">
        <f>'Tax Sched 23'!D5</f>
        <v>1839971</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674986</v>
      </c>
      <c r="C1763" s="2" t="s">
        <v>573</v>
      </c>
      <c r="D1763" s="2" t="str">
        <f t="shared" si="26"/>
        <v>Error?</v>
      </c>
    </row>
    <row r="1764" spans="1:5" x14ac:dyDescent="0.2">
      <c r="A1764" s="5">
        <v>1703</v>
      </c>
      <c r="B1764" s="138">
        <f>'Tax Sched 23'!D8</f>
        <v>513625</v>
      </c>
      <c r="C1764" s="2" t="s">
        <v>573</v>
      </c>
      <c r="D1764" s="2" t="str">
        <f t="shared" si="26"/>
        <v>Error?</v>
      </c>
    </row>
    <row r="1765" spans="1:5" x14ac:dyDescent="0.2">
      <c r="A1765" s="5">
        <v>1704</v>
      </c>
      <c r="B1765" s="138">
        <f>'Tax Sched 23'!D10</f>
        <v>126590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114092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18090597</v>
      </c>
      <c r="C1775" s="2" t="s">
        <v>573</v>
      </c>
      <c r="D1775" s="2" t="str">
        <f t="shared" si="26"/>
        <v>Error?</v>
      </c>
    </row>
    <row r="1776" spans="1:5" x14ac:dyDescent="0.2">
      <c r="A1776" s="5">
        <v>1715</v>
      </c>
      <c r="B1776" s="138">
        <f>'Tax Sched 23'!C4</f>
        <v>17660280</v>
      </c>
      <c r="D1776" s="2" t="str">
        <f t="shared" si="26"/>
        <v>Error?</v>
      </c>
    </row>
    <row r="1777" spans="1:4" x14ac:dyDescent="0.2">
      <c r="A1777" s="5">
        <v>1716</v>
      </c>
      <c r="B1777" s="138">
        <f>'Tax Sched 23'!C5</f>
        <v>2135159</v>
      </c>
      <c r="D1777" s="2" t="str">
        <f t="shared" si="26"/>
        <v>Error?</v>
      </c>
    </row>
    <row r="1778" spans="1:4" x14ac:dyDescent="0.2">
      <c r="A1778" s="5">
        <v>1717</v>
      </c>
      <c r="B1778" s="138">
        <f>'Tax Sched 23'!C6</f>
        <v>0</v>
      </c>
      <c r="D1778" s="2" t="str">
        <f t="shared" si="26"/>
        <v>Error?</v>
      </c>
    </row>
    <row r="1779" spans="1:4" x14ac:dyDescent="0.2">
      <c r="A1779" s="5">
        <v>1718</v>
      </c>
      <c r="B1779" s="138">
        <f>'Tax Sched 23'!C7</f>
        <v>782951</v>
      </c>
      <c r="D1779" s="2" t="str">
        <f t="shared" si="26"/>
        <v>Error?</v>
      </c>
    </row>
    <row r="1780" spans="1:4" x14ac:dyDescent="0.2">
      <c r="A1780" s="5">
        <v>1719</v>
      </c>
      <c r="B1780" s="138">
        <f>'Tax Sched 23'!C8</f>
        <v>87676</v>
      </c>
      <c r="D1780" s="2" t="str">
        <f t="shared" si="26"/>
        <v>Error?</v>
      </c>
    </row>
    <row r="1781" spans="1:4" x14ac:dyDescent="0.2">
      <c r="A1781" s="5">
        <v>1720</v>
      </c>
      <c r="B1781" s="138">
        <f>'Tax Sched 23'!C10</f>
        <v>147191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132561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20995136</v>
      </c>
      <c r="C1791" s="2" t="s">
        <v>573</v>
      </c>
      <c r="D1791" s="2" t="str">
        <f t="shared" ref="D1791:D1854" si="27">IF(ISBLANK(B1791),"OK",IF(A1791-B1791=0,"OK","Error?"))</f>
        <v>Error?</v>
      </c>
    </row>
    <row r="1792" spans="1:4" x14ac:dyDescent="0.2">
      <c r="A1792" s="5">
        <v>1731</v>
      </c>
      <c r="B1792" s="138">
        <f>'Tax Sched 23'!F4</f>
        <v>16774139</v>
      </c>
      <c r="C1792" s="2" t="s">
        <v>573</v>
      </c>
      <c r="D1792" s="2" t="str">
        <f t="shared" si="27"/>
        <v>Error?</v>
      </c>
    </row>
    <row r="1793" spans="1:4" x14ac:dyDescent="0.2">
      <c r="A1793" s="5">
        <v>1732</v>
      </c>
      <c r="B1793" s="138">
        <f>'Tax Sched 23'!F5</f>
        <v>2028022</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743664</v>
      </c>
      <c r="C1795" s="2" t="s">
        <v>573</v>
      </c>
      <c r="D1795" s="2" t="str">
        <f t="shared" si="27"/>
        <v>Error?</v>
      </c>
    </row>
    <row r="1796" spans="1:4" x14ac:dyDescent="0.2">
      <c r="A1796" s="5">
        <v>1735</v>
      </c>
      <c r="B1796" s="138">
        <f>'Tax Sched 23'!F8</f>
        <v>82620</v>
      </c>
      <c r="C1796" s="2" t="s">
        <v>573</v>
      </c>
      <c r="D1796" s="2" t="str">
        <f t="shared" si="27"/>
        <v>Error?</v>
      </c>
    </row>
    <row r="1797" spans="1:4" x14ac:dyDescent="0.2">
      <c r="A1797" s="5">
        <v>1736</v>
      </c>
      <c r="B1797" s="138">
        <f>'Tax Sched 23'!F10</f>
        <v>139805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125908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19941658</v>
      </c>
      <c r="C1807" s="2" t="s">
        <v>573</v>
      </c>
      <c r="D1807" s="2" t="str">
        <f t="shared" si="27"/>
        <v>Error?</v>
      </c>
    </row>
    <row r="1808" spans="1:4" x14ac:dyDescent="0.2">
      <c r="A1808" s="5">
        <v>1747</v>
      </c>
      <c r="B1808" s="138">
        <f>'Tax Sched 23'!E4</f>
        <v>34434419</v>
      </c>
      <c r="D1808" s="2" t="str">
        <f t="shared" si="27"/>
        <v>Error?</v>
      </c>
    </row>
    <row r="1809" spans="1:4" x14ac:dyDescent="0.2">
      <c r="A1809" s="5">
        <v>1748</v>
      </c>
      <c r="B1809" s="138">
        <f>'Tax Sched 23'!E5</f>
        <v>4163181</v>
      </c>
      <c r="D1809" s="2" t="str">
        <f t="shared" si="27"/>
        <v>Error?</v>
      </c>
    </row>
    <row r="1810" spans="1:4" x14ac:dyDescent="0.2">
      <c r="A1810" s="5">
        <v>1749</v>
      </c>
      <c r="B1810" s="138">
        <f>'Tax Sched 23'!E6</f>
        <v>0</v>
      </c>
      <c r="D1810" s="2" t="str">
        <f t="shared" si="27"/>
        <v>Error?</v>
      </c>
    </row>
    <row r="1811" spans="1:4" x14ac:dyDescent="0.2">
      <c r="A1811" s="5">
        <v>1750</v>
      </c>
      <c r="B1811" s="138">
        <f>'Tax Sched 23'!E7</f>
        <v>1526615</v>
      </c>
      <c r="D1811" s="2" t="str">
        <f t="shared" si="27"/>
        <v>Error?</v>
      </c>
    </row>
    <row r="1812" spans="1:4" x14ac:dyDescent="0.2">
      <c r="A1812" s="5">
        <v>1751</v>
      </c>
      <c r="B1812" s="138">
        <f>'Tax Sched 23'!E8</f>
        <v>170296</v>
      </c>
      <c r="D1812" s="2" t="str">
        <f t="shared" si="27"/>
        <v>Error?</v>
      </c>
    </row>
    <row r="1813" spans="1:4" x14ac:dyDescent="0.2">
      <c r="A1813" s="5">
        <v>1752</v>
      </c>
      <c r="B1813" s="138">
        <f>'Tax Sched 23'!E10</f>
        <v>286996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258469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40936794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246652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246652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246652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1096591</v>
      </c>
      <c r="D2008" s="2" t="str">
        <f t="shared" si="30"/>
        <v>Error?</v>
      </c>
    </row>
    <row r="2009" spans="1:4" x14ac:dyDescent="0.2">
      <c r="A2009" s="5">
        <v>1948</v>
      </c>
      <c r="B2009" s="138">
        <f>'Cap Outlay Deprec 26'!C8</f>
        <v>52728915</v>
      </c>
      <c r="D2009" s="2" t="str">
        <f t="shared" si="30"/>
        <v>Error?</v>
      </c>
    </row>
    <row r="2010" spans="1:4" x14ac:dyDescent="0.2">
      <c r="A2010" s="5">
        <v>1949</v>
      </c>
      <c r="B2010" s="138">
        <f>'Cap Outlay Deprec 26'!C10</f>
        <v>22689302</v>
      </c>
      <c r="D2010" s="2" t="str">
        <f t="shared" si="30"/>
        <v>Error?</v>
      </c>
    </row>
    <row r="2011" spans="1:4" x14ac:dyDescent="0.2">
      <c r="A2011" s="5">
        <v>1950</v>
      </c>
      <c r="B2011" s="138">
        <f>'Cap Outlay Deprec 26'!C12</f>
        <v>23270120</v>
      </c>
      <c r="D2011" s="2" t="str">
        <f t="shared" si="30"/>
        <v>Error?</v>
      </c>
    </row>
    <row r="2012" spans="1:4" x14ac:dyDescent="0.2">
      <c r="A2012" s="5">
        <v>1951</v>
      </c>
      <c r="B2012" s="138">
        <f>'Cap Outlay Deprec 26'!C13</f>
        <v>5434759</v>
      </c>
      <c r="D2012" s="2" t="str">
        <f t="shared" si="30"/>
        <v>Error?</v>
      </c>
    </row>
    <row r="2013" spans="1:4" x14ac:dyDescent="0.2">
      <c r="A2013" s="5">
        <v>1952</v>
      </c>
      <c r="B2013" s="138">
        <f>'Cap Outlay Deprec 26'!C16</f>
        <v>112102336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9219963</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462001</v>
      </c>
      <c r="D2018" s="2" t="str">
        <f t="shared" si="30"/>
        <v>Error?</v>
      </c>
    </row>
    <row r="2019" spans="1:4" x14ac:dyDescent="0.2">
      <c r="A2019" s="5">
        <v>1958</v>
      </c>
      <c r="B2019" s="138">
        <f>'Cap Outlay Deprec 26'!D16</f>
        <v>14359630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215297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9423985</v>
      </c>
      <c r="C2025" s="2" t="s">
        <v>573</v>
      </c>
      <c r="D2025" s="2" t="str">
        <f t="shared" si="30"/>
        <v>Error?</v>
      </c>
    </row>
    <row r="2026" spans="1:4" x14ac:dyDescent="0.2">
      <c r="A2026" s="5">
        <v>1965</v>
      </c>
      <c r="B2026" s="138">
        <f>'Cap Outlay Deprec 26'!F5</f>
        <v>1096591</v>
      </c>
      <c r="C2026" s="2" t="s">
        <v>573</v>
      </c>
      <c r="D2026" s="2" t="str">
        <f t="shared" si="30"/>
        <v>Error?</v>
      </c>
    </row>
    <row r="2027" spans="1:4" x14ac:dyDescent="0.2">
      <c r="A2027" s="5">
        <v>1966</v>
      </c>
      <c r="B2027" s="138">
        <f>'Cap Outlay Deprec 26'!F8</f>
        <v>52728915</v>
      </c>
      <c r="C2027" s="2" t="s">
        <v>573</v>
      </c>
      <c r="D2027" s="2" t="str">
        <f t="shared" si="30"/>
        <v>Error?</v>
      </c>
    </row>
    <row r="2028" spans="1:4" x14ac:dyDescent="0.2">
      <c r="A2028" s="5">
        <v>1967</v>
      </c>
      <c r="B2028" s="138">
        <f>'Cap Outlay Deprec 26'!F10</f>
        <v>31909265</v>
      </c>
      <c r="C2028" s="2" t="s">
        <v>573</v>
      </c>
      <c r="D2028" s="2" t="str">
        <f t="shared" si="30"/>
        <v>Error?</v>
      </c>
    </row>
    <row r="2029" spans="1:4" x14ac:dyDescent="0.2">
      <c r="A2029" s="5">
        <v>1968</v>
      </c>
      <c r="B2029" s="138">
        <f>'Cap Outlay Deprec 26'!F12</f>
        <v>23054823</v>
      </c>
      <c r="C2029" s="2" t="s">
        <v>573</v>
      </c>
      <c r="D2029" s="2" t="str">
        <f t="shared" si="30"/>
        <v>Error?</v>
      </c>
    </row>
    <row r="2030" spans="1:4" x14ac:dyDescent="0.2">
      <c r="A2030" s="5">
        <v>1969</v>
      </c>
      <c r="B2030" s="138">
        <f>'Cap Outlay Deprec 26'!F13</f>
        <v>5896760</v>
      </c>
      <c r="C2030" s="2" t="s">
        <v>573</v>
      </c>
      <c r="D2030" s="2" t="str">
        <f t="shared" si="30"/>
        <v>Error?</v>
      </c>
    </row>
    <row r="2031" spans="1:4" x14ac:dyDescent="0.2">
      <c r="A2031" s="5">
        <v>1970</v>
      </c>
      <c r="B2031" s="138">
        <f>'Cap Outlay Deprec 26'!F16</f>
        <v>117037981</v>
      </c>
      <c r="C2031" s="2" t="s">
        <v>573</v>
      </c>
      <c r="D2031" s="2" t="str">
        <f t="shared" si="30"/>
        <v>Error?</v>
      </c>
    </row>
    <row r="2032" spans="1:4" x14ac:dyDescent="0.2">
      <c r="A2032" s="10">
        <v>1971</v>
      </c>
      <c r="D2032" s="2" t="str">
        <f t="shared" si="30"/>
        <v>OK</v>
      </c>
    </row>
    <row r="2033" spans="1:4" x14ac:dyDescent="0.2">
      <c r="A2033" s="5">
        <v>1972</v>
      </c>
      <c r="B2033" s="138">
        <f>'Cap Outlay Deprec 26'!H8</f>
        <v>20945266</v>
      </c>
      <c r="D2033" s="2" t="str">
        <f t="shared" si="30"/>
        <v>Error?</v>
      </c>
    </row>
    <row r="2034" spans="1:4" x14ac:dyDescent="0.2">
      <c r="A2034" s="5">
        <v>1973</v>
      </c>
      <c r="B2034" s="138">
        <f>'Cap Outlay Deprec 26'!H10</f>
        <v>4216443</v>
      </c>
      <c r="D2034" s="2" t="str">
        <f t="shared" si="30"/>
        <v>Error?</v>
      </c>
    </row>
    <row r="2035" spans="1:4" x14ac:dyDescent="0.2">
      <c r="A2035" s="5">
        <v>1974</v>
      </c>
      <c r="B2035" s="138">
        <f>'Cap Outlay Deprec 26'!H12</f>
        <v>19943220</v>
      </c>
      <c r="D2035" s="2" t="str">
        <f t="shared" si="30"/>
        <v>Error?</v>
      </c>
    </row>
    <row r="2036" spans="1:4" x14ac:dyDescent="0.2">
      <c r="A2036" s="5">
        <v>1975</v>
      </c>
      <c r="B2036" s="138">
        <f>'Cap Outlay Deprec 26'!H13</f>
        <v>3099872</v>
      </c>
      <c r="D2036" s="2" t="str">
        <f t="shared" si="30"/>
        <v>Error?</v>
      </c>
    </row>
    <row r="2037" spans="1:4" x14ac:dyDescent="0.2">
      <c r="A2037" s="5">
        <v>1976</v>
      </c>
      <c r="B2037" s="138">
        <f>'Cap Outlay Deprec 26'!H16</f>
        <v>48204801</v>
      </c>
      <c r="C2037" s="2" t="s">
        <v>573</v>
      </c>
      <c r="D2037" s="2" t="str">
        <f t="shared" si="30"/>
        <v>Error?</v>
      </c>
    </row>
    <row r="2038" spans="1:4" x14ac:dyDescent="0.2">
      <c r="A2038" s="10">
        <v>1977</v>
      </c>
      <c r="D2038" s="2" t="str">
        <f t="shared" si="30"/>
        <v>OK</v>
      </c>
    </row>
    <row r="2039" spans="1:4" x14ac:dyDescent="0.2">
      <c r="A2039" s="5">
        <v>1978</v>
      </c>
      <c r="B2039" s="138">
        <f>'Cap Outlay Deprec 26'!I8</f>
        <v>1112993</v>
      </c>
      <c r="D2039" s="2" t="str">
        <f t="shared" si="30"/>
        <v>Error?</v>
      </c>
    </row>
    <row r="2040" spans="1:4" x14ac:dyDescent="0.2">
      <c r="A2040" s="5">
        <v>1979</v>
      </c>
      <c r="B2040" s="138">
        <f>'Cap Outlay Deprec 26'!I10</f>
        <v>795238</v>
      </c>
      <c r="D2040" s="2" t="str">
        <f t="shared" si="30"/>
        <v>Error?</v>
      </c>
    </row>
    <row r="2041" spans="1:4" x14ac:dyDescent="0.2">
      <c r="A2041" s="5">
        <v>1980</v>
      </c>
      <c r="B2041" s="138">
        <f>'Cap Outlay Deprec 26'!I12</f>
        <v>878434</v>
      </c>
      <c r="D2041" s="2" t="str">
        <f t="shared" si="30"/>
        <v>Error?</v>
      </c>
    </row>
    <row r="2042" spans="1:4" x14ac:dyDescent="0.2">
      <c r="A2042" s="5">
        <v>1981</v>
      </c>
      <c r="B2042" s="138">
        <f>'Cap Outlay Deprec 26'!I13</f>
        <v>728559</v>
      </c>
      <c r="D2042" s="2" t="str">
        <f t="shared" si="30"/>
        <v>Error?</v>
      </c>
    </row>
    <row r="2043" spans="1:4" x14ac:dyDescent="0.2">
      <c r="A2043" s="5">
        <v>1982</v>
      </c>
      <c r="B2043" s="138">
        <f>'Cap Outlay Deprec 26'!I16</f>
        <v>3515224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215297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215297</v>
      </c>
      <c r="C2049" s="2" t="s">
        <v>573</v>
      </c>
      <c r="D2049" s="2" t="str">
        <f t="shared" si="31"/>
        <v>Error?</v>
      </c>
    </row>
    <row r="2050" spans="1:4" x14ac:dyDescent="0.2">
      <c r="A2050" s="10">
        <v>1989</v>
      </c>
      <c r="D2050" s="2" t="str">
        <f t="shared" si="31"/>
        <v>OK</v>
      </c>
    </row>
    <row r="2051" spans="1:4" x14ac:dyDescent="0.2">
      <c r="A2051" s="5">
        <v>1990</v>
      </c>
      <c r="B2051" s="138">
        <f>'Cap Outlay Deprec 26'!K8</f>
        <v>22058259</v>
      </c>
      <c r="C2051" s="2" t="s">
        <v>573</v>
      </c>
      <c r="D2051" s="2" t="str">
        <f t="shared" si="31"/>
        <v>Error?</v>
      </c>
    </row>
    <row r="2052" spans="1:4" x14ac:dyDescent="0.2">
      <c r="A2052" s="5">
        <v>1991</v>
      </c>
      <c r="B2052" s="138">
        <f>'Cap Outlay Deprec 26'!K10</f>
        <v>5011681</v>
      </c>
      <c r="C2052" s="2" t="s">
        <v>573</v>
      </c>
      <c r="D2052" s="2" t="str">
        <f t="shared" si="31"/>
        <v>Error?</v>
      </c>
    </row>
    <row r="2053" spans="1:4" x14ac:dyDescent="0.2">
      <c r="A2053" s="5">
        <v>1992</v>
      </c>
      <c r="B2053" s="138">
        <f>'Cap Outlay Deprec 26'!K12</f>
        <v>20606357</v>
      </c>
      <c r="C2053" s="2" t="s">
        <v>573</v>
      </c>
      <c r="D2053" s="2" t="str">
        <f t="shared" si="31"/>
        <v>Error?</v>
      </c>
    </row>
    <row r="2054" spans="1:4" x14ac:dyDescent="0.2">
      <c r="A2054" s="5">
        <v>1993</v>
      </c>
      <c r="B2054" s="138">
        <f>'Cap Outlay Deprec 26'!K13</f>
        <v>3828431</v>
      </c>
      <c r="C2054" s="2" t="s">
        <v>573</v>
      </c>
      <c r="D2054" s="2" t="str">
        <f t="shared" si="31"/>
        <v>Error?</v>
      </c>
    </row>
    <row r="2055" spans="1:4" x14ac:dyDescent="0.2">
      <c r="A2055" s="5">
        <v>1994</v>
      </c>
      <c r="B2055" s="138">
        <f>'Cap Outlay Deprec 26'!K16</f>
        <v>51504728</v>
      </c>
      <c r="C2055" s="2" t="s">
        <v>573</v>
      </c>
      <c r="D2055" s="2" t="str">
        <f t="shared" si="31"/>
        <v>Error?</v>
      </c>
    </row>
    <row r="2056" spans="1:4" x14ac:dyDescent="0.2">
      <c r="A2056" s="5">
        <v>1995</v>
      </c>
      <c r="B2056" s="138">
        <f>'Cap Outlay Deprec 26'!L5</f>
        <v>1096591</v>
      </c>
      <c r="C2056" s="2" t="s">
        <v>573</v>
      </c>
      <c r="D2056" s="2" t="str">
        <f t="shared" si="31"/>
        <v>Error?</v>
      </c>
    </row>
    <row r="2057" spans="1:4" x14ac:dyDescent="0.2">
      <c r="A2057" s="5">
        <v>1996</v>
      </c>
      <c r="B2057" s="138">
        <f>'Cap Outlay Deprec 26'!L8</f>
        <v>30670656</v>
      </c>
      <c r="C2057" s="2" t="s">
        <v>573</v>
      </c>
      <c r="D2057" s="2" t="str">
        <f t="shared" si="31"/>
        <v>Error?</v>
      </c>
    </row>
    <row r="2058" spans="1:4" x14ac:dyDescent="0.2">
      <c r="A2058" s="5">
        <v>1997</v>
      </c>
      <c r="B2058" s="138">
        <f>'Cap Outlay Deprec 26'!L10</f>
        <v>26897584</v>
      </c>
      <c r="C2058" s="2" t="s">
        <v>573</v>
      </c>
      <c r="D2058" s="2" t="str">
        <f t="shared" si="31"/>
        <v>Error?</v>
      </c>
    </row>
    <row r="2059" spans="1:4" x14ac:dyDescent="0.2">
      <c r="A2059" s="5">
        <v>1998</v>
      </c>
      <c r="B2059" s="138">
        <f>'Cap Outlay Deprec 26'!L12</f>
        <v>2448466</v>
      </c>
      <c r="C2059" s="2" t="s">
        <v>573</v>
      </c>
      <c r="D2059" s="2" t="str">
        <f t="shared" si="31"/>
        <v>Error?</v>
      </c>
    </row>
    <row r="2060" spans="1:4" x14ac:dyDescent="0.2">
      <c r="A2060" s="5">
        <v>1999</v>
      </c>
      <c r="B2060" s="138">
        <f>'Cap Outlay Deprec 26'!L13</f>
        <v>2068329</v>
      </c>
      <c r="C2060" s="2" t="s">
        <v>573</v>
      </c>
      <c r="D2060" s="2" t="str">
        <f t="shared" si="31"/>
        <v>Error?</v>
      </c>
    </row>
    <row r="2061" spans="1:4" x14ac:dyDescent="0.2">
      <c r="A2061" s="5">
        <v>2000</v>
      </c>
      <c r="B2061" s="138">
        <f>'Cap Outlay Deprec 26'!L16</f>
        <v>65533253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1023196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1026679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260627</v>
      </c>
      <c r="D2435" s="2" t="str">
        <f t="shared" si="37"/>
        <v>Error?</v>
      </c>
    </row>
    <row r="2436" spans="1:4" x14ac:dyDescent="0.2">
      <c r="A2436" s="10">
        <v>2375</v>
      </c>
      <c r="D2436" s="2" t="str">
        <f t="shared" si="37"/>
        <v>OK</v>
      </c>
    </row>
    <row r="2437" spans="1:4" x14ac:dyDescent="0.2">
      <c r="A2437" s="5">
        <v>2376</v>
      </c>
      <c r="B2437" s="138">
        <f>'Assets-Liab 5-6'!D38</f>
        <v>3252816</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606209</v>
      </c>
      <c r="D2475" s="2" t="str">
        <f t="shared" si="37"/>
        <v>Error?</v>
      </c>
    </row>
    <row r="2476" spans="1:4" x14ac:dyDescent="0.2">
      <c r="A2476" s="10">
        <v>2415</v>
      </c>
      <c r="D2476" s="2" t="str">
        <f t="shared" si="37"/>
        <v>OK</v>
      </c>
    </row>
    <row r="2477" spans="1:4" x14ac:dyDescent="0.2">
      <c r="A2477" s="5">
        <v>2416</v>
      </c>
      <c r="B2477" s="138">
        <f>'Assets-Liab 5-6'!G38</f>
        <v>2610246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34355024</v>
      </c>
      <c r="C2551" s="2" t="s">
        <v>573</v>
      </c>
      <c r="D2551" s="2" t="str">
        <f t="shared" si="38"/>
        <v>Error?</v>
      </c>
    </row>
    <row r="2552" spans="1:4" x14ac:dyDescent="0.2">
      <c r="A2552" s="10">
        <v>2491</v>
      </c>
      <c r="D2552" s="2" t="str">
        <f t="shared" si="38"/>
        <v>OK</v>
      </c>
    </row>
    <row r="2553" spans="1:4" x14ac:dyDescent="0.2">
      <c r="A2553" s="5">
        <v>2492</v>
      </c>
      <c r="B2553" s="138">
        <f>'Acct Summary 7-8'!C6</f>
        <v>4665791</v>
      </c>
      <c r="C2553" s="2" t="s">
        <v>573</v>
      </c>
      <c r="D2553" s="2" t="str">
        <f t="shared" si="38"/>
        <v>Error?</v>
      </c>
    </row>
    <row r="2554" spans="1:4" x14ac:dyDescent="0.2">
      <c r="A2554" s="5">
        <v>2493</v>
      </c>
      <c r="B2554" s="138">
        <f>'Acct Summary 7-8'!C7</f>
        <v>2087886</v>
      </c>
      <c r="C2554" s="2" t="s">
        <v>573</v>
      </c>
      <c r="D2554" s="2" t="str">
        <f t="shared" si="38"/>
        <v>Error?</v>
      </c>
    </row>
    <row r="2555" spans="1:4" x14ac:dyDescent="0.2">
      <c r="A2555" s="5">
        <v>2494</v>
      </c>
      <c r="B2555" s="138">
        <f>'Acct Summary 7-8'!C8</f>
        <v>41108701</v>
      </c>
      <c r="C2555" s="2" t="s">
        <v>573</v>
      </c>
      <c r="D2555" s="2" t="str">
        <f t="shared" si="38"/>
        <v>Error?</v>
      </c>
    </row>
    <row r="2556" spans="1:4" x14ac:dyDescent="0.2">
      <c r="A2556" s="5">
        <v>2495</v>
      </c>
      <c r="B2556" s="138">
        <f>'Acct Summary 7-8'!C12</f>
        <v>26186555</v>
      </c>
      <c r="C2556" s="2" t="s">
        <v>573</v>
      </c>
      <c r="D2556" s="2" t="str">
        <f t="shared" si="38"/>
        <v>Error?</v>
      </c>
    </row>
    <row r="2557" spans="1:4" x14ac:dyDescent="0.2">
      <c r="A2557" s="5">
        <v>2496</v>
      </c>
      <c r="B2557" s="138">
        <f>'Acct Summary 7-8'!C13</f>
        <v>10238860</v>
      </c>
      <c r="C2557" s="2" t="s">
        <v>573</v>
      </c>
      <c r="D2557" s="2" t="str">
        <f t="shared" si="38"/>
        <v>Error?</v>
      </c>
    </row>
    <row r="2558" spans="1:4" x14ac:dyDescent="0.2">
      <c r="A2558" s="5">
        <v>2497</v>
      </c>
      <c r="B2558" s="138">
        <f>'Acct Summary 7-8'!C14</f>
        <v>136990</v>
      </c>
      <c r="C2558" s="2" t="s">
        <v>573</v>
      </c>
      <c r="D2558" s="2" t="str">
        <f t="shared" si="38"/>
        <v>Error?</v>
      </c>
    </row>
    <row r="2559" spans="1:4" x14ac:dyDescent="0.2">
      <c r="A2559" s="5">
        <v>2498</v>
      </c>
      <c r="B2559" s="138">
        <f>'Acct Summary 7-8'!C15</f>
        <v>1026679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37589084</v>
      </c>
      <c r="C2561" s="2" t="s">
        <v>573</v>
      </c>
      <c r="D2561" s="2" t="str">
        <f t="shared" si="39"/>
        <v>Error?</v>
      </c>
    </row>
    <row r="2562" spans="1:4" x14ac:dyDescent="0.2">
      <c r="A2562" s="5">
        <v>2501</v>
      </c>
      <c r="B2562" s="138">
        <f>'Acct Summary 7-8'!C20</f>
        <v>3519617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4154534</v>
      </c>
      <c r="C2564" s="2" t="s">
        <v>573</v>
      </c>
      <c r="D2564" s="2" t="str">
        <f t="shared" si="39"/>
        <v>Error?</v>
      </c>
    </row>
    <row r="2565" spans="1:4" x14ac:dyDescent="0.2">
      <c r="A2565" s="10">
        <v>2504</v>
      </c>
      <c r="D2565" s="2" t="str">
        <f t="shared" si="39"/>
        <v>OK</v>
      </c>
    </row>
    <row r="2566" spans="1:4" x14ac:dyDescent="0.2">
      <c r="A2566" s="5">
        <v>2505</v>
      </c>
      <c r="B2566" s="138">
        <f>'Acct Summary 7-8'!D6</f>
        <v>2022569</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6177103</v>
      </c>
      <c r="C2568" s="2" t="s">
        <v>573</v>
      </c>
      <c r="D2568" s="2" t="str">
        <f t="shared" si="39"/>
        <v>Error?</v>
      </c>
    </row>
    <row r="2569" spans="1:4" x14ac:dyDescent="0.2">
      <c r="A2569" s="5">
        <v>2508</v>
      </c>
      <c r="B2569" s="138">
        <f>'Acct Summary 7-8'!D13</f>
        <v>7343123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7343123</v>
      </c>
      <c r="C2573" s="2" t="s">
        <v>573</v>
      </c>
      <c r="D2573" s="2" t="str">
        <f t="shared" si="39"/>
        <v>Error?</v>
      </c>
    </row>
    <row r="2574" spans="1:4" x14ac:dyDescent="0.2">
      <c r="A2574" s="5">
        <v>2513</v>
      </c>
      <c r="B2574" s="138">
        <f>'Acct Summary 7-8'!D20</f>
        <v>-1166020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1556670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1556670</v>
      </c>
      <c r="C2595" s="2" t="s">
        <v>573</v>
      </c>
      <c r="D2595" s="2" t="str">
        <f t="shared" si="39"/>
        <v>Error?</v>
      </c>
    </row>
    <row r="2596" spans="1:4" x14ac:dyDescent="0.2">
      <c r="A2596" s="5">
        <v>2535</v>
      </c>
      <c r="B2596" s="138">
        <f>'Acct Summary 7-8'!F13</f>
        <v>1786368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1786368</v>
      </c>
      <c r="C2600" s="2" t="s">
        <v>573</v>
      </c>
      <c r="D2600" s="2" t="str">
        <f t="shared" si="39"/>
        <v>Error?</v>
      </c>
    </row>
    <row r="2601" spans="1:4" x14ac:dyDescent="0.2">
      <c r="A2601" s="5">
        <v>2540</v>
      </c>
      <c r="B2601" s="138">
        <f>'Acct Summary 7-8'!F20</f>
        <v>-229698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1230572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1230572</v>
      </c>
      <c r="C2606" s="2" t="s">
        <v>573</v>
      </c>
      <c r="D2606" s="2" t="str">
        <f t="shared" si="39"/>
        <v>Error?</v>
      </c>
    </row>
    <row r="2607" spans="1:4" x14ac:dyDescent="0.2">
      <c r="A2607" s="5">
        <v>2546</v>
      </c>
      <c r="B2607" s="138">
        <f>'Acct Summary 7-8'!G12</f>
        <v>718404</v>
      </c>
      <c r="C2607" s="2" t="s">
        <v>573</v>
      </c>
      <c r="D2607" s="2" t="str">
        <f t="shared" si="39"/>
        <v>Error?</v>
      </c>
    </row>
    <row r="2608" spans="1:4" x14ac:dyDescent="0.2">
      <c r="A2608" s="5">
        <v>2547</v>
      </c>
      <c r="B2608" s="138">
        <f>'Acct Summary 7-8'!G13</f>
        <v>786218</v>
      </c>
      <c r="C2608" s="2" t="s">
        <v>573</v>
      </c>
      <c r="D2608" s="2" t="str">
        <f t="shared" si="39"/>
        <v>Error?</v>
      </c>
    </row>
    <row r="2609" spans="1:4" x14ac:dyDescent="0.2">
      <c r="A2609" s="5">
        <v>2548</v>
      </c>
      <c r="B2609" s="138">
        <f>'Acct Summary 7-8'!G14</f>
        <v>215</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1504837</v>
      </c>
      <c r="C2612" s="2" t="s">
        <v>573</v>
      </c>
      <c r="D2612" s="2" t="str">
        <f t="shared" si="39"/>
        <v>Error?</v>
      </c>
    </row>
    <row r="2613" spans="1:4" x14ac:dyDescent="0.2">
      <c r="A2613" s="5">
        <v>2552</v>
      </c>
      <c r="B2613" s="138">
        <f>'Acct Summary 7-8'!G20</f>
        <v>-274265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475909</v>
      </c>
      <c r="D2718" s="2" t="str">
        <f t="shared" si="41"/>
        <v>Error?</v>
      </c>
    </row>
    <row r="2719" spans="1:4" x14ac:dyDescent="0.2">
      <c r="A2719" s="5">
        <v>2658</v>
      </c>
      <c r="B2719" s="138">
        <f>'Expenditures 15-22'!D51</f>
        <v>26832</v>
      </c>
      <c r="D2719" s="2" t="str">
        <f t="shared" si="41"/>
        <v>Error?</v>
      </c>
    </row>
    <row r="2720" spans="1:4" x14ac:dyDescent="0.2">
      <c r="A2720" s="5">
        <v>2659</v>
      </c>
      <c r="B2720" s="138">
        <f>'Expenditures 15-22'!E51</f>
        <v>305</v>
      </c>
      <c r="D2720" s="2" t="str">
        <f t="shared" si="41"/>
        <v>Error?</v>
      </c>
    </row>
    <row r="2721" spans="1:4" x14ac:dyDescent="0.2">
      <c r="A2721" s="5">
        <v>2660</v>
      </c>
      <c r="B2721" s="138">
        <f>'Expenditures 15-22'!F51</f>
        <v>3432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180</v>
      </c>
      <c r="D2723" s="2" t="str">
        <f t="shared" si="41"/>
        <v>Error?</v>
      </c>
    </row>
    <row r="2724" spans="1:4" x14ac:dyDescent="0.2">
      <c r="A2724" s="5">
        <v>2663</v>
      </c>
      <c r="B2724" s="138">
        <f>'Expenditures 15-22'!K51</f>
        <v>506658</v>
      </c>
      <c r="C2724" s="2" t="s">
        <v>573</v>
      </c>
      <c r="D2724" s="2" t="str">
        <f t="shared" si="41"/>
        <v>Error?</v>
      </c>
    </row>
    <row r="2725" spans="1:4" x14ac:dyDescent="0.2">
      <c r="A2725" s="5">
        <v>2664</v>
      </c>
      <c r="B2725" s="138">
        <f>'Expenditures 15-22'!D247</f>
        <v>29484</v>
      </c>
      <c r="D2725" s="2" t="str">
        <f t="shared" si="41"/>
        <v>Error?</v>
      </c>
    </row>
    <row r="2726" spans="1:4" x14ac:dyDescent="0.2">
      <c r="A2726" s="5">
        <v>2665</v>
      </c>
      <c r="B2726" s="138">
        <f>'Expenditures 15-22'!K247</f>
        <v>29484</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3483</v>
      </c>
      <c r="C2789" s="2" t="s">
        <v>573</v>
      </c>
      <c r="D2789" s="2" t="str">
        <f t="shared" si="42"/>
        <v>Error?</v>
      </c>
    </row>
    <row r="2790" spans="1:4" x14ac:dyDescent="0.2">
      <c r="A2790" s="5">
        <v>2729</v>
      </c>
      <c r="B2790" s="138">
        <f>'Expenditures 15-22'!E102</f>
        <v>3483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2351627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131196</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4149241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166586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139193</v>
      </c>
      <c r="D2908" s="2" t="str">
        <f t="shared" si="44"/>
        <v>Error?</v>
      </c>
    </row>
    <row r="2909" spans="1:4" x14ac:dyDescent="0.2">
      <c r="A2909" s="10">
        <v>2848</v>
      </c>
      <c r="D2909" s="2" t="str">
        <f t="shared" si="44"/>
        <v>OK</v>
      </c>
    </row>
    <row r="2910" spans="1:4" x14ac:dyDescent="0.2">
      <c r="A2910" s="5">
        <v>2849</v>
      </c>
      <c r="B2910" s="138">
        <f>'Assets-Liab 5-6'!I34</f>
        <v>139193</v>
      </c>
      <c r="C2910" s="2" t="s">
        <v>573</v>
      </c>
      <c r="D2910" s="2" t="str">
        <f t="shared" si="44"/>
        <v>Error?</v>
      </c>
    </row>
    <row r="2911" spans="1:4" x14ac:dyDescent="0.2">
      <c r="A2911" s="5">
        <v>2850</v>
      </c>
      <c r="B2911" s="138">
        <f>'Assets-Liab 5-6'!I38</f>
        <v>4010048</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4149241</v>
      </c>
      <c r="C2913" s="2" t="s">
        <v>573</v>
      </c>
      <c r="D2913" s="2" t="str">
        <f t="shared" si="44"/>
        <v>Error?</v>
      </c>
    </row>
    <row r="2914" spans="1:4" x14ac:dyDescent="0.2">
      <c r="A2914" s="5">
        <v>2853</v>
      </c>
      <c r="B2914" s="138">
        <f>'Assets-Liab 5-6'!L33</f>
        <v>166586</v>
      </c>
      <c r="D2914" s="2" t="str">
        <f t="shared" si="44"/>
        <v>Error?</v>
      </c>
    </row>
    <row r="2915" spans="1:4" x14ac:dyDescent="0.2">
      <c r="A2915" s="10">
        <v>2854</v>
      </c>
      <c r="D2915" s="2" t="str">
        <f t="shared" si="44"/>
        <v>OK</v>
      </c>
    </row>
    <row r="2916" spans="1:4" x14ac:dyDescent="0.2">
      <c r="A2916" s="5">
        <v>2855</v>
      </c>
      <c r="B2916" s="138">
        <f>'Assets-Liab 5-6'!L34</f>
        <v>166586</v>
      </c>
      <c r="C2916" s="2" t="s">
        <v>573</v>
      </c>
      <c r="D2916" s="2" t="str">
        <f t="shared" si="44"/>
        <v>Error?</v>
      </c>
    </row>
    <row r="2917" spans="1:4" x14ac:dyDescent="0.2">
      <c r="A2917" s="5">
        <v>2856</v>
      </c>
      <c r="B2917" s="138">
        <f>'Assets-Liab 5-6'!L41</f>
        <v>166586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3483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1023196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1026679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582325</v>
      </c>
      <c r="D3055" s="2" t="str">
        <f t="shared" si="46"/>
        <v>Error?</v>
      </c>
    </row>
    <row r="3056" spans="1:4" x14ac:dyDescent="0.2">
      <c r="A3056" s="5">
        <v>2995</v>
      </c>
      <c r="B3056" s="138">
        <f>'Expenditures 15-22'!D10</f>
        <v>45446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627771</v>
      </c>
      <c r="C3062" s="2" t="s">
        <v>573</v>
      </c>
      <c r="D3062" s="2" t="str">
        <f t="shared" si="46"/>
        <v>Error?</v>
      </c>
    </row>
    <row r="3063" spans="1:4" x14ac:dyDescent="0.2">
      <c r="A3063" s="10">
        <v>3002</v>
      </c>
      <c r="D3063" s="2" t="str">
        <f t="shared" si="46"/>
        <v>OK</v>
      </c>
    </row>
    <row r="3064" spans="1:4" x14ac:dyDescent="0.2">
      <c r="A3064" s="5">
        <v>3003</v>
      </c>
      <c r="B3064" s="138">
        <f>'Expenditures 15-22'!D219</f>
        <v>6582</v>
      </c>
      <c r="D3064" s="2" t="str">
        <f t="shared" si="46"/>
        <v>Error?</v>
      </c>
    </row>
    <row r="3065" spans="1:4" x14ac:dyDescent="0.2">
      <c r="A3065" s="5">
        <v>3004</v>
      </c>
      <c r="B3065" s="138">
        <f>'Expenditures 15-22'!K219</f>
        <v>6582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361292</v>
      </c>
      <c r="C3225" s="2" t="s">
        <v>573</v>
      </c>
      <c r="D3225" s="2" t="str">
        <f t="shared" si="49"/>
        <v>Error?</v>
      </c>
    </row>
    <row r="3226" spans="1:4" x14ac:dyDescent="0.2">
      <c r="A3226" s="5">
        <v>3165</v>
      </c>
      <c r="B3226" s="138">
        <f>'Acct Summary 7-8'!I8</f>
        <v>361292</v>
      </c>
      <c r="C3226" s="2" t="s">
        <v>573</v>
      </c>
      <c r="D3226" s="2" t="str">
        <f t="shared" si="49"/>
        <v>Error?</v>
      </c>
    </row>
    <row r="3227" spans="1:4" x14ac:dyDescent="0.2">
      <c r="A3227" s="5">
        <v>3166</v>
      </c>
      <c r="B3227" s="138">
        <f>'Acct Summary 7-8'!I20</f>
        <v>361292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3519617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-1166020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-229698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-274265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361292</v>
      </c>
      <c r="C3320" s="2" t="s">
        <v>573</v>
      </c>
      <c r="D3320" s="2" t="str">
        <f t="shared" si="50"/>
        <v>Error?</v>
      </c>
    </row>
    <row r="3321" spans="1:4" x14ac:dyDescent="0.2">
      <c r="A3321" s="5">
        <v>3260</v>
      </c>
      <c r="B3321" s="138">
        <f>'Acct Summary 7-8'!I79</f>
        <v>3648756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4010048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4634723</v>
      </c>
      <c r="D3366" s="2" t="str">
        <f t="shared" si="51"/>
        <v>Error?</v>
      </c>
    </row>
    <row r="3367" spans="1:4" x14ac:dyDescent="0.2">
      <c r="A3367" s="5">
        <v>3306</v>
      </c>
      <c r="B3367" s="138">
        <f>'Expenditures 15-22'!C19</f>
        <v>93694</v>
      </c>
      <c r="D3367" s="2" t="str">
        <f t="shared" si="51"/>
        <v>Error?</v>
      </c>
    </row>
    <row r="3368" spans="1:4" x14ac:dyDescent="0.2">
      <c r="A3368" s="5">
        <v>3307</v>
      </c>
      <c r="B3368" s="138">
        <f>'Expenditures 15-22'!D8</f>
        <v>503598</v>
      </c>
      <c r="D3368" s="2" t="str">
        <f t="shared" si="51"/>
        <v>Error?</v>
      </c>
    </row>
    <row r="3369" spans="1:4" x14ac:dyDescent="0.2">
      <c r="A3369" s="5">
        <v>3308</v>
      </c>
      <c r="B3369" s="138">
        <f>'Expenditures 15-22'!D19</f>
        <v>29194</v>
      </c>
      <c r="D3369" s="2" t="str">
        <f t="shared" si="51"/>
        <v>Error?</v>
      </c>
    </row>
    <row r="3370" spans="1:4" x14ac:dyDescent="0.2">
      <c r="A3370" s="5">
        <v>3309</v>
      </c>
      <c r="B3370" s="138">
        <f>'Expenditures 15-22'!E8</f>
        <v>1794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84697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3391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5228203</v>
      </c>
      <c r="C3380" s="2" t="s">
        <v>573</v>
      </c>
      <c r="D3380" s="2" t="str">
        <f t="shared" si="51"/>
        <v>Error?</v>
      </c>
    </row>
    <row r="3381" spans="1:4" x14ac:dyDescent="0.2">
      <c r="A3381" s="5">
        <v>3320</v>
      </c>
      <c r="B3381" s="138">
        <f>'Expenditures 15-22'!K19</f>
        <v>122888</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452156</v>
      </c>
      <c r="D3387" s="2" t="str">
        <f t="shared" si="51"/>
        <v>Error?</v>
      </c>
    </row>
    <row r="3388" spans="1:4" x14ac:dyDescent="0.2">
      <c r="A3388" s="5">
        <v>3327</v>
      </c>
      <c r="B3388" s="138">
        <f>'Expenditures 15-22'!D217</f>
        <v>221732</v>
      </c>
      <c r="D3388" s="2" t="str">
        <f t="shared" si="51"/>
        <v>Error?</v>
      </c>
    </row>
    <row r="3389" spans="1:4" x14ac:dyDescent="0.2">
      <c r="A3389" s="5">
        <v>3328</v>
      </c>
      <c r="B3389" s="138">
        <f>'Expenditures 15-22'!D228</f>
        <v>12039</v>
      </c>
      <c r="D3389" s="2" t="str">
        <f t="shared" si="51"/>
        <v>Error?</v>
      </c>
    </row>
    <row r="3390" spans="1:4" x14ac:dyDescent="0.2">
      <c r="A3390" s="5">
        <v>3329</v>
      </c>
      <c r="B3390" s="138">
        <f>'Expenditures 15-22'!K215</f>
        <v>452156</v>
      </c>
      <c r="C3390" s="2" t="s">
        <v>573</v>
      </c>
      <c r="D3390" s="2" t="str">
        <f t="shared" si="51"/>
        <v>Error?</v>
      </c>
    </row>
    <row r="3391" spans="1:4" x14ac:dyDescent="0.2">
      <c r="A3391" s="5">
        <v>3330</v>
      </c>
      <c r="B3391" s="138">
        <f>'Expenditures 15-22'!K217</f>
        <v>221732</v>
      </c>
      <c r="C3391" s="2" t="s">
        <v>573</v>
      </c>
      <c r="D3391" s="2" t="str">
        <f t="shared" ref="D3391:D3454" si="52">IF(ISBLANK(B3391),"OK",IF(A3391-B3391=0,"OK","Error?"))</f>
        <v>Error?</v>
      </c>
    </row>
    <row r="3392" spans="1:4" x14ac:dyDescent="0.2">
      <c r="A3392" s="5">
        <v>3331</v>
      </c>
      <c r="B3392" s="138">
        <f>'Expenditures 15-22'!K228</f>
        <v>12039</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42235701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4198576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429994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2750672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4018045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166586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487426</v>
      </c>
      <c r="C3446" s="2" t="s">
        <v>573</v>
      </c>
      <c r="D3446" s="2" t="str">
        <f t="shared" si="52"/>
        <v>Error?</v>
      </c>
    </row>
    <row r="3447" spans="1:4" x14ac:dyDescent="0.2">
      <c r="A3447" s="5">
        <v>3386</v>
      </c>
      <c r="B3447" s="138">
        <f>'Tax Sched 23'!D16</f>
        <v>438108</v>
      </c>
      <c r="C3447" s="2" t="s">
        <v>573</v>
      </c>
      <c r="D3447" s="2" t="str">
        <f t="shared" si="52"/>
        <v>Error?</v>
      </c>
    </row>
    <row r="3448" spans="1:4" x14ac:dyDescent="0.2">
      <c r="A3448" s="5">
        <v>3387</v>
      </c>
      <c r="B3448" s="138">
        <f>'Tax Sched 23'!C16</f>
        <v>49318</v>
      </c>
      <c r="D3448" s="2" t="str">
        <f t="shared" si="52"/>
        <v>Error?</v>
      </c>
    </row>
    <row r="3449" spans="1:4" x14ac:dyDescent="0.2">
      <c r="A3449" s="5">
        <v>3388</v>
      </c>
      <c r="B3449" s="138">
        <f>'Tax Sched 23'!F16</f>
        <v>47500</v>
      </c>
      <c r="C3449" s="2" t="s">
        <v>573</v>
      </c>
      <c r="D3449" s="2" t="str">
        <f t="shared" si="52"/>
        <v>Error?</v>
      </c>
    </row>
    <row r="3450" spans="1:4" x14ac:dyDescent="0.2">
      <c r="A3450" s="5">
        <v>3389</v>
      </c>
      <c r="B3450" s="138">
        <f>'Tax Sched 23'!E16</f>
        <v>96818</v>
      </c>
      <c r="D3450" s="2" t="str">
        <f t="shared" si="52"/>
        <v>Error?</v>
      </c>
    </row>
    <row r="3451" spans="1:4" x14ac:dyDescent="0.2">
      <c r="A3451" s="5">
        <v>3390</v>
      </c>
      <c r="B3451" s="138">
        <f>'Cap Outlay Deprec 26'!C15</f>
        <v>6882649</v>
      </c>
      <c r="D3451" s="2" t="str">
        <f t="shared" si="52"/>
        <v>Error?</v>
      </c>
    </row>
    <row r="3452" spans="1:4" x14ac:dyDescent="0.2">
      <c r="A3452" s="5">
        <v>3391</v>
      </c>
      <c r="B3452" s="138">
        <f>'Cap Outlay Deprec 26'!D15</f>
        <v>4677666</v>
      </c>
      <c r="D3452" s="2" t="str">
        <f t="shared" si="52"/>
        <v>Error?</v>
      </c>
    </row>
    <row r="3453" spans="1:4" x14ac:dyDescent="0.2">
      <c r="A3453" s="5">
        <v>3392</v>
      </c>
      <c r="B3453" s="138">
        <f>'Cap Outlay Deprec 26'!E15</f>
        <v>9208688</v>
      </c>
      <c r="D3453" s="2" t="str">
        <f t="shared" si="52"/>
        <v>Error?</v>
      </c>
    </row>
    <row r="3454" spans="1:4" x14ac:dyDescent="0.2">
      <c r="A3454" s="5">
        <v>3393</v>
      </c>
      <c r="B3454" s="138">
        <f>'Cap Outlay Deprec 26'!F15</f>
        <v>2351627</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2351627</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61160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17309756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58418457</v>
      </c>
      <c r="C4122" s="2" t="s">
        <v>573</v>
      </c>
      <c r="D4122" s="2" t="str">
        <f t="shared" si="63"/>
        <v>Error?</v>
      </c>
    </row>
    <row r="4123" spans="1:4" x14ac:dyDescent="0.2">
      <c r="A4123" s="5">
        <v>4062</v>
      </c>
      <c r="B4123" s="138">
        <f>'Acct Summary 7-8'!D10</f>
        <v>6177103</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1556670</v>
      </c>
      <c r="C4125" s="2" t="s">
        <v>573</v>
      </c>
      <c r="D4125" s="2" t="str">
        <f t="shared" si="63"/>
        <v>Error?</v>
      </c>
    </row>
    <row r="4126" spans="1:4" x14ac:dyDescent="0.2">
      <c r="A4126" s="5">
        <v>4065</v>
      </c>
      <c r="B4126" s="138">
        <f>'Acct Summary 7-8'!G10</f>
        <v>1230572</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361292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17309756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54898840</v>
      </c>
      <c r="C4136" s="2" t="s">
        <v>573</v>
      </c>
      <c r="D4136" s="2" t="str">
        <f t="shared" si="63"/>
        <v>Error?</v>
      </c>
    </row>
    <row r="4137" spans="1:4" x14ac:dyDescent="0.2">
      <c r="A4137" s="5">
        <v>4076</v>
      </c>
      <c r="B4137" s="138">
        <f>'Acct Summary 7-8'!D19</f>
        <v>7343123</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1786368</v>
      </c>
      <c r="C4139" s="2" t="s">
        <v>573</v>
      </c>
      <c r="D4139" s="2" t="str">
        <f t="shared" si="63"/>
        <v>Error?</v>
      </c>
    </row>
    <row r="4140" spans="1:4" x14ac:dyDescent="0.2">
      <c r="A4140" s="5">
        <v>4079</v>
      </c>
      <c r="B4140" s="138">
        <f>'Acct Summary 7-8'!G19</f>
        <v>1504837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3983.4</v>
      </c>
      <c r="C4265" s="2" t="s">
        <v>573</v>
      </c>
      <c r="D4265" s="2" t="str">
        <f t="shared" si="65"/>
        <v>Error?</v>
      </c>
      <c r="E4265" s="128"/>
    </row>
    <row r="4266" spans="1:5" x14ac:dyDescent="0.2">
      <c r="A4266" s="12">
        <v>4205</v>
      </c>
      <c r="B4266" s="138">
        <f>('FP Info 3'!F10)*100000</f>
        <v>481.6</v>
      </c>
      <c r="C4266" s="2" t="s">
        <v>573</v>
      </c>
      <c r="D4266" s="2" t="str">
        <f t="shared" si="65"/>
        <v>Error?</v>
      </c>
      <c r="E4266" s="128"/>
    </row>
    <row r="4267" spans="1:5" x14ac:dyDescent="0.2">
      <c r="A4267" s="12">
        <v>4206</v>
      </c>
      <c r="B4267" s="138">
        <f>('FP Info 3'!H10)*100000</f>
        <v>176.6</v>
      </c>
      <c r="C4267" s="2" t="s">
        <v>573</v>
      </c>
      <c r="D4267" s="2" t="str">
        <f t="shared" si="65"/>
        <v>Error?</v>
      </c>
      <c r="E4267" s="128"/>
    </row>
    <row r="4268" spans="1:5" x14ac:dyDescent="0.2">
      <c r="A4268" s="12">
        <v>4207</v>
      </c>
      <c r="B4268" s="138">
        <f>('FP Info 3'!J10)*100000</f>
        <v>4642</v>
      </c>
      <c r="C4268" s="2" t="s">
        <v>573</v>
      </c>
      <c r="D4268" s="2" t="str">
        <f t="shared" si="65"/>
        <v>Error?</v>
      </c>
    </row>
    <row r="4269" spans="1:5" x14ac:dyDescent="0.2">
      <c r="A4269" s="12">
        <v>4208</v>
      </c>
      <c r="B4269" s="138">
        <f>'FP Info 3'!J16</f>
        <v>46689535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162311</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9525</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52077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247208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23515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15275</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33.199999999999996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2567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864447957</v>
      </c>
      <c r="D4995" s="2" t="str">
        <f t="shared" si="77"/>
        <v>Error?</v>
      </c>
    </row>
    <row r="4996" spans="1:4" x14ac:dyDescent="0.2">
      <c r="A4996" s="12">
        <v>4935</v>
      </c>
      <c r="B4996" s="138">
        <f>'FP Info 3'!H31</f>
        <v>59646909.033000007</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32248427</v>
      </c>
      <c r="D5061" s="2" t="str">
        <f t="shared" si="78"/>
        <v>Error?</v>
      </c>
    </row>
    <row r="5062" spans="1:4" x14ac:dyDescent="0.2">
      <c r="A5062" s="10">
        <v>5001</v>
      </c>
      <c r="D5062" s="2" t="str">
        <f t="shared" si="78"/>
        <v>OK</v>
      </c>
    </row>
    <row r="5063" spans="1:4" x14ac:dyDescent="0.2">
      <c r="A5063" s="5">
        <v>5002</v>
      </c>
      <c r="B5063" s="138">
        <f>'Revenues 9-14'!C7</f>
        <v>246653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32495080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102471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102471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953470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953470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46470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19767</v>
      </c>
      <c r="D5098" s="2" t="str">
        <f t="shared" si="78"/>
        <v>Error?</v>
      </c>
    </row>
    <row r="5099" spans="1:4" x14ac:dyDescent="0.2">
      <c r="A5099" s="5">
        <v>5038</v>
      </c>
      <c r="B5099" s="138">
        <f>'Revenues 9-14'!C79</f>
        <v>14350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34117</v>
      </c>
      <c r="C5102" s="2" t="s">
        <v>573</v>
      </c>
      <c r="D5102" s="2" t="str">
        <f t="shared" si="78"/>
        <v>Error?</v>
      </c>
    </row>
    <row r="5103" spans="1:4" x14ac:dyDescent="0.2">
      <c r="A5103" s="5">
        <v>5042</v>
      </c>
      <c r="B5103" s="138">
        <f>'Revenues 9-14'!C84</f>
        <v>601012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601012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122404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122404</v>
      </c>
      <c r="C5120" s="2" t="s">
        <v>573</v>
      </c>
      <c r="D5120" s="2" t="str">
        <f t="shared" si="79"/>
        <v>Error?</v>
      </c>
    </row>
    <row r="5121" spans="1:4" x14ac:dyDescent="0.2">
      <c r="A5121" s="5">
        <v>5060</v>
      </c>
      <c r="B5121" s="138">
        <f>'Revenues 9-14'!C109</f>
        <v>34355024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3613829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3613829</v>
      </c>
      <c r="C5132" s="2" t="s">
        <v>573</v>
      </c>
      <c r="D5132" s="2" t="str">
        <f t="shared" si="79"/>
        <v>Error?</v>
      </c>
    </row>
    <row r="5133" spans="1:4" x14ac:dyDescent="0.2">
      <c r="A5133" s="5">
        <v>5072</v>
      </c>
      <c r="B5133" s="138">
        <f>'Revenues 9-14'!C125</f>
        <v>324043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24588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348631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3431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3431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1531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906</v>
      </c>
      <c r="D5175" s="2" t="str">
        <f t="shared" si="79"/>
        <v>Error?</v>
      </c>
    </row>
    <row r="5176" spans="1:4" x14ac:dyDescent="0.2">
      <c r="A5176" s="10">
        <v>5115</v>
      </c>
      <c r="D5176" s="2" t="str">
        <f t="shared" si="79"/>
        <v>OK</v>
      </c>
    </row>
    <row r="5177" spans="1:4" x14ac:dyDescent="0.2">
      <c r="A5177" s="5">
        <v>5116</v>
      </c>
      <c r="B5177" s="138">
        <f>'Revenues 9-14'!C153</f>
        <v>694896</v>
      </c>
      <c r="D5177" s="2" t="str">
        <f t="shared" si="79"/>
        <v>Error?</v>
      </c>
    </row>
    <row r="5178" spans="1:4" x14ac:dyDescent="0.2">
      <c r="A5178" s="5">
        <v>5117</v>
      </c>
      <c r="B5178" s="138">
        <f>'Revenues 9-14'!C155</f>
        <v>695802</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1051962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4665791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61160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61160</v>
      </c>
      <c r="C5246" s="2" t="s">
        <v>573</v>
      </c>
      <c r="D5246" s="2" t="str">
        <f t="shared" si="80"/>
        <v>Error?</v>
      </c>
    </row>
    <row r="5247" spans="1:4" x14ac:dyDescent="0.2">
      <c r="A5247" s="5">
        <v>5186</v>
      </c>
      <c r="B5247" s="138">
        <f>'Revenues 9-14'!C200</f>
        <v>561507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23515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571032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51126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954772</v>
      </c>
      <c r="D5278" s="2" t="str">
        <f t="shared" si="81"/>
        <v>Error?</v>
      </c>
    </row>
    <row r="5279" spans="1:4" x14ac:dyDescent="0.2">
      <c r="A5279" s="5">
        <v>5218</v>
      </c>
      <c r="B5279" s="138">
        <f>'Revenues 9-14'!C214</f>
        <v>111721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1117619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2087886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2087886</v>
      </c>
      <c r="C5326" s="2" t="s">
        <v>573</v>
      </c>
      <c r="D5326" s="2" t="str">
        <f t="shared" si="82"/>
        <v>Error?</v>
      </c>
    </row>
    <row r="5327" spans="1:5" x14ac:dyDescent="0.2">
      <c r="A5327" s="5">
        <v>5266</v>
      </c>
      <c r="B5327" s="138">
        <f>'Revenues 9-14'!C268</f>
        <v>41108701</v>
      </c>
      <c r="C5327" s="2" t="s">
        <v>573</v>
      </c>
      <c r="D5327" s="2" t="str">
        <f t="shared" si="82"/>
        <v>Error?</v>
      </c>
    </row>
    <row r="5328" spans="1:5" x14ac:dyDescent="0.2">
      <c r="A5328" s="5">
        <v>5267</v>
      </c>
      <c r="B5328" s="138">
        <f>'Revenues 9-14'!D5</f>
        <v>4007826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4007826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113183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113183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18325</v>
      </c>
      <c r="D5349" s="2" t="str">
        <f t="shared" si="82"/>
        <v>Error?</v>
      </c>
    </row>
    <row r="5350" spans="1:4" x14ac:dyDescent="0.2">
      <c r="A5350" s="5">
        <v>5289</v>
      </c>
      <c r="B5350" s="138">
        <f>'Revenues 9-14'!D96</f>
        <v>15200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33525</v>
      </c>
      <c r="C5355" s="2" t="s">
        <v>573</v>
      </c>
      <c r="D5355" s="2" t="str">
        <f t="shared" si="82"/>
        <v>Error?</v>
      </c>
    </row>
    <row r="5356" spans="1:4" x14ac:dyDescent="0.2">
      <c r="A5356" s="5">
        <v>5295</v>
      </c>
      <c r="B5356" s="138">
        <f>'Revenues 9-14'!D109</f>
        <v>4154534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2022569</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2022569</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2022569</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6177103</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1469909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1469909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73181</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73181</v>
      </c>
      <c r="C5579" s="2" t="s">
        <v>573</v>
      </c>
      <c r="D5579" s="2" t="str">
        <f t="shared" si="86"/>
        <v>Error?</v>
      </c>
    </row>
    <row r="5580" spans="1:4" x14ac:dyDescent="0.2">
      <c r="A5580" s="5">
        <v>5519</v>
      </c>
      <c r="B5580" s="138">
        <f>'Revenues 9-14'!F65</f>
        <v>13580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13580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1556670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1556670</v>
      </c>
      <c r="C5720" s="2" t="s">
        <v>573</v>
      </c>
      <c r="D5720" s="2" t="str">
        <f t="shared" si="88"/>
        <v>Error?</v>
      </c>
    </row>
    <row r="5721" spans="1:4" x14ac:dyDescent="0.2">
      <c r="A5721" s="5">
        <v>5660</v>
      </c>
      <c r="B5721" s="138">
        <f>'Revenues 9-14'!G5</f>
        <v>670788</v>
      </c>
      <c r="D5721" s="2" t="str">
        <f t="shared" si="88"/>
        <v>Error?</v>
      </c>
    </row>
    <row r="5722" spans="1:4" x14ac:dyDescent="0.2">
      <c r="A5722" s="5">
        <v>5661</v>
      </c>
      <c r="B5722" s="138">
        <f>'Revenues 9-14'!G7</f>
        <v>0</v>
      </c>
      <c r="D5722" s="2" t="str">
        <f t="shared" si="88"/>
        <v>Error?</v>
      </c>
    </row>
    <row r="5723" spans="1:4" x14ac:dyDescent="0.2">
      <c r="A5723" s="5">
        <v>5662</v>
      </c>
      <c r="B5723" s="138">
        <f>'Revenues 9-14'!G8</f>
        <v>487426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1158214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72358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72358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1230572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276015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276015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85277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85277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361292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1230572</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361292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46470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3328.6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613688</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260627</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254226</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310933</v>
      </c>
      <c r="D6142" s="2" t="str">
        <f t="shared" si="94"/>
        <v>Error?</v>
      </c>
      <c r="E6142" s="2" t="s">
        <v>190</v>
      </c>
    </row>
    <row r="6143" spans="1:5" x14ac:dyDescent="0.2">
      <c r="A6143">
        <v>6082</v>
      </c>
      <c r="B6143" s="138">
        <f>'Assets-Liab 5-6'!D27</f>
        <v>829744</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26010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3580945</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9460</v>
      </c>
      <c r="D6172" s="2" t="str">
        <f t="shared" si="95"/>
        <v>Error?</v>
      </c>
      <c r="E6172" s="2" t="s">
        <v>190</v>
      </c>
    </row>
    <row r="6173" spans="1:5" x14ac:dyDescent="0.2">
      <c r="A6173">
        <v>6112</v>
      </c>
      <c r="B6173" s="138">
        <f>'Assets-Liab 5-6'!G30</f>
        <v>132983</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3519617</v>
      </c>
      <c r="D6267" s="2" t="str">
        <f t="shared" si="96"/>
        <v>Error?</v>
      </c>
      <c r="E6267" s="2" t="s">
        <v>190</v>
      </c>
    </row>
    <row r="6268" spans="1:5" x14ac:dyDescent="0.2">
      <c r="A6268">
        <v>6207</v>
      </c>
      <c r="B6268" s="138">
        <f>'Acct Summary 7-8'!D82</f>
        <v>-1166020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-229698</v>
      </c>
      <c r="D6270" s="2" t="str">
        <f t="shared" si="96"/>
        <v>Error?</v>
      </c>
      <c r="E6270" s="2" t="s">
        <v>190</v>
      </c>
    </row>
    <row r="6271" spans="1:5" x14ac:dyDescent="0.2">
      <c r="A6271">
        <v>6210</v>
      </c>
      <c r="B6271" s="138">
        <f>'Acct Summary 7-8'!G82</f>
        <v>-274265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361292</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9.0663964792587995E-2</v>
      </c>
      <c r="D6276" s="2" t="str">
        <f t="shared" si="97"/>
        <v>Error?</v>
      </c>
      <c r="E6276" s="2" t="s">
        <v>190</v>
      </c>
    </row>
    <row r="6277" spans="1:5" x14ac:dyDescent="0.2">
      <c r="A6277">
        <v>6216</v>
      </c>
      <c r="B6277" s="138">
        <f>'Acct Summary 7-8'!D83</f>
        <v>-0.35846478866311526</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-0.37890892414992189</v>
      </c>
      <c r="D6279" s="2" t="str">
        <f t="shared" si="97"/>
        <v>Error?</v>
      </c>
      <c r="E6279" s="2" t="s">
        <v>190</v>
      </c>
    </row>
    <row r="6280" spans="1:5" x14ac:dyDescent="0.2">
      <c r="A6280">
        <v>6219</v>
      </c>
      <c r="B6280" s="138">
        <f>'Acct Summary 7-8'!G83</f>
        <v>-0.10507247209649971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9.0096677147006712E-2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3515224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246652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252317</v>
      </c>
      <c r="D7758" s="2" t="str">
        <f t="shared" si="127"/>
        <v>Error?</v>
      </c>
      <c r="E7758" s="4" t="s">
        <v>1333</v>
      </c>
    </row>
    <row r="7759" spans="1:6" x14ac:dyDescent="0.2">
      <c r="A7759">
        <v>7698</v>
      </c>
      <c r="B7759" s="138">
        <f>'Aud Quest 2'!J88</f>
        <v>1289845</v>
      </c>
      <c r="D7759" s="2" t="str">
        <f t="shared" si="127"/>
        <v>Error?</v>
      </c>
      <c r="E7759" s="4" t="s">
        <v>1333</v>
      </c>
    </row>
    <row r="7760" spans="1:6" x14ac:dyDescent="0.2">
      <c r="A7760">
        <v>7699</v>
      </c>
      <c r="B7760" s="138">
        <f>'Aud Quest 2'!J90</f>
        <v>1542162</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1313408</v>
      </c>
      <c r="D7797" s="2" t="str">
        <f t="shared" si="127"/>
        <v>Error?</v>
      </c>
      <c r="E7797" s="4" t="s">
        <v>1900</v>
      </c>
    </row>
    <row r="7798" spans="1:5" x14ac:dyDescent="0.2">
      <c r="A7798">
        <v>7737</v>
      </c>
      <c r="B7798" s="138">
        <f>'Contracts Paid in CY 29'!F141</f>
        <v>100000</v>
      </c>
      <c r="D7798" s="2" t="str">
        <f t="shared" si="127"/>
        <v>Error?</v>
      </c>
      <c r="E7798" s="4" t="s">
        <v>1900</v>
      </c>
    </row>
    <row r="7799" spans="1:5" x14ac:dyDescent="0.2">
      <c r="A7799">
        <v>7738</v>
      </c>
      <c r="B7799" s="138">
        <f>'Contracts Paid in CY 29'!G141</f>
        <v>1213408</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4" zoomScale="110" zoomScaleNormal="110" workbookViewId="0">
      <selection activeCell="B42" sqref="B42"/>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5" t="s">
        <v>1191</v>
      </c>
      <c r="B2" s="2395"/>
      <c r="C2" s="2395"/>
      <c r="D2" s="2395"/>
      <c r="E2" s="2395"/>
      <c r="F2" s="2395"/>
      <c r="G2" s="2395"/>
      <c r="H2" s="2395"/>
      <c r="I2" s="2395"/>
      <c r="J2" s="2395"/>
      <c r="K2" s="2395"/>
      <c r="L2" s="2395"/>
    </row>
    <row r="3" spans="1:29" ht="13.5" customHeight="1" x14ac:dyDescent="0.2">
      <c r="A3" s="2426" t="s">
        <v>1190</v>
      </c>
      <c r="B3" s="2426"/>
      <c r="C3" s="2426"/>
      <c r="D3" s="2426"/>
      <c r="E3" s="2426"/>
      <c r="F3" s="2426"/>
      <c r="G3" s="2426"/>
      <c r="H3" s="2426"/>
      <c r="I3" s="2426"/>
      <c r="J3" s="2426"/>
      <c r="K3" s="2426"/>
      <c r="L3" s="2426"/>
    </row>
    <row r="4" spans="1:29" ht="13.5" customHeight="1" x14ac:dyDescent="0.2">
      <c r="A4" s="2395" t="s">
        <v>1985</v>
      </c>
      <c r="B4" s="2416"/>
      <c r="C4" s="2416"/>
      <c r="D4" s="2416"/>
      <c r="E4" s="2416"/>
      <c r="F4" s="2416"/>
      <c r="G4" s="2416"/>
      <c r="H4" s="2416"/>
      <c r="I4" s="2416"/>
      <c r="J4" s="2416"/>
      <c r="K4" s="2416"/>
      <c r="L4" s="2416"/>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17" t="str">
        <f>COVER!A17</f>
        <v>KIRBY SD 140</v>
      </c>
      <c r="B7" s="2418"/>
      <c r="C7" s="2418"/>
      <c r="D7" s="2419"/>
      <c r="E7" s="2420">
        <f>COVER!A13</f>
        <v>7016140002</v>
      </c>
      <c r="F7" s="2421"/>
      <c r="G7" s="2427" t="str">
        <f>COVER!T23</f>
        <v>066-003328</v>
      </c>
      <c r="H7" s="2428"/>
      <c r="I7" s="2428"/>
      <c r="J7" s="2428"/>
      <c r="K7" s="2428"/>
      <c r="L7" s="2429"/>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30"/>
      <c r="B9" s="2431"/>
      <c r="C9" s="2431"/>
      <c r="D9" s="2431"/>
      <c r="E9" s="2431"/>
      <c r="F9" s="2432"/>
      <c r="G9" s="2401" t="str">
        <f>COVER!T13</f>
        <v>MUELLER &amp; CO., LLP</v>
      </c>
      <c r="H9" s="2433"/>
      <c r="I9" s="2433"/>
      <c r="J9" s="2433"/>
      <c r="K9" s="2433"/>
      <c r="L9" s="2434"/>
    </row>
    <row r="10" spans="1:29" ht="13.5" customHeight="1" x14ac:dyDescent="0.2">
      <c r="A10" s="2407" t="str">
        <f>COVER!A38</f>
        <v>JULIA MIKULICH</v>
      </c>
      <c r="B10" s="2408"/>
      <c r="C10" s="2408"/>
      <c r="D10" s="2408"/>
      <c r="E10" s="2408"/>
      <c r="F10" s="2409"/>
      <c r="G10" s="2401" t="str">
        <f>COVER!T17</f>
        <v>14300 S. RAVINIA AVE. STE.200</v>
      </c>
      <c r="H10" s="2402"/>
      <c r="I10" s="2402"/>
      <c r="J10" s="2402"/>
      <c r="K10" s="2402"/>
      <c r="L10" s="2403"/>
    </row>
    <row r="11" spans="1:29" ht="13.5" customHeight="1" x14ac:dyDescent="0.2">
      <c r="A11" s="1183" t="s">
        <v>1519</v>
      </c>
      <c r="B11" s="1184"/>
      <c r="C11" s="1185"/>
      <c r="D11" s="1190"/>
      <c r="E11" s="1185"/>
      <c r="F11" s="1189"/>
      <c r="G11" s="2401" t="str">
        <f>COVER!T19</f>
        <v>ORLAND PARK</v>
      </c>
      <c r="H11" s="2402"/>
      <c r="I11" s="2402"/>
      <c r="J11" s="2402"/>
      <c r="K11" s="2402"/>
      <c r="L11" s="2403"/>
    </row>
    <row r="12" spans="1:29" ht="13.5" customHeight="1" x14ac:dyDescent="0.2">
      <c r="A12" s="2410" t="s">
        <v>1518</v>
      </c>
      <c r="B12" s="2411"/>
      <c r="C12" s="2411"/>
      <c r="D12" s="2411"/>
      <c r="E12" s="2411"/>
      <c r="F12" s="2412"/>
      <c r="G12" s="2404"/>
      <c r="H12" s="2405"/>
      <c r="I12" s="2405"/>
      <c r="J12" s="2405"/>
      <c r="K12" s="2405"/>
      <c r="L12" s="2406"/>
    </row>
    <row r="13" spans="1:29" ht="13.5" customHeight="1" x14ac:dyDescent="0.2">
      <c r="A13" s="2401"/>
      <c r="B13" s="2402"/>
      <c r="C13" s="2402"/>
      <c r="D13" s="2402"/>
      <c r="E13" s="2402"/>
      <c r="F13" s="2403"/>
      <c r="G13" s="2396" t="s">
        <v>1520</v>
      </c>
      <c r="H13" s="2397"/>
      <c r="I13" s="2413" t="str">
        <f>COVER!T25</f>
        <v>EMCCORMICK@MUELLERCPA.COM</v>
      </c>
      <c r="J13" s="2414"/>
      <c r="K13" s="2414"/>
      <c r="L13" s="2415"/>
    </row>
    <row r="14" spans="1:29" ht="13.5" customHeight="1" x14ac:dyDescent="0.2">
      <c r="A14" s="2401" t="str">
        <f>COVER!A19</f>
        <v>16931 S. GRISSOM DR.</v>
      </c>
      <c r="B14" s="2402"/>
      <c r="C14" s="2402"/>
      <c r="D14" s="2402"/>
      <c r="E14" s="2402"/>
      <c r="F14" s="2403"/>
      <c r="G14" s="1194" t="s">
        <v>1185</v>
      </c>
      <c r="H14" s="1192"/>
      <c r="I14" s="1192"/>
      <c r="J14" s="1192"/>
      <c r="K14" s="1192"/>
      <c r="L14" s="1193"/>
    </row>
    <row r="15" spans="1:29" ht="13.5" customHeight="1" x14ac:dyDescent="0.2">
      <c r="A15" s="2401" t="str">
        <f>COVER!A21</f>
        <v>TINLEY PARK</v>
      </c>
      <c r="B15" s="2402"/>
      <c r="C15" s="2402"/>
      <c r="D15" s="2402"/>
      <c r="E15" s="2402"/>
      <c r="F15" s="2403"/>
      <c r="G15" s="2398" t="str">
        <f>COVER!T15</f>
        <v>EDWARD MCCORMICK</v>
      </c>
      <c r="H15" s="2399"/>
      <c r="I15" s="2399"/>
      <c r="J15" s="2399"/>
      <c r="K15" s="2399"/>
      <c r="L15" s="2400"/>
    </row>
    <row r="16" spans="1:29" ht="12.2" customHeight="1" x14ac:dyDescent="0.2">
      <c r="A16" s="2423">
        <f>COVER!A25</f>
        <v>60477</v>
      </c>
      <c r="B16" s="2424"/>
      <c r="C16" s="2424"/>
      <c r="D16" s="2424"/>
      <c r="E16" s="2424"/>
      <c r="F16" s="2425"/>
      <c r="G16" s="2435"/>
      <c r="H16" s="2436"/>
      <c r="I16" s="2436"/>
      <c r="J16" s="2436"/>
      <c r="K16" s="2436"/>
      <c r="L16" s="2437"/>
    </row>
    <row r="17" spans="1:13" ht="12.2" customHeight="1" x14ac:dyDescent="0.2">
      <c r="A17" s="2438"/>
      <c r="B17" s="2424"/>
      <c r="C17" s="2424"/>
      <c r="D17" s="2424"/>
      <c r="E17" s="2424"/>
      <c r="F17" s="2425"/>
      <c r="G17" s="1194" t="s">
        <v>1184</v>
      </c>
      <c r="H17" s="1192"/>
      <c r="I17" s="1192"/>
      <c r="J17" s="1192"/>
      <c r="K17" s="1196" t="s">
        <v>1183</v>
      </c>
      <c r="L17" s="1189"/>
      <c r="M17" s="1182"/>
    </row>
    <row r="18" spans="1:13" ht="12.2" customHeight="1" x14ac:dyDescent="0.2">
      <c r="A18" s="2407"/>
      <c r="B18" s="2408"/>
      <c r="C18" s="2408"/>
      <c r="D18" s="2408"/>
      <c r="E18" s="2408"/>
      <c r="F18" s="2409"/>
      <c r="G18" s="2417" t="str">
        <f>COVER!T21</f>
        <v>708-428-5305</v>
      </c>
      <c r="H18" s="2418"/>
      <c r="I18" s="2418"/>
      <c r="J18" s="2418"/>
      <c r="K18" s="2417" t="str">
        <f>COVER!X21</f>
        <v>708-349-6999</v>
      </c>
      <c r="L18" s="242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t="s">
        <v>2117</v>
      </c>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t="s">
        <v>2117</v>
      </c>
      <c r="C26" s="1201" t="s">
        <v>1699</v>
      </c>
    </row>
    <row r="27" spans="1:13" s="1197" customFormat="1" ht="9" customHeight="1" x14ac:dyDescent="0.2">
      <c r="B27" s="1202"/>
      <c r="C27" s="1201"/>
    </row>
    <row r="28" spans="1:13" s="1197" customFormat="1" ht="12.2" customHeight="1" x14ac:dyDescent="0.2">
      <c r="A28" s="1204"/>
      <c r="B28" s="1200" t="s">
        <v>2117</v>
      </c>
      <c r="C28" s="1201" t="s">
        <v>1700</v>
      </c>
    </row>
    <row r="29" spans="1:13" s="1197" customFormat="1" ht="9" customHeight="1" x14ac:dyDescent="0.2">
      <c r="A29" s="1204"/>
      <c r="B29" s="1202"/>
      <c r="C29" s="1201"/>
    </row>
    <row r="30" spans="1:13" s="1197" customFormat="1" ht="12.2" customHeight="1" x14ac:dyDescent="0.2">
      <c r="B30" s="1200" t="s">
        <v>2117</v>
      </c>
      <c r="C30" s="1201" t="s">
        <v>1562</v>
      </c>
      <c r="D30" s="1195"/>
      <c r="E30" s="1195"/>
    </row>
    <row r="31" spans="1:13" s="1197" customFormat="1" ht="9" customHeight="1" x14ac:dyDescent="0.2">
      <c r="B31" s="1202"/>
      <c r="C31" s="1201"/>
      <c r="D31" s="1195"/>
      <c r="E31" s="1195"/>
    </row>
    <row r="32" spans="1:13" s="1197" customFormat="1" ht="12.2" customHeight="1" x14ac:dyDescent="0.2">
      <c r="B32" s="1200" t="s">
        <v>2117</v>
      </c>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t="s">
        <v>2117</v>
      </c>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t="s">
        <v>2117</v>
      </c>
      <c r="C38" s="1201" t="s">
        <v>1566</v>
      </c>
    </row>
    <row r="39" spans="1:8" ht="9" customHeight="1" x14ac:dyDescent="0.2">
      <c r="B39" s="1202"/>
      <c r="C39" s="1205"/>
    </row>
    <row r="40" spans="1:8" s="1197" customFormat="1" ht="13.5" customHeight="1" x14ac:dyDescent="0.2">
      <c r="B40" s="1200" t="s">
        <v>2117</v>
      </c>
      <c r="C40" s="1201" t="s">
        <v>1567</v>
      </c>
    </row>
    <row r="41" spans="1:8" ht="9" customHeight="1" x14ac:dyDescent="0.2">
      <c r="A41" s="1206"/>
      <c r="B41" s="1202"/>
      <c r="C41" s="1205"/>
    </row>
    <row r="42" spans="1:8" s="1197" customFormat="1" ht="13.5" customHeight="1" x14ac:dyDescent="0.2">
      <c r="B42" s="1200" t="s">
        <v>2117</v>
      </c>
      <c r="C42" s="1201" t="s">
        <v>1832</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85" zoomScale="125" zoomScaleNormal="125" workbookViewId="0">
      <selection activeCell="B123" sqref="B123"/>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9" t="str">
        <f>'Single Audit Cover'!A7</f>
        <v>KIRBY SD 140</v>
      </c>
      <c r="B1" s="2416"/>
      <c r="C1" s="2416"/>
      <c r="D1" s="2416"/>
    </row>
    <row r="2" spans="1:11" s="1211" customFormat="1" ht="12.75" x14ac:dyDescent="0.2">
      <c r="A2" s="2440">
        <f>'Single Audit Cover'!E7</f>
        <v>7016140002</v>
      </c>
      <c r="B2" s="2441"/>
      <c r="C2" s="2441"/>
      <c r="D2" s="2441"/>
    </row>
    <row r="3" spans="1:11" s="1211" customFormat="1" ht="12.75" x14ac:dyDescent="0.2">
      <c r="A3" s="2439" t="s">
        <v>1513</v>
      </c>
      <c r="B3" s="2416"/>
      <c r="C3" s="2416"/>
      <c r="D3" s="2416"/>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t="s">
        <v>2117</v>
      </c>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t="s">
        <v>2117</v>
      </c>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t="s">
        <v>2117</v>
      </c>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t="s">
        <v>2117</v>
      </c>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t="s">
        <v>2117</v>
      </c>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t="s">
        <v>2074</v>
      </c>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t="s">
        <v>2117</v>
      </c>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t="s">
        <v>2117</v>
      </c>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t="s">
        <v>2117</v>
      </c>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t="s">
        <v>2074</v>
      </c>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t="s">
        <v>2074</v>
      </c>
      <c r="C42" s="1228">
        <v>11</v>
      </c>
      <c r="D42" s="1239" t="s">
        <v>1574</v>
      </c>
      <c r="E42" s="312"/>
    </row>
    <row r="43" spans="1:5" ht="3" customHeight="1" x14ac:dyDescent="0.2">
      <c r="A43" s="1218"/>
      <c r="B43" s="1235"/>
      <c r="C43" s="1236"/>
      <c r="D43" s="1217"/>
    </row>
    <row r="44" spans="1:5" x14ac:dyDescent="0.2">
      <c r="A44" s="1218"/>
      <c r="B44" s="1221" t="s">
        <v>2117</v>
      </c>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t="s">
        <v>2117</v>
      </c>
      <c r="C48" s="1222">
        <f>C44+1</f>
        <v>13</v>
      </c>
      <c r="D48" s="1233" t="s">
        <v>1575</v>
      </c>
    </row>
    <row r="49" spans="1:4" ht="3" customHeight="1" x14ac:dyDescent="0.2">
      <c r="A49" s="1218"/>
      <c r="B49" s="1225"/>
      <c r="C49" s="1222"/>
      <c r="D49" s="1233"/>
    </row>
    <row r="50" spans="1:4" x14ac:dyDescent="0.2">
      <c r="A50" s="1218"/>
      <c r="B50" s="1221" t="s">
        <v>2117</v>
      </c>
      <c r="C50" s="1222">
        <f>C48+1</f>
        <v>14</v>
      </c>
      <c r="D50" s="1233" t="s">
        <v>1212</v>
      </c>
    </row>
    <row r="51" spans="1:4" ht="3" customHeight="1" x14ac:dyDescent="0.2">
      <c r="A51" s="1218"/>
      <c r="B51" s="1225"/>
      <c r="C51" s="1222"/>
      <c r="D51" s="1233"/>
    </row>
    <row r="52" spans="1:4" x14ac:dyDescent="0.2">
      <c r="A52" s="1218"/>
      <c r="B52" s="1221" t="s">
        <v>2117</v>
      </c>
      <c r="C52" s="1222">
        <f>C50+1</f>
        <v>15</v>
      </c>
      <c r="D52" s="1233" t="s">
        <v>1211</v>
      </c>
    </row>
    <row r="53" spans="1:4" ht="3" customHeight="1" x14ac:dyDescent="0.2">
      <c r="A53" s="1218"/>
      <c r="B53" s="1225"/>
      <c r="C53" s="1222"/>
      <c r="D53" s="1233"/>
    </row>
    <row r="54" spans="1:4" x14ac:dyDescent="0.2">
      <c r="A54" s="1218"/>
      <c r="B54" s="1221" t="s">
        <v>2074</v>
      </c>
      <c r="C54" s="1222">
        <f>C52+1</f>
        <v>16</v>
      </c>
      <c r="D54" s="1233" t="s">
        <v>1210</v>
      </c>
    </row>
    <row r="55" spans="1:4" ht="3" customHeight="1" x14ac:dyDescent="0.2">
      <c r="A55" s="1218"/>
      <c r="B55" s="1225"/>
      <c r="C55" s="1222"/>
      <c r="D55" s="1233"/>
    </row>
    <row r="56" spans="1:4" x14ac:dyDescent="0.2">
      <c r="A56" s="1218"/>
      <c r="B56" s="1221" t="s">
        <v>2074</v>
      </c>
      <c r="C56" s="1222">
        <f>C54+1</f>
        <v>17</v>
      </c>
      <c r="D56" s="1217" t="s">
        <v>1708</v>
      </c>
    </row>
    <row r="57" spans="1:4" ht="10.5" customHeight="1" x14ac:dyDescent="0.2">
      <c r="A57" s="1218"/>
      <c r="D57" s="1233" t="s">
        <v>1709</v>
      </c>
    </row>
    <row r="58" spans="1:4" x14ac:dyDescent="0.2">
      <c r="A58" s="1218"/>
      <c r="C58" s="1240" t="s">
        <v>2074</v>
      </c>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t="s">
        <v>2074</v>
      </c>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t="s">
        <v>2074</v>
      </c>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t="s">
        <v>2074</v>
      </c>
      <c r="D69" s="1233" t="s">
        <v>1713</v>
      </c>
    </row>
    <row r="70" spans="1:4" x14ac:dyDescent="0.2">
      <c r="A70" s="1218"/>
      <c r="D70" s="1242" t="s">
        <v>1206</v>
      </c>
    </row>
    <row r="71" spans="1:4" ht="3" customHeight="1" x14ac:dyDescent="0.2">
      <c r="A71" s="1218"/>
      <c r="D71" s="1217"/>
    </row>
    <row r="72" spans="1:4" x14ac:dyDescent="0.2">
      <c r="A72" s="1218"/>
      <c r="B72" s="1221" t="s">
        <v>2117</v>
      </c>
      <c r="C72" s="1222">
        <f>C56+1</f>
        <v>18</v>
      </c>
      <c r="D72" s="1243" t="s">
        <v>1714</v>
      </c>
    </row>
    <row r="73" spans="1:4" ht="3" customHeight="1" x14ac:dyDescent="0.2">
      <c r="A73" s="1218"/>
      <c r="B73" s="1225"/>
      <c r="C73" s="1222"/>
      <c r="D73" s="1243"/>
    </row>
    <row r="74" spans="1:4" x14ac:dyDescent="0.2">
      <c r="A74" s="1218"/>
      <c r="B74" s="1221" t="s">
        <v>2117</v>
      </c>
      <c r="C74" s="1222">
        <f>C72+1</f>
        <v>19</v>
      </c>
      <c r="D74" s="1233" t="s">
        <v>1205</v>
      </c>
    </row>
    <row r="75" spans="1:4" ht="3" customHeight="1" x14ac:dyDescent="0.2">
      <c r="A75" s="1218"/>
      <c r="B75" s="1225"/>
      <c r="C75" s="1222"/>
      <c r="D75" s="1233"/>
    </row>
    <row r="76" spans="1:4" x14ac:dyDescent="0.2">
      <c r="A76" s="1218"/>
      <c r="B76" s="1221" t="s">
        <v>2117</v>
      </c>
      <c r="C76" s="1222">
        <f>C74+1</f>
        <v>20</v>
      </c>
      <c r="D76" s="1244" t="s">
        <v>1715</v>
      </c>
    </row>
    <row r="77" spans="1:4" ht="3" customHeight="1" x14ac:dyDescent="0.2">
      <c r="A77" s="1218"/>
      <c r="B77" s="1225"/>
      <c r="C77" s="1222"/>
      <c r="D77" s="1244"/>
    </row>
    <row r="78" spans="1:4" x14ac:dyDescent="0.2">
      <c r="A78" s="1218"/>
      <c r="B78" s="1221" t="s">
        <v>2117</v>
      </c>
      <c r="C78" s="1222">
        <f>C76+1</f>
        <v>21</v>
      </c>
      <c r="D78" s="1217" t="s">
        <v>1716</v>
      </c>
    </row>
    <row r="79" spans="1:4" ht="3" customHeight="1" x14ac:dyDescent="0.2">
      <c r="A79" s="1218"/>
      <c r="B79" s="1225"/>
      <c r="C79" s="1222"/>
      <c r="D79" s="1217"/>
    </row>
    <row r="80" spans="1:4" x14ac:dyDescent="0.2">
      <c r="A80" s="1218"/>
      <c r="B80" s="1221" t="s">
        <v>2117</v>
      </c>
      <c r="C80" s="1222">
        <f>C78+1</f>
        <v>22</v>
      </c>
      <c r="D80" s="1245" t="s">
        <v>1717</v>
      </c>
    </row>
    <row r="81" spans="1:4" ht="3" customHeight="1" x14ac:dyDescent="0.2">
      <c r="A81" s="1218"/>
      <c r="B81" s="1225"/>
      <c r="C81" s="1222"/>
      <c r="D81" s="1245"/>
    </row>
    <row r="82" spans="1:4" x14ac:dyDescent="0.2">
      <c r="A82" s="1218"/>
      <c r="B82" s="1221" t="s">
        <v>2117</v>
      </c>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t="s">
        <v>2117</v>
      </c>
      <c r="C85" s="1222">
        <f>C82+1</f>
        <v>24</v>
      </c>
      <c r="D85" s="1233" t="s">
        <v>1203</v>
      </c>
    </row>
    <row r="86" spans="1:4" ht="3" customHeight="1" x14ac:dyDescent="0.2">
      <c r="A86" s="1218"/>
      <c r="B86" s="1225"/>
      <c r="C86" s="1222"/>
      <c r="D86" s="1233"/>
    </row>
    <row r="87" spans="1:4" x14ac:dyDescent="0.2">
      <c r="A87" s="1218"/>
      <c r="B87" s="1221" t="s">
        <v>2117</v>
      </c>
      <c r="C87" s="1222">
        <f>C85+1</f>
        <v>25</v>
      </c>
      <c r="D87" s="1233" t="s">
        <v>1202</v>
      </c>
    </row>
    <row r="88" spans="1:4" ht="3" customHeight="1" x14ac:dyDescent="0.2">
      <c r="A88" s="1218"/>
      <c r="B88" s="1225"/>
      <c r="C88" s="1222"/>
      <c r="D88" s="1233"/>
    </row>
    <row r="89" spans="1:4" x14ac:dyDescent="0.2">
      <c r="A89" s="1218"/>
      <c r="B89" s="1221" t="s">
        <v>2117</v>
      </c>
      <c r="C89" s="1222">
        <f>C87+1</f>
        <v>26</v>
      </c>
      <c r="D89" s="1233" t="s">
        <v>1201</v>
      </c>
    </row>
    <row r="90" spans="1:4" ht="3" customHeight="1" x14ac:dyDescent="0.2">
      <c r="A90" s="1218"/>
      <c r="B90" s="1225"/>
      <c r="C90" s="1222"/>
      <c r="D90" s="1233"/>
    </row>
    <row r="91" spans="1:4" x14ac:dyDescent="0.2">
      <c r="A91" s="1218"/>
      <c r="B91" s="1221" t="s">
        <v>2117</v>
      </c>
      <c r="C91" s="1222">
        <f>C89+1</f>
        <v>27</v>
      </c>
      <c r="D91" s="1233" t="s">
        <v>1719</v>
      </c>
    </row>
    <row r="92" spans="1:4" x14ac:dyDescent="0.2">
      <c r="A92" s="1218"/>
      <c r="B92" s="1246"/>
      <c r="C92" s="1240" t="s">
        <v>2074</v>
      </c>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t="s">
        <v>2117</v>
      </c>
      <c r="C96" s="1222">
        <f>C91+1</f>
        <v>28</v>
      </c>
      <c r="D96" s="1233" t="s">
        <v>1720</v>
      </c>
    </row>
    <row r="97" spans="1:4" ht="3" customHeight="1" x14ac:dyDescent="0.2">
      <c r="A97" s="1218"/>
      <c r="B97" s="1225"/>
      <c r="C97" s="1222"/>
      <c r="D97" s="1233"/>
    </row>
    <row r="98" spans="1:4" x14ac:dyDescent="0.2">
      <c r="A98" s="1218"/>
      <c r="B98" s="1221" t="s">
        <v>2117</v>
      </c>
      <c r="C98" s="1222">
        <f>C96+1</f>
        <v>29</v>
      </c>
      <c r="D98" s="1247" t="s">
        <v>1721</v>
      </c>
    </row>
    <row r="99" spans="1:4" ht="3" customHeight="1" x14ac:dyDescent="0.2">
      <c r="A99" s="1218"/>
      <c r="B99" s="1225"/>
      <c r="C99" s="1222"/>
      <c r="D99" s="1247"/>
    </row>
    <row r="100" spans="1:4" x14ac:dyDescent="0.2">
      <c r="A100" s="1218"/>
      <c r="B100" s="1221" t="s">
        <v>2117</v>
      </c>
      <c r="C100" s="1222">
        <f>C98+1</f>
        <v>30</v>
      </c>
      <c r="D100" s="1233" t="s">
        <v>1722</v>
      </c>
    </row>
    <row r="101" spans="1:4" ht="3" customHeight="1" x14ac:dyDescent="0.2">
      <c r="A101" s="1218"/>
      <c r="B101" s="1225"/>
      <c r="C101" s="1222"/>
      <c r="D101" s="1248"/>
    </row>
    <row r="102" spans="1:4" x14ac:dyDescent="0.2">
      <c r="A102" s="1218"/>
      <c r="B102" s="1221" t="s">
        <v>2117</v>
      </c>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t="s">
        <v>2117</v>
      </c>
      <c r="C106" s="1222">
        <f>C102+1</f>
        <v>32</v>
      </c>
      <c r="D106" s="1217" t="s">
        <v>1580</v>
      </c>
    </row>
    <row r="107" spans="1:4" ht="3" customHeight="1" x14ac:dyDescent="0.2">
      <c r="A107" s="1218"/>
      <c r="B107" s="1225"/>
      <c r="C107" s="1222"/>
      <c r="D107" s="1217"/>
    </row>
    <row r="108" spans="1:4" x14ac:dyDescent="0.2">
      <c r="A108" s="1218"/>
      <c r="B108" s="1221" t="s">
        <v>2117</v>
      </c>
      <c r="C108" s="1222">
        <v>33</v>
      </c>
      <c r="D108" s="1217" t="s">
        <v>1723</v>
      </c>
    </row>
    <row r="109" spans="1:4" ht="3" customHeight="1" x14ac:dyDescent="0.2">
      <c r="A109" s="1218"/>
      <c r="B109" s="1225"/>
      <c r="C109" s="1222"/>
      <c r="D109" s="1217"/>
    </row>
    <row r="110" spans="1:4" x14ac:dyDescent="0.2">
      <c r="A110" s="1218"/>
      <c r="B110" s="1221" t="s">
        <v>2117</v>
      </c>
      <c r="C110" s="1222">
        <f>C108+1</f>
        <v>34</v>
      </c>
      <c r="D110" s="1217" t="s">
        <v>1198</v>
      </c>
    </row>
    <row r="111" spans="1:4" ht="3" customHeight="1" x14ac:dyDescent="0.2">
      <c r="A111" s="1218"/>
      <c r="B111" s="1225"/>
      <c r="C111" s="1222"/>
      <c r="D111" s="1217"/>
    </row>
    <row r="112" spans="1:4" x14ac:dyDescent="0.2">
      <c r="A112" s="1218"/>
      <c r="B112" s="1221" t="s">
        <v>2117</v>
      </c>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t="s">
        <v>2074</v>
      </c>
      <c r="C115" s="1222">
        <f>C112+1</f>
        <v>36</v>
      </c>
      <c r="D115" s="1233" t="s">
        <v>1195</v>
      </c>
    </row>
    <row r="116" spans="1:4" ht="3" customHeight="1" x14ac:dyDescent="0.2">
      <c r="A116" s="1218"/>
      <c r="B116" s="1225"/>
      <c r="C116" s="1222"/>
      <c r="D116" s="1233"/>
    </row>
    <row r="117" spans="1:4" x14ac:dyDescent="0.2">
      <c r="A117" s="1218"/>
      <c r="B117" s="1221" t="s">
        <v>2074</v>
      </c>
      <c r="C117" s="1222">
        <f>C115+1</f>
        <v>37</v>
      </c>
      <c r="D117" s="1233" t="s">
        <v>1724</v>
      </c>
    </row>
    <row r="118" spans="1:4" ht="3" customHeight="1" x14ac:dyDescent="0.2">
      <c r="A118" s="1218"/>
      <c r="B118" s="1225"/>
      <c r="C118" s="1222"/>
      <c r="D118" s="1233"/>
    </row>
    <row r="119" spans="1:4" x14ac:dyDescent="0.2">
      <c r="A119" s="1218"/>
      <c r="B119" s="1221" t="s">
        <v>2074</v>
      </c>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t="s">
        <v>2117</v>
      </c>
      <c r="C123" s="1222">
        <f>C119+1</f>
        <v>39</v>
      </c>
      <c r="D123" s="1243" t="s">
        <v>1833</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7" sqref="D1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43" t="str">
        <f>'Single Audit Cover'!A7</f>
        <v>KIRBY SD 140</v>
      </c>
      <c r="B1" s="2443"/>
      <c r="C1" s="2443"/>
      <c r="D1" s="2443"/>
      <c r="E1" s="2443"/>
    </row>
    <row r="2" spans="1:5" x14ac:dyDescent="0.2">
      <c r="A2" s="2444">
        <f>'Single Audit Cover'!E7</f>
        <v>7016140002</v>
      </c>
      <c r="B2" s="2444"/>
      <c r="C2" s="2444"/>
      <c r="D2" s="2444"/>
      <c r="E2" s="2444"/>
    </row>
    <row r="3" spans="1:5" ht="4.5" customHeight="1" x14ac:dyDescent="0.2"/>
    <row r="4" spans="1:5" x14ac:dyDescent="0.2">
      <c r="A4" s="2443" t="s">
        <v>1245</v>
      </c>
      <c r="B4" s="2443"/>
      <c r="C4" s="2443"/>
      <c r="D4" s="2443"/>
      <c r="E4" s="2443"/>
    </row>
    <row r="5" spans="1:5" x14ac:dyDescent="0.2">
      <c r="A5" s="2446" t="str">
        <f>'Single Audit Cover'!A4</f>
        <v>Year Ending June 30, 2019</v>
      </c>
      <c r="B5" s="2446"/>
      <c r="C5" s="2446"/>
      <c r="D5" s="2446"/>
      <c r="E5" s="2446"/>
    </row>
    <row r="6" spans="1:5" x14ac:dyDescent="0.2">
      <c r="A6" s="2443" t="s">
        <v>1244</v>
      </c>
      <c r="B6" s="2443"/>
      <c r="C6" s="2443"/>
      <c r="D6" s="2443"/>
      <c r="E6" s="2443"/>
    </row>
    <row r="8" spans="1:5" x14ac:dyDescent="0.2">
      <c r="A8" s="1256" t="s">
        <v>1243</v>
      </c>
    </row>
    <row r="10" spans="1:5" x14ac:dyDescent="0.2">
      <c r="A10" s="1257" t="s">
        <v>1242</v>
      </c>
      <c r="B10" s="1258" t="s">
        <v>1241</v>
      </c>
      <c r="C10" s="1258"/>
      <c r="D10" s="1259">
        <f>SUM('Acct Summary 7-8'!C7:K7)</f>
        <v>2087886</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0</v>
      </c>
    </row>
    <row r="15" spans="1:5" x14ac:dyDescent="0.2">
      <c r="A15" s="1257"/>
      <c r="B15" s="1258"/>
      <c r="C15" s="1258"/>
    </row>
    <row r="16" spans="1:5" x14ac:dyDescent="0.2">
      <c r="A16" s="1257" t="s">
        <v>1840</v>
      </c>
      <c r="B16" s="1258"/>
      <c r="C16" s="1258"/>
    </row>
    <row r="17" spans="1:4" x14ac:dyDescent="0.2">
      <c r="A17" s="1257" t="s">
        <v>2057</v>
      </c>
      <c r="B17" s="1258" t="s">
        <v>1236</v>
      </c>
      <c r="C17" s="1258"/>
      <c r="D17" s="1260">
        <f>-SUM('Revenues 9-14'!C264:D264,'Revenues 9-14'!F264:G264)</f>
        <v>-247208</v>
      </c>
    </row>
    <row r="19" spans="1:4" ht="13.5" thickBot="1" x14ac:dyDescent="0.25">
      <c r="A19" s="1261" t="s">
        <v>1235</v>
      </c>
      <c r="D19" s="1262">
        <f>SUM(D10:D17)</f>
        <v>1840678</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45"/>
      <c r="B24" s="2445"/>
      <c r="D24" s="1264"/>
    </row>
    <row r="25" spans="1:4" x14ac:dyDescent="0.2">
      <c r="A25" s="2442"/>
      <c r="B25" s="2442"/>
      <c r="D25" s="1264"/>
    </row>
    <row r="26" spans="1:4" x14ac:dyDescent="0.2">
      <c r="A26" s="2442"/>
      <c r="B26" s="2442"/>
      <c r="D26" s="1264"/>
    </row>
    <row r="27" spans="1:4" x14ac:dyDescent="0.2">
      <c r="A27" s="2442"/>
      <c r="B27" s="2442"/>
      <c r="D27" s="1264"/>
    </row>
    <row r="28" spans="1:4" x14ac:dyDescent="0.2">
      <c r="A28" s="2442"/>
      <c r="B28" s="2442"/>
      <c r="D28" s="1264"/>
    </row>
    <row r="29" spans="1:4" x14ac:dyDescent="0.2">
      <c r="A29" s="2442"/>
      <c r="B29" s="2442"/>
      <c r="D29" s="1264"/>
    </row>
    <row r="30" spans="1:4" x14ac:dyDescent="0.2">
      <c r="A30" s="2442"/>
      <c r="B30" s="2442"/>
      <c r="D30" s="1264"/>
    </row>
    <row r="32" spans="1:4" x14ac:dyDescent="0.2">
      <c r="A32" s="1256" t="s">
        <v>1233</v>
      </c>
      <c r="D32" s="1259">
        <f>SUM(D19:D30)</f>
        <v>1840678</v>
      </c>
    </row>
    <row r="33" spans="1:4" x14ac:dyDescent="0.2">
      <c r="D33" s="1265"/>
    </row>
    <row r="34" spans="1:4" x14ac:dyDescent="0.2">
      <c r="A34" s="317" t="s">
        <v>1232</v>
      </c>
    </row>
    <row r="35" spans="1:4" x14ac:dyDescent="0.2">
      <c r="A35" s="317" t="s">
        <v>1231</v>
      </c>
      <c r="B35" s="1254" t="s">
        <v>1230</v>
      </c>
      <c r="D35" s="1266">
        <f>+' SEFA (2)'!F28</f>
        <v>1840678</v>
      </c>
    </row>
    <row r="37" spans="1:4" x14ac:dyDescent="0.2">
      <c r="A37" s="1256" t="s">
        <v>1229</v>
      </c>
    </row>
    <row r="39" spans="1:4" ht="13.35" customHeight="1" x14ac:dyDescent="0.2">
      <c r="A39" s="1263" t="s">
        <v>1228</v>
      </c>
    </row>
    <row r="40" spans="1:4" x14ac:dyDescent="0.2">
      <c r="A40" s="2442"/>
      <c r="B40" s="2442"/>
      <c r="D40" s="1264"/>
    </row>
    <row r="41" spans="1:4" x14ac:dyDescent="0.2">
      <c r="A41" s="2442"/>
      <c r="B41" s="2442"/>
      <c r="D41" s="1267"/>
    </row>
    <row r="42" spans="1:4" x14ac:dyDescent="0.2">
      <c r="A42" s="2442"/>
      <c r="B42" s="2442"/>
      <c r="D42" s="1267"/>
    </row>
    <row r="43" spans="1:4" x14ac:dyDescent="0.2">
      <c r="A43" s="2442"/>
      <c r="B43" s="2442"/>
      <c r="D43" s="1267"/>
    </row>
    <row r="44" spans="1:4" x14ac:dyDescent="0.2">
      <c r="A44" s="2442"/>
      <c r="B44" s="2442"/>
      <c r="D44" s="1267"/>
    </row>
    <row r="45" spans="1:4" x14ac:dyDescent="0.2">
      <c r="A45" s="2442"/>
      <c r="B45" s="2442"/>
      <c r="D45" s="1267"/>
    </row>
    <row r="47" spans="1:4" x14ac:dyDescent="0.2">
      <c r="B47" s="1268" t="s">
        <v>1227</v>
      </c>
      <c r="C47" s="1268"/>
      <c r="D47" s="1269">
        <f>SUM(D35:D45)</f>
        <v>1840678</v>
      </c>
    </row>
    <row r="49" spans="2:4" x14ac:dyDescent="0.2">
      <c r="B49" s="1268" t="s">
        <v>1226</v>
      </c>
      <c r="C49" s="1268"/>
      <c r="D49" s="126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8"/>
  <sheetViews>
    <sheetView showGridLines="0" topLeftCell="A9" zoomScaleNormal="100" workbookViewId="0">
      <selection activeCell="I25" sqref="I2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26" t="str">
        <f>'Single Audit Cover'!A7</f>
        <v>KIRBY SD 140</v>
      </c>
      <c r="C1" s="2447"/>
      <c r="D1" s="2447"/>
      <c r="E1" s="2447"/>
      <c r="F1" s="2447"/>
      <c r="G1" s="2447"/>
      <c r="H1" s="2447"/>
      <c r="I1" s="2447"/>
      <c r="J1" s="2447"/>
      <c r="K1" s="2447"/>
      <c r="L1" s="2447"/>
      <c r="M1" s="2447"/>
    </row>
    <row r="2" spans="2:14" ht="15" x14ac:dyDescent="0.2">
      <c r="B2" s="2448">
        <f>'Single Audit Cover'!E7</f>
        <v>7016140002</v>
      </c>
      <c r="C2" s="2448"/>
      <c r="D2" s="2448"/>
      <c r="E2" s="2448"/>
      <c r="F2" s="2448"/>
      <c r="G2" s="2448"/>
      <c r="H2" s="2448"/>
      <c r="I2" s="2448"/>
      <c r="J2" s="2448"/>
      <c r="K2" s="2448"/>
      <c r="L2" s="2448"/>
      <c r="M2" s="2448"/>
      <c r="N2" s="1298"/>
    </row>
    <row r="3" spans="2:14" ht="15" x14ac:dyDescent="0.2">
      <c r="B3" s="2449" t="s">
        <v>1219</v>
      </c>
      <c r="C3" s="2449"/>
      <c r="D3" s="2449"/>
      <c r="E3" s="2449"/>
      <c r="F3" s="2449"/>
      <c r="G3" s="2449"/>
      <c r="H3" s="2449"/>
      <c r="I3" s="2449"/>
      <c r="J3" s="2449"/>
      <c r="K3" s="2449"/>
      <c r="L3" s="2449"/>
      <c r="M3" s="2449"/>
      <c r="N3" s="1298"/>
    </row>
    <row r="4" spans="2:14" ht="15" x14ac:dyDescent="0.2">
      <c r="B4" s="2450" t="str">
        <f>'Single Audit Cover'!A4</f>
        <v>Year Ending June 30, 2019</v>
      </c>
      <c r="C4" s="2450"/>
      <c r="D4" s="2450"/>
      <c r="E4" s="2450"/>
      <c r="F4" s="2450"/>
      <c r="G4" s="2450"/>
      <c r="H4" s="2450"/>
      <c r="I4" s="2450"/>
      <c r="J4" s="2450"/>
      <c r="K4" s="2450"/>
      <c r="L4" s="2450"/>
      <c r="M4" s="2450"/>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1835</v>
      </c>
      <c r="I8" s="1315" t="s">
        <v>1262</v>
      </c>
      <c r="J8" s="1314" t="s">
        <v>1986</v>
      </c>
      <c r="K8" s="1315" t="s">
        <v>1261</v>
      </c>
      <c r="L8" s="1316" t="s">
        <v>1257</v>
      </c>
      <c r="M8" s="1317" t="s">
        <v>30</v>
      </c>
    </row>
    <row r="9" spans="2:14" ht="14.25" x14ac:dyDescent="0.2">
      <c r="B9" s="1321" t="s">
        <v>1259</v>
      </c>
      <c r="C9" s="1309" t="s">
        <v>1732</v>
      </c>
      <c r="D9" s="1310" t="s">
        <v>1733</v>
      </c>
      <c r="E9" s="1318" t="s">
        <v>1835</v>
      </c>
      <c r="F9" s="1319" t="s">
        <v>1986</v>
      </c>
      <c r="G9" s="1320" t="s">
        <v>1835</v>
      </c>
      <c r="H9" s="1313" t="s">
        <v>1582</v>
      </c>
      <c r="I9" s="1315" t="s">
        <v>1986</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2060</v>
      </c>
      <c r="C11" s="1334"/>
      <c r="D11" s="1335"/>
      <c r="E11" s="1336"/>
      <c r="F11" s="1336"/>
      <c r="G11" s="1336"/>
      <c r="H11" s="1336"/>
      <c r="I11" s="1336"/>
      <c r="J11" s="1336"/>
      <c r="K11" s="1336"/>
      <c r="L11" s="1336"/>
      <c r="M11" s="1336"/>
    </row>
    <row r="12" spans="2:14" ht="20.100000000000001" customHeight="1" x14ac:dyDescent="0.2">
      <c r="B12" s="1333" t="s">
        <v>2061</v>
      </c>
      <c r="C12" s="1337"/>
      <c r="D12" s="1338"/>
      <c r="E12" s="1339"/>
      <c r="F12" s="1339"/>
      <c r="G12" s="1339"/>
      <c r="H12" s="1339"/>
      <c r="I12" s="1339"/>
      <c r="J12" s="1339"/>
      <c r="K12" s="1339"/>
      <c r="L12" s="1336"/>
      <c r="M12" s="1339"/>
    </row>
    <row r="13" spans="2:14" ht="20.100000000000001" customHeight="1" x14ac:dyDescent="0.2">
      <c r="B13" s="1333" t="s">
        <v>2092</v>
      </c>
      <c r="C13" s="1337">
        <v>84.01</v>
      </c>
      <c r="D13" s="1338" t="s">
        <v>2062</v>
      </c>
      <c r="E13" s="1339">
        <v>48046</v>
      </c>
      <c r="F13" s="1339"/>
      <c r="G13" s="1339">
        <v>48046</v>
      </c>
      <c r="H13" s="1339"/>
      <c r="I13" s="1339"/>
      <c r="J13" s="1339"/>
      <c r="K13" s="1339"/>
      <c r="L13" s="1937">
        <f>+G13+I13+K13</f>
        <v>48046</v>
      </c>
      <c r="M13" s="1936">
        <v>433535</v>
      </c>
    </row>
    <row r="14" spans="2:14" ht="20.100000000000001" customHeight="1" x14ac:dyDescent="0.2">
      <c r="B14" s="1333" t="s">
        <v>2092</v>
      </c>
      <c r="C14" s="1337">
        <v>84.01</v>
      </c>
      <c r="D14" s="1338" t="s">
        <v>2063</v>
      </c>
      <c r="E14" s="1339">
        <v>478304</v>
      </c>
      <c r="F14" s="1339">
        <v>16283</v>
      </c>
      <c r="G14" s="1339">
        <v>478304</v>
      </c>
      <c r="H14" s="1339"/>
      <c r="I14" s="1936">
        <v>16283</v>
      </c>
      <c r="J14" s="1339"/>
      <c r="K14" s="1339"/>
      <c r="L14" s="1937">
        <f t="shared" ref="L14:L29" si="0">+G14+I14+K14</f>
        <v>494587</v>
      </c>
      <c r="M14" s="1936">
        <v>568411</v>
      </c>
    </row>
    <row r="15" spans="2:14" ht="20.100000000000001" customHeight="1" x14ac:dyDescent="0.2">
      <c r="B15" s="1333" t="s">
        <v>2092</v>
      </c>
      <c r="C15" s="1337" t="s">
        <v>2093</v>
      </c>
      <c r="D15" s="1338" t="s">
        <v>2094</v>
      </c>
      <c r="E15" s="1339"/>
      <c r="F15" s="1339">
        <v>545224</v>
      </c>
      <c r="G15" s="1339"/>
      <c r="H15" s="1339"/>
      <c r="I15" s="1936">
        <v>545224</v>
      </c>
      <c r="J15" s="1339"/>
      <c r="K15" s="1339">
        <v>18000</v>
      </c>
      <c r="L15" s="1937">
        <f t="shared" si="0"/>
        <v>563224</v>
      </c>
      <c r="M15" s="1936">
        <v>585952</v>
      </c>
    </row>
    <row r="16" spans="2:14" ht="20.100000000000001" customHeight="1" x14ac:dyDescent="0.2">
      <c r="B16" s="1333" t="s">
        <v>2095</v>
      </c>
      <c r="C16" s="1337" t="s">
        <v>2093</v>
      </c>
      <c r="D16" s="1338" t="s">
        <v>2096</v>
      </c>
      <c r="E16" s="1339"/>
      <c r="F16" s="1339">
        <v>9525</v>
      </c>
      <c r="G16" s="1339"/>
      <c r="H16" s="1339"/>
      <c r="I16" s="1936">
        <v>9525</v>
      </c>
      <c r="J16" s="1339"/>
      <c r="K16" s="1339"/>
      <c r="L16" s="1937">
        <f t="shared" si="0"/>
        <v>9525</v>
      </c>
      <c r="M16" s="1936">
        <v>56735</v>
      </c>
    </row>
    <row r="17" spans="2:13" ht="20.100000000000001" customHeight="1" x14ac:dyDescent="0.2">
      <c r="B17" s="1333" t="s">
        <v>2064</v>
      </c>
      <c r="C17" s="1337">
        <v>84.367000000000004</v>
      </c>
      <c r="D17" s="1338" t="s">
        <v>2065</v>
      </c>
      <c r="E17" s="1339">
        <v>232</v>
      </c>
      <c r="F17" s="1339"/>
      <c r="G17" s="1339">
        <v>232</v>
      </c>
      <c r="H17" s="1339"/>
      <c r="I17" s="1936"/>
      <c r="J17" s="1339"/>
      <c r="K17" s="1339"/>
      <c r="L17" s="1937">
        <f t="shared" si="0"/>
        <v>232</v>
      </c>
      <c r="M17" s="1936">
        <v>584</v>
      </c>
    </row>
    <row r="18" spans="2:13" ht="20.100000000000001" customHeight="1" x14ac:dyDescent="0.2">
      <c r="B18" s="1333" t="s">
        <v>2066</v>
      </c>
      <c r="C18" s="1337">
        <v>84.364999999999995</v>
      </c>
      <c r="D18" s="1338" t="s">
        <v>2067</v>
      </c>
      <c r="E18" s="1339">
        <v>1095</v>
      </c>
      <c r="F18" s="1339"/>
      <c r="G18" s="1339">
        <v>1095</v>
      </c>
      <c r="H18" s="1339"/>
      <c r="I18" s="1936"/>
      <c r="J18" s="1339"/>
      <c r="K18" s="1339"/>
      <c r="L18" s="1937">
        <f t="shared" si="0"/>
        <v>1095</v>
      </c>
      <c r="M18" s="1936">
        <v>13506</v>
      </c>
    </row>
    <row r="19" spans="2:13" ht="20.100000000000001" customHeight="1" x14ac:dyDescent="0.2">
      <c r="B19" s="1333" t="s">
        <v>2066</v>
      </c>
      <c r="C19" s="1337">
        <v>84.364999999999995</v>
      </c>
      <c r="D19" s="1338" t="s">
        <v>2068</v>
      </c>
      <c r="E19" s="1339">
        <v>1562</v>
      </c>
      <c r="F19" s="1339">
        <v>7322</v>
      </c>
      <c r="G19" s="1339">
        <v>1562</v>
      </c>
      <c r="H19" s="1339"/>
      <c r="I19" s="1936">
        <v>7322</v>
      </c>
      <c r="J19" s="1339"/>
      <c r="K19" s="1339"/>
      <c r="L19" s="1937">
        <f t="shared" si="0"/>
        <v>8884</v>
      </c>
      <c r="M19" s="1936">
        <v>13415</v>
      </c>
    </row>
    <row r="20" spans="2:13" ht="20.100000000000001" customHeight="1" x14ac:dyDescent="0.2">
      <c r="B20" s="1333" t="s">
        <v>2066</v>
      </c>
      <c r="C20" s="1337">
        <v>84.364999999999995</v>
      </c>
      <c r="D20" s="1338" t="s">
        <v>2097</v>
      </c>
      <c r="E20" s="1339"/>
      <c r="F20" s="1339">
        <v>7953</v>
      </c>
      <c r="G20" s="1339"/>
      <c r="H20" s="1339"/>
      <c r="I20" s="1936">
        <v>7953</v>
      </c>
      <c r="J20" s="1339"/>
      <c r="K20" s="1339"/>
      <c r="L20" s="1937">
        <f t="shared" si="0"/>
        <v>7953</v>
      </c>
      <c r="M20" s="1936">
        <v>17131</v>
      </c>
    </row>
    <row r="21" spans="2:13" ht="20.100000000000001" customHeight="1" x14ac:dyDescent="0.2">
      <c r="B21" s="1333" t="s">
        <v>2098</v>
      </c>
      <c r="C21" s="1337">
        <v>84.424000000000007</v>
      </c>
      <c r="D21" s="1338" t="s">
        <v>2099</v>
      </c>
      <c r="E21" s="1339"/>
      <c r="F21" s="1339">
        <v>23515</v>
      </c>
      <c r="G21" s="1339"/>
      <c r="H21" s="1339"/>
      <c r="I21" s="1936">
        <v>23515</v>
      </c>
      <c r="J21" s="1339"/>
      <c r="K21" s="1339"/>
      <c r="L21" s="1937">
        <f t="shared" si="0"/>
        <v>23515</v>
      </c>
      <c r="M21" s="1936">
        <v>35542</v>
      </c>
    </row>
    <row r="22" spans="2:13" ht="20.100000000000001" customHeight="1" x14ac:dyDescent="0.2">
      <c r="B22" s="1333" t="s">
        <v>2125</v>
      </c>
      <c r="C22" s="1337">
        <v>84.173000000000002</v>
      </c>
      <c r="D22" s="1338" t="s">
        <v>2069</v>
      </c>
      <c r="E22" s="1339">
        <v>105619</v>
      </c>
      <c r="F22" s="1339"/>
      <c r="G22" s="1339">
        <v>105619</v>
      </c>
      <c r="H22" s="1339"/>
      <c r="I22" s="1936"/>
      <c r="J22" s="1339"/>
      <c r="K22" s="1339"/>
      <c r="L22" s="1937">
        <f t="shared" si="0"/>
        <v>105619</v>
      </c>
      <c r="M22" s="1936">
        <v>122348</v>
      </c>
    </row>
    <row r="23" spans="2:13" ht="20.100000000000001" customHeight="1" x14ac:dyDescent="0.2">
      <c r="B23" s="1333" t="s">
        <v>2101</v>
      </c>
      <c r="C23" s="1337" t="s">
        <v>2090</v>
      </c>
      <c r="D23" s="1338" t="s">
        <v>2091</v>
      </c>
      <c r="E23" s="1339"/>
      <c r="F23" s="1339">
        <v>51126</v>
      </c>
      <c r="G23" s="1339"/>
      <c r="H23" s="1339"/>
      <c r="I23" s="1936">
        <v>51126</v>
      </c>
      <c r="J23" s="1339"/>
      <c r="K23" s="1339"/>
      <c r="L23" s="1937">
        <f t="shared" si="0"/>
        <v>51126</v>
      </c>
      <c r="M23" s="1936">
        <v>80410</v>
      </c>
    </row>
    <row r="24" spans="2:13" ht="20.100000000000001" customHeight="1" x14ac:dyDescent="0.2">
      <c r="B24" s="1333" t="s">
        <v>2126</v>
      </c>
      <c r="C24" s="1337">
        <v>84.027000000000001</v>
      </c>
      <c r="D24" s="1338" t="s">
        <v>2070</v>
      </c>
      <c r="E24" s="1339">
        <v>81097</v>
      </c>
      <c r="F24" s="1339"/>
      <c r="G24" s="1339">
        <v>81097</v>
      </c>
      <c r="H24" s="1339"/>
      <c r="I24" s="1936"/>
      <c r="J24" s="1339"/>
      <c r="K24" s="1339"/>
      <c r="L24" s="1937">
        <f t="shared" si="0"/>
        <v>81097</v>
      </c>
      <c r="M24" s="1936">
        <v>1450772</v>
      </c>
    </row>
    <row r="25" spans="2:13" ht="20.100000000000001" customHeight="1" x14ac:dyDescent="0.2">
      <c r="B25" s="1333" t="s">
        <v>2102</v>
      </c>
      <c r="C25" s="1337">
        <v>84.027000000000001</v>
      </c>
      <c r="D25" s="1338" t="s">
        <v>2071</v>
      </c>
      <c r="E25" s="1339">
        <v>982931</v>
      </c>
      <c r="F25" s="1339">
        <v>107272</v>
      </c>
      <c r="G25" s="1339">
        <v>982931</v>
      </c>
      <c r="H25" s="1339"/>
      <c r="I25" s="1936">
        <v>107272</v>
      </c>
      <c r="J25" s="1339"/>
      <c r="K25" s="1339"/>
      <c r="L25" s="1937">
        <f t="shared" si="0"/>
        <v>1090203</v>
      </c>
      <c r="M25" s="1936">
        <v>1562536</v>
      </c>
    </row>
    <row r="26" spans="2:13" ht="20.100000000000001" customHeight="1" x14ac:dyDescent="0.2">
      <c r="B26" s="1333" t="s">
        <v>2102</v>
      </c>
      <c r="C26" s="1337">
        <v>84.027000000000001</v>
      </c>
      <c r="D26" s="1338" t="s">
        <v>2088</v>
      </c>
      <c r="E26" s="1339"/>
      <c r="F26" s="1339">
        <v>847500</v>
      </c>
      <c r="G26" s="1339"/>
      <c r="H26" s="1339"/>
      <c r="I26" s="1936">
        <v>847500</v>
      </c>
      <c r="J26" s="1339"/>
      <c r="K26" s="1339"/>
      <c r="L26" s="1937">
        <f t="shared" si="0"/>
        <v>847500</v>
      </c>
      <c r="M26" s="1936">
        <v>1382458</v>
      </c>
    </row>
    <row r="27" spans="2:13" ht="20.100000000000001" customHeight="1" x14ac:dyDescent="0.2">
      <c r="B27" s="1333" t="s">
        <v>2072</v>
      </c>
      <c r="C27" s="1337">
        <v>84.027000000000001</v>
      </c>
      <c r="D27" s="1338" t="s">
        <v>2073</v>
      </c>
      <c r="E27" s="1339">
        <v>25705</v>
      </c>
      <c r="F27" s="1339"/>
      <c r="G27" s="1339">
        <v>25705</v>
      </c>
      <c r="H27" s="1339"/>
      <c r="I27" s="1936"/>
      <c r="J27" s="1339"/>
      <c r="K27" s="1339"/>
      <c r="L27" s="1937">
        <f t="shared" si="0"/>
        <v>25705</v>
      </c>
      <c r="M27" s="1936" t="s">
        <v>2074</v>
      </c>
    </row>
    <row r="28" spans="2:13" ht="20.100000000000001" customHeight="1" x14ac:dyDescent="0.2">
      <c r="B28" s="1333" t="s">
        <v>2127</v>
      </c>
      <c r="C28" s="1337">
        <v>84.027000000000001</v>
      </c>
      <c r="D28" s="1338" t="s">
        <v>2075</v>
      </c>
      <c r="E28" s="1339">
        <v>32039</v>
      </c>
      <c r="F28" s="1339">
        <v>34946</v>
      </c>
      <c r="G28" s="1339">
        <v>32039</v>
      </c>
      <c r="H28" s="1339"/>
      <c r="I28" s="1936">
        <v>34946</v>
      </c>
      <c r="J28" s="1339"/>
      <c r="K28" s="1339"/>
      <c r="L28" s="1937">
        <f t="shared" si="0"/>
        <v>66985</v>
      </c>
      <c r="M28" s="1936" t="s">
        <v>2074</v>
      </c>
    </row>
    <row r="29" spans="2:13" ht="20.100000000000001" customHeight="1" x14ac:dyDescent="0.2">
      <c r="B29" s="1333" t="s">
        <v>2127</v>
      </c>
      <c r="C29" s="1337">
        <v>84.027000000000001</v>
      </c>
      <c r="D29" s="1338" t="s">
        <v>2089</v>
      </c>
      <c r="E29" s="1339"/>
      <c r="F29" s="1339">
        <v>76775</v>
      </c>
      <c r="G29" s="1339"/>
      <c r="H29" s="1339"/>
      <c r="I29" s="1936">
        <v>76775</v>
      </c>
      <c r="J29" s="1339"/>
      <c r="K29" s="1339"/>
      <c r="L29" s="1937">
        <f t="shared" si="0"/>
        <v>76775</v>
      </c>
      <c r="M29" s="1936" t="s">
        <v>2074</v>
      </c>
    </row>
    <row r="30" spans="2:13" ht="20.100000000000001" customHeight="1" x14ac:dyDescent="0.2">
      <c r="B30" s="1333"/>
      <c r="C30" s="1337"/>
      <c r="D30" s="1338"/>
      <c r="E30" s="1339"/>
      <c r="F30" s="1339"/>
      <c r="G30" s="1339"/>
      <c r="H30" s="1339"/>
      <c r="I30" s="1339"/>
      <c r="J30" s="1339"/>
      <c r="K30" s="1339"/>
      <c r="L30" s="1937"/>
      <c r="M30" s="1339"/>
    </row>
    <row r="31" spans="2:13" ht="20.100000000000001" customHeight="1" x14ac:dyDescent="0.2">
      <c r="B31" s="1333"/>
      <c r="C31" s="1337"/>
      <c r="D31" s="1338"/>
      <c r="E31" s="1339"/>
      <c r="F31" s="1339"/>
      <c r="G31" s="1339"/>
      <c r="H31" s="1339"/>
      <c r="I31" s="1339"/>
      <c r="J31" s="1339"/>
      <c r="K31" s="1339"/>
      <c r="L31" s="1336"/>
      <c r="M31" s="1339"/>
    </row>
    <row r="32" spans="2:13" s="1256" customFormat="1" ht="20.100000000000001" customHeight="1" x14ac:dyDescent="0.2">
      <c r="B32" s="1939" t="s">
        <v>2076</v>
      </c>
      <c r="C32" s="1940"/>
      <c r="D32" s="1941"/>
      <c r="E32" s="1942">
        <f>SUM(E13:E31)</f>
        <v>1756630</v>
      </c>
      <c r="F32" s="1942">
        <f>SUM(F13:F31)</f>
        <v>1727441</v>
      </c>
      <c r="G32" s="1942">
        <f t="shared" ref="G32:I32" si="1">SUM(G13:G31)</f>
        <v>1756630</v>
      </c>
      <c r="H32" s="1942">
        <f t="shared" si="1"/>
        <v>0</v>
      </c>
      <c r="I32" s="1942">
        <f t="shared" si="1"/>
        <v>1727441</v>
      </c>
      <c r="J32" s="1942">
        <f t="shared" ref="J32" si="2">SUM(J13:J31)</f>
        <v>0</v>
      </c>
      <c r="K32" s="1942">
        <f t="shared" ref="K32" si="3">SUM(K13:K31)</f>
        <v>18000</v>
      </c>
      <c r="L32" s="1942">
        <f t="shared" ref="L32" si="4">SUM(L13:L31)</f>
        <v>3502071</v>
      </c>
      <c r="M32" s="1942"/>
    </row>
    <row r="33" spans="2:14" ht="20.100000000000001" customHeight="1" x14ac:dyDescent="0.2">
      <c r="B33" s="1333"/>
      <c r="C33" s="1337"/>
      <c r="D33" s="1338"/>
      <c r="E33" s="1339"/>
      <c r="F33" s="1339"/>
      <c r="G33" s="1339"/>
      <c r="H33" s="1339"/>
      <c r="I33" s="1339"/>
      <c r="J33" s="1339"/>
      <c r="K33" s="1339"/>
      <c r="L33" s="1336"/>
      <c r="M33" s="1339"/>
      <c r="N33" s="1340"/>
    </row>
    <row r="34" spans="2:14" ht="12.75" customHeight="1" x14ac:dyDescent="0.2">
      <c r="B34" s="1341"/>
      <c r="C34" s="1342"/>
      <c r="D34" s="1343"/>
      <c r="E34" s="1344"/>
      <c r="F34" s="1344"/>
      <c r="G34" s="1344"/>
      <c r="H34" s="1344"/>
      <c r="I34" s="1344"/>
      <c r="J34" s="1344"/>
      <c r="K34" s="1344"/>
      <c r="L34" s="1344"/>
      <c r="M34" s="1344"/>
      <c r="N34" s="1340"/>
    </row>
    <row r="35" spans="2:14" x14ac:dyDescent="0.2">
      <c r="B35" s="1253"/>
      <c r="C35" s="1345"/>
      <c r="D35" s="1346"/>
      <c r="E35" s="1253"/>
      <c r="F35" s="1253"/>
      <c r="G35" s="1246"/>
      <c r="H35" s="1246"/>
      <c r="I35" s="1246"/>
      <c r="J35" s="1246"/>
      <c r="K35" s="1246"/>
      <c r="L35" s="1246"/>
      <c r="M35" s="1253"/>
      <c r="N35" s="1340"/>
    </row>
    <row r="36" spans="2:14" ht="13.5" customHeight="1" x14ac:dyDescent="0.2">
      <c r="B36" s="1278" t="s">
        <v>1734</v>
      </c>
      <c r="C36" s="1345"/>
      <c r="D36" s="1346"/>
      <c r="E36" s="1253"/>
      <c r="F36" s="1253"/>
      <c r="G36" s="1246"/>
      <c r="H36" s="1246"/>
      <c r="I36" s="1246"/>
      <c r="J36" s="1246"/>
      <c r="K36" s="1246"/>
      <c r="L36" s="1246"/>
      <c r="M36" s="1253"/>
      <c r="N36" s="1340"/>
    </row>
    <row r="37" spans="2:14" ht="8.25" customHeight="1" x14ac:dyDescent="0.2">
      <c r="B37" s="1278"/>
      <c r="C37" s="1345"/>
      <c r="D37" s="1346"/>
      <c r="E37" s="1253"/>
      <c r="F37" s="1253"/>
      <c r="G37" s="1246"/>
      <c r="H37" s="1246"/>
      <c r="I37" s="1246"/>
      <c r="J37" s="1246"/>
      <c r="K37" s="1246"/>
      <c r="L37" s="1246"/>
      <c r="M37" s="1253"/>
      <c r="N37" s="1340"/>
    </row>
    <row r="38" spans="2:14" x14ac:dyDescent="0.2">
      <c r="B38" s="1347" t="s">
        <v>1836</v>
      </c>
      <c r="C38" s="1348"/>
      <c r="D38" s="1349"/>
      <c r="E38" s="1350"/>
      <c r="F38" s="1350"/>
      <c r="G38" s="1350"/>
      <c r="H38" s="1350"/>
      <c r="I38" s="317"/>
      <c r="J38" s="317"/>
    </row>
    <row r="39" spans="2:14" x14ac:dyDescent="0.2">
      <c r="B39" s="1273"/>
      <c r="C39" s="1351"/>
      <c r="D39" s="1352"/>
      <c r="E39" s="1274"/>
      <c r="F39" s="1274"/>
      <c r="G39" s="317"/>
      <c r="H39" s="317"/>
      <c r="I39" s="317"/>
      <c r="J39" s="317"/>
    </row>
    <row r="40" spans="2:14" ht="13.5" customHeight="1" x14ac:dyDescent="0.2">
      <c r="B40" s="1272" t="s">
        <v>1246</v>
      </c>
      <c r="G40" s="317"/>
      <c r="H40" s="317"/>
      <c r="I40" s="317"/>
      <c r="J40" s="317"/>
    </row>
    <row r="41" spans="2:14" ht="13.5" customHeight="1" x14ac:dyDescent="0.2">
      <c r="B41" s="1355"/>
      <c r="C41" s="1356"/>
      <c r="D41" s="1357"/>
      <c r="E41" s="1293"/>
      <c r="F41" s="1293"/>
      <c r="G41" s="1293"/>
      <c r="H41" s="1293"/>
      <c r="I41" s="1293"/>
      <c r="J41" s="1293"/>
      <c r="K41" s="1358"/>
      <c r="L41" s="1358"/>
      <c r="M41" s="1293"/>
    </row>
    <row r="42" spans="2:14" ht="9.6" customHeight="1" x14ac:dyDescent="0.2">
      <c r="B42" s="1359"/>
      <c r="G42" s="317"/>
      <c r="H42" s="317"/>
      <c r="I42" s="317"/>
      <c r="J42" s="317"/>
    </row>
    <row r="43" spans="2:14" ht="11.25" customHeight="1" x14ac:dyDescent="0.2">
      <c r="B43" s="1360" t="s">
        <v>1735</v>
      </c>
      <c r="C43" s="1361"/>
      <c r="D43" s="1361"/>
      <c r="E43" s="1361"/>
      <c r="F43" s="1361"/>
      <c r="G43" s="1361"/>
      <c r="H43" s="1361"/>
      <c r="I43" s="1362"/>
      <c r="J43" s="1362"/>
      <c r="K43" s="1362"/>
      <c r="L43" s="1362"/>
      <c r="M43" s="1362"/>
    </row>
    <row r="44" spans="2:14" ht="11.25" customHeight="1" x14ac:dyDescent="0.2">
      <c r="B44" s="1363" t="s">
        <v>1584</v>
      </c>
      <c r="C44" s="1362"/>
      <c r="D44" s="1362"/>
      <c r="E44" s="1362"/>
      <c r="F44" s="1362"/>
      <c r="G44" s="1362"/>
      <c r="H44" s="1362"/>
      <c r="I44" s="1362"/>
      <c r="J44" s="1362"/>
      <c r="K44" s="1362"/>
      <c r="L44" s="1362"/>
      <c r="M44" s="1362"/>
    </row>
    <row r="45" spans="2:14" ht="3.95" customHeight="1" x14ac:dyDescent="0.2">
      <c r="B45" s="1363"/>
      <c r="C45" s="1362"/>
      <c r="D45" s="1362"/>
      <c r="E45" s="1362"/>
      <c r="F45" s="1362"/>
      <c r="G45" s="1362"/>
      <c r="H45" s="1362"/>
      <c r="I45" s="1362"/>
      <c r="J45" s="1362"/>
      <c r="K45" s="1362"/>
      <c r="L45" s="1362"/>
      <c r="M45" s="1362"/>
    </row>
    <row r="46" spans="2:14" ht="11.25" customHeight="1" x14ac:dyDescent="0.2">
      <c r="B46" s="1360" t="s">
        <v>1736</v>
      </c>
      <c r="C46" s="1362"/>
      <c r="D46" s="1362"/>
      <c r="E46" s="1362"/>
      <c r="F46" s="1362"/>
      <c r="G46" s="1362"/>
      <c r="H46" s="1362"/>
      <c r="I46" s="1362"/>
      <c r="J46" s="1362"/>
      <c r="K46" s="1362"/>
      <c r="L46" s="1362"/>
      <c r="M46" s="1362"/>
    </row>
    <row r="47" spans="2:14" ht="11.25" customHeight="1" x14ac:dyDescent="0.2">
      <c r="B47" s="1296" t="s">
        <v>1585</v>
      </c>
      <c r="C47" s="1364"/>
      <c r="D47" s="1365"/>
      <c r="E47" s="1296"/>
      <c r="F47" s="1296"/>
      <c r="G47" s="1296"/>
      <c r="H47" s="1296"/>
      <c r="I47" s="1296"/>
      <c r="J47" s="1296"/>
      <c r="K47" s="1366"/>
      <c r="L47" s="1366"/>
      <c r="M47" s="1296"/>
    </row>
    <row r="48" spans="2:14" ht="3.95" customHeight="1" x14ac:dyDescent="0.2">
      <c r="B48" s="1296"/>
      <c r="C48" s="1364"/>
      <c r="D48" s="1365"/>
      <c r="E48" s="1296"/>
      <c r="F48" s="1296"/>
      <c r="G48" s="1296"/>
      <c r="H48" s="1296"/>
      <c r="I48" s="1296"/>
      <c r="J48" s="1296"/>
      <c r="K48" s="1366"/>
      <c r="L48" s="1366"/>
      <c r="M48" s="1296"/>
    </row>
    <row r="49" spans="2:13" ht="11.25" customHeight="1" x14ac:dyDescent="0.2">
      <c r="B49" s="1367" t="s">
        <v>1737</v>
      </c>
      <c r="C49" s="1364"/>
      <c r="D49" s="1365"/>
      <c r="E49" s="1296"/>
      <c r="F49" s="1296"/>
      <c r="G49" s="1296"/>
      <c r="H49" s="1296"/>
      <c r="I49" s="1296"/>
      <c r="J49" s="1296"/>
      <c r="K49" s="1366"/>
      <c r="L49" s="1366"/>
      <c r="M49" s="1296"/>
    </row>
    <row r="50" spans="2:13" ht="3.95" customHeight="1" x14ac:dyDescent="0.2">
      <c r="B50" s="1367"/>
      <c r="C50" s="1364"/>
      <c r="D50" s="1365"/>
      <c r="E50" s="1296"/>
      <c r="F50" s="1296"/>
      <c r="G50" s="1296"/>
      <c r="H50" s="1296"/>
      <c r="I50" s="1296"/>
      <c r="J50" s="1296"/>
      <c r="K50" s="1366"/>
      <c r="L50" s="1366"/>
      <c r="M50" s="1296"/>
    </row>
    <row r="51" spans="2:13" ht="11.25" customHeight="1" x14ac:dyDescent="0.2">
      <c r="B51" s="1368" t="s">
        <v>1738</v>
      </c>
      <c r="C51" s="1364"/>
      <c r="D51" s="1365"/>
      <c r="E51" s="1296"/>
      <c r="F51" s="1296"/>
      <c r="G51" s="1296"/>
      <c r="H51" s="1296"/>
      <c r="I51" s="1296"/>
      <c r="J51" s="1296"/>
      <c r="K51" s="1366"/>
      <c r="L51" s="1366"/>
      <c r="M51" s="1296"/>
    </row>
    <row r="52" spans="2:13" ht="11.25" customHeight="1" x14ac:dyDescent="0.2">
      <c r="B52" s="1296" t="s">
        <v>1586</v>
      </c>
      <c r="G52" s="317"/>
      <c r="H52" s="317"/>
      <c r="I52" s="317"/>
      <c r="J52" s="317"/>
    </row>
    <row r="53" spans="2:13" ht="11.1" customHeight="1" x14ac:dyDescent="0.2">
      <c r="B53" s="1296"/>
      <c r="G53" s="317"/>
      <c r="H53" s="317"/>
      <c r="I53" s="317"/>
      <c r="J53" s="317"/>
    </row>
    <row r="54" spans="2:13" ht="11.1" customHeight="1" x14ac:dyDescent="0.2">
      <c r="B54" s="1296"/>
      <c r="G54" s="317"/>
      <c r="H54" s="317"/>
      <c r="I54" s="317"/>
      <c r="J54" s="317"/>
    </row>
    <row r="55" spans="2:13" ht="13.5" customHeight="1" x14ac:dyDescent="0.2">
      <c r="M55" s="1369"/>
    </row>
    <row r="56" spans="2:13" ht="13.5" customHeight="1" x14ac:dyDescent="0.2">
      <c r="M56" s="1369"/>
    </row>
    <row r="57" spans="2:13" ht="13.5" customHeight="1" x14ac:dyDescent="0.2">
      <c r="M57" s="1369"/>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c r="G63" s="317"/>
      <c r="H63" s="317"/>
      <c r="I63" s="317"/>
      <c r="J63" s="317"/>
    </row>
    <row r="64" spans="2:13" ht="13.5" customHeight="1" x14ac:dyDescent="0.2">
      <c r="G64" s="317"/>
      <c r="H64" s="317"/>
      <c r="I64" s="317"/>
      <c r="J64" s="317"/>
    </row>
    <row r="65" ht="13.5" customHeight="1" x14ac:dyDescent="0.2"/>
    <row r="66" ht="13.5" customHeight="1" x14ac:dyDescent="0.2"/>
    <row r="67" ht="13.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25.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4.7" customHeight="1" x14ac:dyDescent="0.2"/>
    <row r="118" ht="12.2"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4.7" customHeight="1" x14ac:dyDescent="0.2"/>
    <row r="158"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3"/>
  <sheetViews>
    <sheetView showGridLines="0" zoomScaleNormal="100" workbookViewId="0">
      <selection activeCell="I28" sqref="I28"/>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26" t="str">
        <f>'Single Audit Cover'!A7</f>
        <v>KIRBY SD 140</v>
      </c>
      <c r="C1" s="2447"/>
      <c r="D1" s="2447"/>
      <c r="E1" s="2447"/>
      <c r="F1" s="2447"/>
      <c r="G1" s="2447"/>
      <c r="H1" s="2447"/>
      <c r="I1" s="2447"/>
      <c r="J1" s="2447"/>
      <c r="K1" s="2447"/>
      <c r="L1" s="2447"/>
      <c r="M1" s="2447"/>
    </row>
    <row r="2" spans="2:14" ht="15" x14ac:dyDescent="0.2">
      <c r="B2" s="2448">
        <f>'Single Audit Cover'!E7</f>
        <v>7016140002</v>
      </c>
      <c r="C2" s="2448"/>
      <c r="D2" s="2448"/>
      <c r="E2" s="2448"/>
      <c r="F2" s="2448"/>
      <c r="G2" s="2448"/>
      <c r="H2" s="2448"/>
      <c r="I2" s="2448"/>
      <c r="J2" s="2448"/>
      <c r="K2" s="2448"/>
      <c r="L2" s="2448"/>
      <c r="M2" s="2448"/>
      <c r="N2" s="1298"/>
    </row>
    <row r="3" spans="2:14" ht="15" x14ac:dyDescent="0.2">
      <c r="B3" s="2449" t="s">
        <v>1219</v>
      </c>
      <c r="C3" s="2449"/>
      <c r="D3" s="2449"/>
      <c r="E3" s="2449"/>
      <c r="F3" s="2449"/>
      <c r="G3" s="2449"/>
      <c r="H3" s="2449"/>
      <c r="I3" s="2449"/>
      <c r="J3" s="2449"/>
      <c r="K3" s="2449"/>
      <c r="L3" s="2449"/>
      <c r="M3" s="2449"/>
      <c r="N3" s="1298"/>
    </row>
    <row r="4" spans="2:14" ht="15" x14ac:dyDescent="0.2">
      <c r="B4" s="2450" t="str">
        <f>'Single Audit Cover'!A4</f>
        <v>Year Ending June 30, 2019</v>
      </c>
      <c r="C4" s="2450"/>
      <c r="D4" s="2450"/>
      <c r="E4" s="2450"/>
      <c r="F4" s="2450"/>
      <c r="G4" s="2450"/>
      <c r="H4" s="2450"/>
      <c r="I4" s="2450"/>
      <c r="J4" s="2450"/>
      <c r="K4" s="2450"/>
      <c r="L4" s="2450"/>
      <c r="M4" s="2450"/>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1835</v>
      </c>
      <c r="I8" s="1315" t="s">
        <v>1262</v>
      </c>
      <c r="J8" s="1314" t="s">
        <v>1986</v>
      </c>
      <c r="K8" s="1315" t="s">
        <v>1261</v>
      </c>
      <c r="L8" s="1316" t="s">
        <v>1257</v>
      </c>
      <c r="M8" s="1317" t="s">
        <v>30</v>
      </c>
    </row>
    <row r="9" spans="2:14" ht="14.25" x14ac:dyDescent="0.2">
      <c r="B9" s="1321" t="s">
        <v>1259</v>
      </c>
      <c r="C9" s="1309" t="s">
        <v>1732</v>
      </c>
      <c r="D9" s="1310" t="s">
        <v>1733</v>
      </c>
      <c r="E9" s="1318" t="s">
        <v>1835</v>
      </c>
      <c r="F9" s="1319" t="s">
        <v>1986</v>
      </c>
      <c r="G9" s="1320" t="s">
        <v>1835</v>
      </c>
      <c r="H9" s="1313" t="s">
        <v>1582</v>
      </c>
      <c r="I9" s="1315" t="s">
        <v>1986</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2077</v>
      </c>
      <c r="C11" s="1334"/>
      <c r="D11" s="1335"/>
      <c r="E11" s="1336">
        <f>+' SEFA'!E32</f>
        <v>1756630</v>
      </c>
      <c r="F11" s="1336">
        <f>+' SEFA'!F32</f>
        <v>1727441</v>
      </c>
      <c r="G11" s="1336">
        <f>+' SEFA'!G32</f>
        <v>1756630</v>
      </c>
      <c r="H11" s="1336">
        <f>+' SEFA'!H32</f>
        <v>0</v>
      </c>
      <c r="I11" s="1336">
        <f>+' SEFA'!I32</f>
        <v>1727441</v>
      </c>
      <c r="J11" s="1336">
        <f>+' SEFA'!J32</f>
        <v>0</v>
      </c>
      <c r="K11" s="1336">
        <f>+' SEFA'!K32</f>
        <v>18000</v>
      </c>
      <c r="L11" s="1937">
        <f>+G11+I11+K11</f>
        <v>3502071</v>
      </c>
      <c r="M11" s="1937"/>
    </row>
    <row r="12" spans="2:14" ht="20.100000000000001" customHeight="1" x14ac:dyDescent="0.2">
      <c r="B12" s="1333"/>
      <c r="C12" s="1337"/>
      <c r="D12" s="1338"/>
      <c r="E12" s="1339"/>
      <c r="F12" s="1339"/>
      <c r="G12" s="1339"/>
      <c r="H12" s="1339"/>
      <c r="I12" s="1339"/>
      <c r="J12" s="1339"/>
      <c r="K12" s="1339"/>
      <c r="L12" s="1937"/>
      <c r="M12" s="1936"/>
    </row>
    <row r="13" spans="2:14" ht="20.100000000000001" customHeight="1" x14ac:dyDescent="0.2">
      <c r="B13" s="1333" t="s">
        <v>2078</v>
      </c>
      <c r="C13" s="1337"/>
      <c r="D13" s="1338"/>
      <c r="E13" s="1339"/>
      <c r="F13" s="1339"/>
      <c r="G13" s="1339"/>
      <c r="H13" s="1339"/>
      <c r="I13" s="1339"/>
      <c r="J13" s="1339"/>
      <c r="K13" s="1339"/>
      <c r="L13" s="1937"/>
      <c r="M13" s="1936"/>
    </row>
    <row r="14" spans="2:14" ht="20.100000000000001" customHeight="1" x14ac:dyDescent="0.2">
      <c r="B14" s="1333" t="s">
        <v>2061</v>
      </c>
      <c r="C14" s="1337"/>
      <c r="D14" s="1338"/>
      <c r="E14" s="1339"/>
      <c r="F14" s="1339"/>
      <c r="G14" s="1339"/>
      <c r="H14" s="1339"/>
      <c r="I14" s="1339"/>
      <c r="J14" s="1339"/>
      <c r="K14" s="1339"/>
      <c r="L14" s="1937"/>
      <c r="M14" s="1936"/>
    </row>
    <row r="15" spans="2:14" ht="20.100000000000001" customHeight="1" x14ac:dyDescent="0.2">
      <c r="B15" s="1333" t="s">
        <v>2079</v>
      </c>
      <c r="C15" s="1337">
        <v>10.555999999999999</v>
      </c>
      <c r="D15" s="1338" t="s">
        <v>2080</v>
      </c>
      <c r="E15" s="1339">
        <v>10499</v>
      </c>
      <c r="F15" s="1339"/>
      <c r="G15" s="1339">
        <v>10499</v>
      </c>
      <c r="H15" s="1339"/>
      <c r="I15" s="1339"/>
      <c r="J15" s="1339"/>
      <c r="K15" s="1339"/>
      <c r="L15" s="1937">
        <f>+G15+I15+K15</f>
        <v>10499</v>
      </c>
      <c r="M15" s="1936" t="s">
        <v>2074</v>
      </c>
    </row>
    <row r="16" spans="2:14" ht="20.100000000000001" customHeight="1" x14ac:dyDescent="0.2">
      <c r="B16" s="1333" t="s">
        <v>2079</v>
      </c>
      <c r="C16" s="1337">
        <v>10.555999999999999</v>
      </c>
      <c r="D16" s="1338" t="s">
        <v>2081</v>
      </c>
      <c r="E16" s="1339">
        <v>53862</v>
      </c>
      <c r="F16" s="1339">
        <v>8005</v>
      </c>
      <c r="G16" s="1339">
        <v>53862</v>
      </c>
      <c r="H16" s="1339"/>
      <c r="I16" s="1936">
        <v>8005</v>
      </c>
      <c r="J16" s="1339"/>
      <c r="K16" s="1339"/>
      <c r="L16" s="1937">
        <f t="shared" ref="L16:L18" si="0">+G16+I16+K16</f>
        <v>61867</v>
      </c>
      <c r="M16" s="1936" t="s">
        <v>2074</v>
      </c>
    </row>
    <row r="17" spans="2:14" ht="20.100000000000001" customHeight="1" x14ac:dyDescent="0.2">
      <c r="B17" s="1333" t="s">
        <v>2079</v>
      </c>
      <c r="C17" s="1337">
        <v>10.555999999999999</v>
      </c>
      <c r="D17" s="1338" t="s">
        <v>2100</v>
      </c>
      <c r="E17" s="1339"/>
      <c r="F17" s="1339">
        <v>53155</v>
      </c>
      <c r="G17" s="1339"/>
      <c r="H17" s="1339"/>
      <c r="I17" s="1936">
        <v>53155</v>
      </c>
      <c r="J17" s="1339"/>
      <c r="K17" s="1339"/>
      <c r="L17" s="1937">
        <f t="shared" si="0"/>
        <v>53155</v>
      </c>
      <c r="M17" s="1936" t="s">
        <v>2074</v>
      </c>
    </row>
    <row r="18" spans="2:14" s="1256" customFormat="1" ht="20.100000000000001" customHeight="1" x14ac:dyDescent="0.2">
      <c r="B18" s="1939" t="s">
        <v>2085</v>
      </c>
      <c r="C18" s="1940"/>
      <c r="D18" s="1941"/>
      <c r="E18" s="1942">
        <f>SUM(E15:E17)</f>
        <v>64361</v>
      </c>
      <c r="F18" s="1942">
        <f t="shared" ref="F18:K18" si="1">SUM(F15:F17)</f>
        <v>61160</v>
      </c>
      <c r="G18" s="1942">
        <f t="shared" si="1"/>
        <v>64361</v>
      </c>
      <c r="H18" s="1942">
        <f t="shared" si="1"/>
        <v>0</v>
      </c>
      <c r="I18" s="1942">
        <f t="shared" si="1"/>
        <v>61160</v>
      </c>
      <c r="J18" s="1942">
        <f t="shared" si="1"/>
        <v>0</v>
      </c>
      <c r="K18" s="1942">
        <f t="shared" si="1"/>
        <v>0</v>
      </c>
      <c r="L18" s="1943">
        <f t="shared" si="0"/>
        <v>125521</v>
      </c>
      <c r="M18" s="1944"/>
    </row>
    <row r="19" spans="2:14" ht="20.100000000000001" customHeight="1" x14ac:dyDescent="0.2">
      <c r="B19" s="1333"/>
      <c r="C19" s="1337"/>
      <c r="D19" s="1338"/>
      <c r="E19" s="1339"/>
      <c r="F19" s="1339"/>
      <c r="G19" s="1339"/>
      <c r="H19" s="1339"/>
      <c r="I19" s="1339"/>
      <c r="J19" s="1339"/>
      <c r="K19" s="1339"/>
      <c r="L19" s="1937"/>
      <c r="M19" s="1936"/>
    </row>
    <row r="20" spans="2:14" ht="20.100000000000001" customHeight="1" x14ac:dyDescent="0.2">
      <c r="B20" s="1333" t="s">
        <v>2082</v>
      </c>
      <c r="C20" s="1337"/>
      <c r="D20" s="1338"/>
      <c r="E20" s="1339"/>
      <c r="F20" s="1339"/>
      <c r="G20" s="1339"/>
      <c r="H20" s="1339"/>
      <c r="I20" s="1339"/>
      <c r="J20" s="1339"/>
      <c r="K20" s="1339"/>
      <c r="L20" s="1937"/>
      <c r="M20" s="1936"/>
    </row>
    <row r="21" spans="2:14" ht="20.100000000000001" customHeight="1" x14ac:dyDescent="0.2">
      <c r="B21" s="1333" t="s">
        <v>2083</v>
      </c>
      <c r="C21" s="1337"/>
      <c r="D21" s="1338"/>
      <c r="E21" s="1339"/>
      <c r="F21" s="1339"/>
      <c r="G21" s="1339"/>
      <c r="H21" s="1339"/>
      <c r="I21" s="1339"/>
      <c r="J21" s="1339"/>
      <c r="K21" s="1339"/>
      <c r="L21" s="1937"/>
      <c r="M21" s="1936"/>
    </row>
    <row r="22" spans="2:14" ht="20.100000000000001" customHeight="1" x14ac:dyDescent="0.2">
      <c r="B22" s="1333" t="s">
        <v>2084</v>
      </c>
      <c r="C22" s="1337">
        <v>93.778000000000006</v>
      </c>
      <c r="D22" s="1338">
        <v>2018</v>
      </c>
      <c r="E22" s="1339">
        <v>46943</v>
      </c>
      <c r="F22" s="1339"/>
      <c r="G22" s="1339">
        <v>46943</v>
      </c>
      <c r="H22" s="1339"/>
      <c r="I22" s="1339"/>
      <c r="J22" s="1339"/>
      <c r="K22" s="1339"/>
      <c r="L22" s="1937">
        <f t="shared" ref="L22:L24" si="2">+G22+I22+K22</f>
        <v>46943</v>
      </c>
      <c r="M22" s="1936" t="s">
        <v>2074</v>
      </c>
    </row>
    <row r="23" spans="2:14" ht="20.100000000000001" customHeight="1" x14ac:dyDescent="0.2">
      <c r="B23" s="1333" t="s">
        <v>2084</v>
      </c>
      <c r="C23" s="1337">
        <v>93.778000000000006</v>
      </c>
      <c r="D23" s="1338">
        <v>2019</v>
      </c>
      <c r="E23" s="1339"/>
      <c r="F23" s="1339">
        <v>52077</v>
      </c>
      <c r="G23" s="1339"/>
      <c r="H23" s="1339"/>
      <c r="I23" s="1339">
        <v>52077</v>
      </c>
      <c r="J23" s="1339"/>
      <c r="K23" s="1339"/>
      <c r="L23" s="1937">
        <f t="shared" si="2"/>
        <v>52077</v>
      </c>
      <c r="M23" s="1936" t="s">
        <v>2074</v>
      </c>
    </row>
    <row r="24" spans="2:14" s="1256" customFormat="1" ht="20.100000000000001" customHeight="1" x14ac:dyDescent="0.2">
      <c r="B24" s="1939" t="s">
        <v>2086</v>
      </c>
      <c r="C24" s="1940"/>
      <c r="D24" s="1941"/>
      <c r="E24" s="1942">
        <f>SUM(E22:E23)</f>
        <v>46943</v>
      </c>
      <c r="F24" s="1942">
        <f t="shared" ref="F24:K24" si="3">SUM(F22:F23)</f>
        <v>52077</v>
      </c>
      <c r="G24" s="1942">
        <f t="shared" si="3"/>
        <v>46943</v>
      </c>
      <c r="H24" s="1942">
        <f t="shared" si="3"/>
        <v>0</v>
      </c>
      <c r="I24" s="1942">
        <f t="shared" si="3"/>
        <v>52077</v>
      </c>
      <c r="J24" s="1942">
        <f t="shared" si="3"/>
        <v>0</v>
      </c>
      <c r="K24" s="1942">
        <f t="shared" si="3"/>
        <v>0</v>
      </c>
      <c r="L24" s="1943">
        <f t="shared" si="2"/>
        <v>99020</v>
      </c>
      <c r="M24" s="1944"/>
    </row>
    <row r="25" spans="2:14" ht="20.100000000000001" customHeight="1" x14ac:dyDescent="0.2">
      <c r="B25" s="1333"/>
      <c r="C25" s="1337"/>
      <c r="D25" s="1338"/>
      <c r="E25" s="1339"/>
      <c r="F25" s="1339"/>
      <c r="G25" s="1339"/>
      <c r="H25" s="1339"/>
      <c r="I25" s="1339"/>
      <c r="J25" s="1339"/>
      <c r="K25" s="1339"/>
      <c r="L25" s="1937"/>
      <c r="M25" s="1936"/>
    </row>
    <row r="26" spans="2:14" ht="20.100000000000001" customHeight="1" x14ac:dyDescent="0.2">
      <c r="B26" s="1333"/>
      <c r="C26" s="1337"/>
      <c r="D26" s="1338"/>
      <c r="E26" s="1339"/>
      <c r="F26" s="1339"/>
      <c r="G26" s="1339"/>
      <c r="H26" s="1339"/>
      <c r="I26" s="1339"/>
      <c r="J26" s="1339"/>
      <c r="K26" s="1339"/>
      <c r="L26" s="1937"/>
      <c r="M26" s="1936"/>
    </row>
    <row r="27" spans="2:14" ht="20.100000000000001" customHeight="1" x14ac:dyDescent="0.2">
      <c r="B27" s="1333"/>
      <c r="C27" s="1337"/>
      <c r="D27" s="1338"/>
      <c r="E27" s="1339"/>
      <c r="F27" s="1339"/>
      <c r="G27" s="1339"/>
      <c r="H27" s="1339"/>
      <c r="I27" s="1339"/>
      <c r="J27" s="1339"/>
      <c r="K27" s="1339"/>
      <c r="L27" s="1937"/>
      <c r="M27" s="1936"/>
    </row>
    <row r="28" spans="2:14" s="1256" customFormat="1" ht="20.100000000000001" customHeight="1" x14ac:dyDescent="0.2">
      <c r="B28" s="1939" t="s">
        <v>2087</v>
      </c>
      <c r="C28" s="1940"/>
      <c r="D28" s="1941"/>
      <c r="E28" s="1942">
        <f>+E11+E18+E24</f>
        <v>1867934</v>
      </c>
      <c r="F28" s="1942">
        <f t="shared" ref="F28:K28" si="4">+F11+F18+F24</f>
        <v>1840678</v>
      </c>
      <c r="G28" s="1942">
        <f t="shared" si="4"/>
        <v>1867934</v>
      </c>
      <c r="H28" s="1942">
        <f t="shared" si="4"/>
        <v>0</v>
      </c>
      <c r="I28" s="1942">
        <f t="shared" si="4"/>
        <v>1840678</v>
      </c>
      <c r="J28" s="1942">
        <f t="shared" si="4"/>
        <v>0</v>
      </c>
      <c r="K28" s="1942">
        <f t="shared" si="4"/>
        <v>18000</v>
      </c>
      <c r="L28" s="1943">
        <f t="shared" ref="L28" si="5">+G28+I28+K28</f>
        <v>3726612</v>
      </c>
      <c r="M28" s="1944"/>
      <c r="N28" s="1945"/>
    </row>
    <row r="29" spans="2:14" ht="12.75" customHeight="1" x14ac:dyDescent="0.2">
      <c r="B29" s="1341"/>
      <c r="C29" s="1342"/>
      <c r="D29" s="1343"/>
      <c r="E29" s="1344"/>
      <c r="F29" s="1344"/>
      <c r="G29" s="1344"/>
      <c r="H29" s="1344"/>
      <c r="I29" s="1344"/>
      <c r="J29" s="1344"/>
      <c r="K29" s="1344"/>
      <c r="L29" s="1938"/>
      <c r="M29" s="1344"/>
      <c r="N29" s="1340"/>
    </row>
    <row r="30" spans="2:14" x14ac:dyDescent="0.2">
      <c r="B30" s="1253"/>
      <c r="C30" s="1345"/>
      <c r="D30" s="1346"/>
      <c r="E30" s="1253"/>
      <c r="F30" s="1253"/>
      <c r="G30" s="1246"/>
      <c r="H30" s="1246"/>
      <c r="I30" s="1246"/>
      <c r="J30" s="1246"/>
      <c r="K30" s="1246"/>
      <c r="L30" s="1246"/>
      <c r="M30" s="1253"/>
      <c r="N30" s="1340"/>
    </row>
    <row r="31" spans="2:14" ht="13.5" customHeight="1" x14ac:dyDescent="0.2">
      <c r="B31" s="1278" t="s">
        <v>1734</v>
      </c>
      <c r="C31" s="1345"/>
      <c r="D31" s="1346"/>
      <c r="E31" s="1253"/>
      <c r="F31" s="1253"/>
      <c r="G31" s="1246"/>
      <c r="H31" s="1246"/>
      <c r="I31" s="1246"/>
      <c r="J31" s="1246"/>
      <c r="K31" s="1246"/>
      <c r="L31" s="1246"/>
      <c r="M31" s="1253"/>
      <c r="N31" s="1340"/>
    </row>
    <row r="32" spans="2:14" ht="8.25" customHeight="1" x14ac:dyDescent="0.2">
      <c r="B32" s="1278"/>
      <c r="C32" s="1345"/>
      <c r="D32" s="1346"/>
      <c r="E32" s="1253"/>
      <c r="F32" s="1253"/>
      <c r="G32" s="1246"/>
      <c r="H32" s="1246"/>
      <c r="I32" s="1246"/>
      <c r="J32" s="1246"/>
      <c r="K32" s="1246"/>
      <c r="L32" s="1246"/>
      <c r="M32" s="1253"/>
      <c r="N32" s="1340"/>
    </row>
    <row r="33" spans="2:13" x14ac:dyDescent="0.2">
      <c r="B33" s="1347" t="s">
        <v>1836</v>
      </c>
      <c r="C33" s="1348"/>
      <c r="D33" s="1349"/>
      <c r="E33" s="1350"/>
      <c r="F33" s="1350"/>
      <c r="G33" s="1350"/>
      <c r="H33" s="1350"/>
      <c r="I33" s="317"/>
      <c r="J33" s="317"/>
    </row>
    <row r="34" spans="2:13" x14ac:dyDescent="0.2">
      <c r="B34" s="1273"/>
      <c r="C34" s="1351"/>
      <c r="D34" s="1352"/>
      <c r="E34" s="1274"/>
      <c r="F34" s="1274"/>
      <c r="G34" s="317"/>
      <c r="H34" s="317"/>
      <c r="I34" s="317"/>
      <c r="J34" s="317"/>
    </row>
    <row r="35" spans="2:13" ht="13.5" customHeight="1" x14ac:dyDescent="0.2">
      <c r="B35" s="1272" t="s">
        <v>1246</v>
      </c>
      <c r="G35" s="317"/>
      <c r="H35" s="317"/>
      <c r="I35" s="317"/>
      <c r="J35" s="317"/>
    </row>
    <row r="36" spans="2:13" ht="13.5" customHeight="1" x14ac:dyDescent="0.2">
      <c r="B36" s="1355"/>
      <c r="C36" s="1356"/>
      <c r="D36" s="1357"/>
      <c r="E36" s="1293"/>
      <c r="F36" s="1293"/>
      <c r="G36" s="1293"/>
      <c r="H36" s="1293"/>
      <c r="I36" s="1293"/>
      <c r="J36" s="1293"/>
      <c r="K36" s="1358"/>
      <c r="L36" s="1358"/>
      <c r="M36" s="1293"/>
    </row>
    <row r="37" spans="2:13" ht="9.6" customHeight="1" x14ac:dyDescent="0.2">
      <c r="B37" s="1359"/>
      <c r="G37" s="317"/>
      <c r="H37" s="317"/>
      <c r="I37" s="317"/>
      <c r="J37" s="317"/>
    </row>
    <row r="38" spans="2:13" ht="11.25" customHeight="1" x14ac:dyDescent="0.2">
      <c r="B38" s="1360" t="s">
        <v>1735</v>
      </c>
      <c r="C38" s="1361"/>
      <c r="D38" s="1361"/>
      <c r="E38" s="1361"/>
      <c r="F38" s="1361"/>
      <c r="G38" s="1361"/>
      <c r="H38" s="1361"/>
      <c r="I38" s="1362"/>
      <c r="J38" s="1362"/>
      <c r="K38" s="1362"/>
      <c r="L38" s="1362"/>
      <c r="M38" s="1362"/>
    </row>
    <row r="39" spans="2:13" ht="11.25" customHeight="1" x14ac:dyDescent="0.2">
      <c r="B39" s="1363" t="s">
        <v>1584</v>
      </c>
      <c r="C39" s="1362"/>
      <c r="D39" s="1362"/>
      <c r="E39" s="1362"/>
      <c r="F39" s="1362"/>
      <c r="G39" s="1362"/>
      <c r="H39" s="1362"/>
      <c r="I39" s="1362"/>
      <c r="J39" s="1362"/>
      <c r="K39" s="1362"/>
      <c r="L39" s="1362"/>
      <c r="M39" s="1362"/>
    </row>
    <row r="40" spans="2:13" ht="3.95" customHeight="1" x14ac:dyDescent="0.2">
      <c r="B40" s="1363"/>
      <c r="C40" s="1362"/>
      <c r="D40" s="1362"/>
      <c r="E40" s="1362"/>
      <c r="F40" s="1362"/>
      <c r="G40" s="1362"/>
      <c r="H40" s="1362"/>
      <c r="I40" s="1362"/>
      <c r="J40" s="1362"/>
      <c r="K40" s="1362"/>
      <c r="L40" s="1362"/>
      <c r="M40" s="1362"/>
    </row>
    <row r="41" spans="2:13" ht="11.25" customHeight="1" x14ac:dyDescent="0.2">
      <c r="B41" s="1360" t="s">
        <v>1736</v>
      </c>
      <c r="C41" s="1362"/>
      <c r="D41" s="1362"/>
      <c r="E41" s="1362"/>
      <c r="F41" s="1362"/>
      <c r="G41" s="1362"/>
      <c r="H41" s="1362"/>
      <c r="I41" s="1362"/>
      <c r="J41" s="1362"/>
      <c r="K41" s="1362"/>
      <c r="L41" s="1362"/>
      <c r="M41" s="1362"/>
    </row>
    <row r="42" spans="2:13" ht="11.25" customHeight="1" x14ac:dyDescent="0.2">
      <c r="B42" s="1296" t="s">
        <v>1585</v>
      </c>
      <c r="C42" s="1364"/>
      <c r="D42" s="1365"/>
      <c r="E42" s="1296"/>
      <c r="F42" s="1296"/>
      <c r="G42" s="1296"/>
      <c r="H42" s="1296"/>
      <c r="I42" s="1296"/>
      <c r="J42" s="1296"/>
      <c r="K42" s="1366"/>
      <c r="L42" s="1366"/>
      <c r="M42" s="1296"/>
    </row>
    <row r="43" spans="2:13" ht="3.95" customHeight="1" x14ac:dyDescent="0.2">
      <c r="B43" s="1296"/>
      <c r="C43" s="1364"/>
      <c r="D43" s="1365"/>
      <c r="E43" s="1296"/>
      <c r="F43" s="1296"/>
      <c r="G43" s="1296"/>
      <c r="H43" s="1296"/>
      <c r="I43" s="1296"/>
      <c r="J43" s="1296"/>
      <c r="K43" s="1366"/>
      <c r="L43" s="1366"/>
      <c r="M43" s="1296"/>
    </row>
    <row r="44" spans="2:13" ht="11.25" customHeight="1" x14ac:dyDescent="0.2">
      <c r="B44" s="1367" t="s">
        <v>1737</v>
      </c>
      <c r="C44" s="1364"/>
      <c r="D44" s="1365"/>
      <c r="E44" s="1296"/>
      <c r="F44" s="1296"/>
      <c r="G44" s="1296"/>
      <c r="H44" s="1296"/>
      <c r="I44" s="1296"/>
      <c r="J44" s="1296"/>
      <c r="K44" s="1366"/>
      <c r="L44" s="1366"/>
      <c r="M44" s="1296"/>
    </row>
    <row r="45" spans="2:13" ht="3.95" customHeight="1" x14ac:dyDescent="0.2">
      <c r="B45" s="1367"/>
      <c r="C45" s="1364"/>
      <c r="D45" s="1365"/>
      <c r="E45" s="1296"/>
      <c r="F45" s="1296"/>
      <c r="G45" s="1296"/>
      <c r="H45" s="1296"/>
      <c r="I45" s="1296"/>
      <c r="J45" s="1296"/>
      <c r="K45" s="1366"/>
      <c r="L45" s="1366"/>
      <c r="M45" s="1296"/>
    </row>
    <row r="46" spans="2:13" ht="11.25" customHeight="1" x14ac:dyDescent="0.2">
      <c r="B46" s="1368" t="s">
        <v>1738</v>
      </c>
      <c r="C46" s="1364"/>
      <c r="D46" s="1365"/>
      <c r="E46" s="1296"/>
      <c r="F46" s="1296"/>
      <c r="G46" s="1296"/>
      <c r="H46" s="1296"/>
      <c r="I46" s="1296"/>
      <c r="J46" s="1296"/>
      <c r="K46" s="1366"/>
      <c r="L46" s="1366"/>
      <c r="M46" s="1296"/>
    </row>
    <row r="47" spans="2:13" ht="11.25" customHeight="1" x14ac:dyDescent="0.2">
      <c r="B47" s="1296" t="s">
        <v>1586</v>
      </c>
      <c r="G47" s="317"/>
      <c r="H47" s="317"/>
      <c r="I47" s="317"/>
      <c r="J47" s="317"/>
    </row>
    <row r="48" spans="2:13" ht="11.1" customHeight="1" x14ac:dyDescent="0.2">
      <c r="B48" s="1296"/>
      <c r="G48" s="317"/>
      <c r="H48" s="317"/>
      <c r="I48" s="317"/>
      <c r="J48" s="317"/>
    </row>
    <row r="49" spans="2:13" ht="11.1" customHeight="1" x14ac:dyDescent="0.2">
      <c r="B49" s="1296"/>
      <c r="G49" s="317"/>
      <c r="H49" s="317"/>
      <c r="I49" s="317"/>
      <c r="J49" s="317"/>
    </row>
    <row r="50" spans="2:13" ht="13.5" customHeight="1" x14ac:dyDescent="0.2">
      <c r="M50" s="1369"/>
    </row>
    <row r="51" spans="2:13" ht="13.5" customHeight="1" x14ac:dyDescent="0.2">
      <c r="M51" s="1369"/>
    </row>
    <row r="52" spans="2:13" ht="13.5" customHeight="1" x14ac:dyDescent="0.2">
      <c r="M52" s="1369"/>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1168</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2" t="s">
        <v>1633</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2" t="s">
        <v>313</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2117</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2117</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t="s">
        <v>2172</v>
      </c>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1323</v>
      </c>
      <c r="B70" s="2085"/>
      <c r="C70" s="2085"/>
      <c r="D70" s="2085"/>
      <c r="E70" s="2086"/>
      <c r="F70" s="2086"/>
      <c r="G70" s="2086"/>
      <c r="H70" s="2086"/>
      <c r="I70" s="208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7"/>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1320</v>
      </c>
      <c r="B83" s="2087"/>
      <c r="C83" s="2087"/>
      <c r="D83" s="208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0</v>
      </c>
      <c r="G85" s="276">
        <v>171940</v>
      </c>
      <c r="H85" s="276">
        <v>80377</v>
      </c>
      <c r="I85" s="276"/>
      <c r="J85" s="277">
        <f>SUM(E85:I85)</f>
        <v>252317</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v>906</v>
      </c>
      <c r="G88" s="276">
        <v>964896</v>
      </c>
      <c r="H88" s="276">
        <v>324043</v>
      </c>
      <c r="I88" s="276"/>
      <c r="J88" s="277">
        <f>SUM(E88:I88)</f>
        <v>1289845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1542162</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2145</v>
      </c>
      <c r="D114" s="207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1330</v>
      </c>
      <c r="D117" s="2080"/>
      <c r="E117" s="2081"/>
      <c r="F117" s="2081"/>
      <c r="G117" s="2081"/>
      <c r="H117" s="2081"/>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1902</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41" zoomScale="120" zoomScaleNormal="120" workbookViewId="0">
      <selection activeCell="H53" sqref="H53"/>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KIRBY SD 140</v>
      </c>
      <c r="B1" s="2460"/>
      <c r="C1" s="2460"/>
      <c r="D1" s="2460"/>
      <c r="E1" s="2460"/>
      <c r="F1" s="2460"/>
    </row>
    <row r="2" spans="1:7" ht="13.5" customHeight="1" x14ac:dyDescent="0.2">
      <c r="A2" s="2448">
        <f>'Single Audit Cover'!E7</f>
        <v>7016140002</v>
      </c>
      <c r="B2" s="2448"/>
      <c r="C2" s="2448"/>
      <c r="D2" s="2448"/>
      <c r="E2" s="2448"/>
      <c r="F2" s="2448"/>
      <c r="G2" s="1271"/>
    </row>
    <row r="3" spans="1:7" ht="15.75" customHeight="1" x14ac:dyDescent="0.2">
      <c r="A3" s="2461" t="s">
        <v>1271</v>
      </c>
      <c r="B3" s="2461"/>
      <c r="C3" s="2461"/>
      <c r="D3" s="2461"/>
      <c r="E3" s="2461"/>
      <c r="F3" s="2461"/>
    </row>
    <row r="4" spans="1:7" ht="13.5" customHeight="1" x14ac:dyDescent="0.2">
      <c r="A4" s="2462" t="str">
        <f>'Single Audit Cover'!A4</f>
        <v>Year Ending June 30, 2019</v>
      </c>
      <c r="B4" s="2462"/>
      <c r="C4" s="2462"/>
      <c r="D4" s="2462"/>
      <c r="E4" s="2462"/>
      <c r="F4" s="2462"/>
    </row>
    <row r="5" spans="1:7" ht="8.25" customHeight="1" x14ac:dyDescent="0.2">
      <c r="C5" s="317"/>
      <c r="D5" s="317"/>
    </row>
    <row r="6" spans="1:7" ht="13.5" customHeight="1" x14ac:dyDescent="0.2">
      <c r="A6" s="1272" t="s">
        <v>1728</v>
      </c>
      <c r="C6" s="317"/>
      <c r="D6" s="317"/>
    </row>
    <row r="7" spans="1:7" ht="60.95" customHeight="1" x14ac:dyDescent="0.2">
      <c r="A7" s="2459" t="s">
        <v>2121</v>
      </c>
      <c r="B7" s="2459"/>
      <c r="C7" s="2459"/>
      <c r="D7" s="2459"/>
      <c r="E7" s="2459"/>
      <c r="F7" s="2459"/>
    </row>
    <row r="8" spans="1:7" ht="12" customHeight="1" x14ac:dyDescent="0.2">
      <c r="A8" s="1272"/>
      <c r="B8" s="1278"/>
      <c r="C8" s="1278"/>
      <c r="D8" s="1278"/>
    </row>
    <row r="9" spans="1:7" ht="15" customHeight="1" x14ac:dyDescent="0.2">
      <c r="A9" s="1273" t="s">
        <v>1729</v>
      </c>
      <c r="B9" s="1276"/>
      <c r="C9" s="1276"/>
      <c r="D9" s="1276"/>
      <c r="E9" s="1274"/>
      <c r="F9" s="1274"/>
      <c r="G9" s="1274"/>
    </row>
    <row r="10" spans="1:7" ht="15" customHeight="1" x14ac:dyDescent="0.2">
      <c r="A10" s="1275" t="s">
        <v>1547</v>
      </c>
      <c r="B10" s="1276"/>
      <c r="C10" s="1277"/>
      <c r="D10" s="1276" t="s">
        <v>1548</v>
      </c>
      <c r="E10" s="1277" t="s">
        <v>2117</v>
      </c>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59" t="s">
        <v>2122</v>
      </c>
      <c r="B13" s="2459"/>
      <c r="C13" s="2459"/>
      <c r="D13" s="2459"/>
      <c r="E13" s="2459"/>
      <c r="F13" s="2459"/>
    </row>
    <row r="14" spans="1:7" ht="9.75" customHeight="1" x14ac:dyDescent="0.2">
      <c r="C14" s="1256"/>
      <c r="D14" s="1256"/>
    </row>
    <row r="15" spans="1:7" ht="13.5" customHeight="1" x14ac:dyDescent="0.2">
      <c r="C15" s="1845" t="s">
        <v>1270</v>
      </c>
      <c r="D15" s="2457" t="s">
        <v>1269</v>
      </c>
      <c r="E15" s="2457"/>
      <c r="F15" s="2457"/>
    </row>
    <row r="16" spans="1:7" ht="13.5" customHeight="1" x14ac:dyDescent="0.2">
      <c r="A16" s="1278"/>
      <c r="B16" s="1272" t="s">
        <v>1268</v>
      </c>
      <c r="C16" s="1845" t="s">
        <v>1267</v>
      </c>
      <c r="D16" s="2458" t="s">
        <v>1588</v>
      </c>
      <c r="E16" s="2458"/>
      <c r="F16" s="2458"/>
    </row>
    <row r="17" spans="1:6" ht="20.45" customHeight="1" x14ac:dyDescent="0.2">
      <c r="A17" s="1279"/>
      <c r="B17" s="1280" t="s">
        <v>2123</v>
      </c>
      <c r="C17" s="1281"/>
      <c r="D17" s="2452"/>
      <c r="E17" s="2452"/>
      <c r="F17" s="2452"/>
    </row>
    <row r="18" spans="1:6" ht="20.65" customHeight="1" x14ac:dyDescent="0.2">
      <c r="A18" s="1279"/>
      <c r="B18" s="1280"/>
      <c r="C18" s="1281"/>
      <c r="D18" s="2452"/>
      <c r="E18" s="2452"/>
      <c r="F18" s="2452"/>
    </row>
    <row r="19" spans="1:6" ht="20.65" customHeight="1" x14ac:dyDescent="0.2">
      <c r="A19" s="1279"/>
      <c r="B19" s="1280"/>
      <c r="C19" s="1281"/>
      <c r="D19" s="2452"/>
      <c r="E19" s="2452"/>
      <c r="F19" s="2452"/>
    </row>
    <row r="20" spans="1:6" ht="20.65" customHeight="1" x14ac:dyDescent="0.2">
      <c r="A20" s="1279"/>
      <c r="B20" s="1280"/>
      <c r="C20" s="1281"/>
      <c r="D20" s="2452"/>
      <c r="E20" s="2452"/>
      <c r="F20" s="2452"/>
    </row>
    <row r="21" spans="1:6" ht="20.65" customHeight="1" x14ac:dyDescent="0.2">
      <c r="A21" s="1279"/>
      <c r="B21" s="1280"/>
      <c r="C21" s="1281"/>
      <c r="D21" s="2452"/>
      <c r="E21" s="2452"/>
      <c r="F21" s="2452"/>
    </row>
    <row r="22" spans="1:6" ht="20.65" customHeight="1" x14ac:dyDescent="0.2">
      <c r="A22" s="1279"/>
      <c r="B22" s="1280"/>
      <c r="C22" s="1281"/>
      <c r="D22" s="2452"/>
      <c r="E22" s="2452"/>
      <c r="F22" s="2452"/>
    </row>
    <row r="23" spans="1:6" ht="20.65" customHeight="1" x14ac:dyDescent="0.2">
      <c r="A23" s="1279"/>
      <c r="B23" s="1280"/>
      <c r="C23" s="1281"/>
      <c r="D23" s="2452"/>
      <c r="E23" s="2452"/>
      <c r="F23" s="2452"/>
    </row>
    <row r="24" spans="1:6" ht="20.65" customHeight="1" x14ac:dyDescent="0.2">
      <c r="A24" s="1279"/>
      <c r="B24" s="1280"/>
      <c r="C24" s="1281"/>
      <c r="D24" s="2452"/>
      <c r="E24" s="2452"/>
      <c r="F24" s="2452"/>
    </row>
    <row r="25" spans="1:6" ht="20.65" customHeight="1" x14ac:dyDescent="0.2">
      <c r="A25" s="1279"/>
      <c r="B25" s="1280"/>
      <c r="C25" s="1281"/>
      <c r="D25" s="2452"/>
      <c r="E25" s="2452"/>
      <c r="F25" s="2452"/>
    </row>
    <row r="26" spans="1:6" ht="20.65" customHeight="1" x14ac:dyDescent="0.2">
      <c r="A26" s="1279"/>
      <c r="B26" s="1280"/>
      <c r="C26" s="1281"/>
      <c r="D26" s="2452"/>
      <c r="E26" s="2452"/>
      <c r="F26" s="2452"/>
    </row>
    <row r="27" spans="1:6" ht="20.65" customHeight="1" x14ac:dyDescent="0.2">
      <c r="A27" s="1279"/>
      <c r="B27" s="1280"/>
      <c r="C27" s="1281"/>
      <c r="D27" s="2452"/>
      <c r="E27" s="2452"/>
      <c r="F27" s="2452"/>
    </row>
    <row r="28" spans="1:6" ht="20.65" customHeight="1" x14ac:dyDescent="0.2">
      <c r="A28" s="1279"/>
      <c r="B28" s="1280"/>
      <c r="C28" s="1281"/>
      <c r="D28" s="2452"/>
      <c r="E28" s="2452"/>
      <c r="F28" s="2452"/>
    </row>
    <row r="29" spans="1:6" ht="20.65" customHeight="1" x14ac:dyDescent="0.2">
      <c r="A29" s="1279"/>
      <c r="B29" s="1280"/>
      <c r="C29" s="1281"/>
      <c r="D29" s="2452"/>
      <c r="E29" s="2452"/>
      <c r="F29" s="2452"/>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53" t="s">
        <v>2136</v>
      </c>
      <c r="B32" s="2453"/>
      <c r="C32" s="2453"/>
      <c r="D32" s="2453"/>
      <c r="E32" s="2453"/>
      <c r="F32" s="2453"/>
    </row>
    <row r="33" spans="1:6" ht="13.5" customHeight="1" x14ac:dyDescent="0.2">
      <c r="A33" s="328" t="s">
        <v>1434</v>
      </c>
      <c r="B33" s="328"/>
      <c r="C33" s="1284">
        <v>0</v>
      </c>
      <c r="D33" s="1902"/>
      <c r="E33" s="1282"/>
    </row>
    <row r="34" spans="1:6" ht="13.5" customHeight="1" x14ac:dyDescent="0.2">
      <c r="A34" s="328" t="s">
        <v>1834</v>
      </c>
      <c r="B34" s="328"/>
      <c r="C34" s="1285">
        <v>0</v>
      </c>
      <c r="D34" s="1902" t="s">
        <v>1589</v>
      </c>
      <c r="E34" s="2454">
        <f>+C33+C34</f>
        <v>0</v>
      </c>
      <c r="F34" s="2455"/>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v>0</v>
      </c>
      <c r="D38" s="1902"/>
      <c r="E38" s="1282"/>
    </row>
    <row r="39" spans="1:6" ht="14.25" customHeight="1" x14ac:dyDescent="0.2">
      <c r="A39" s="328"/>
      <c r="B39" s="328" t="s">
        <v>1436</v>
      </c>
      <c r="C39" s="1288">
        <v>0</v>
      </c>
      <c r="D39" s="1902"/>
      <c r="E39" s="1282"/>
    </row>
    <row r="40" spans="1:6" ht="14.25" customHeight="1" x14ac:dyDescent="0.2">
      <c r="A40" s="328"/>
      <c r="B40" s="328" t="s">
        <v>1437</v>
      </c>
      <c r="C40" s="1288">
        <v>0</v>
      </c>
      <c r="D40" s="1902"/>
      <c r="E40" s="1282"/>
    </row>
    <row r="41" spans="1:6" ht="14.25" customHeight="1" x14ac:dyDescent="0.2">
      <c r="A41" s="328"/>
      <c r="B41" s="328" t="s">
        <v>1438</v>
      </c>
      <c r="C41" s="1288">
        <v>0</v>
      </c>
      <c r="D41" s="1902"/>
      <c r="E41" s="1282"/>
    </row>
    <row r="42" spans="1:6" ht="14.25" customHeight="1" x14ac:dyDescent="0.2">
      <c r="A42" s="328" t="s">
        <v>1439</v>
      </c>
      <c r="B42" s="328"/>
      <c r="C42" s="1900">
        <v>0</v>
      </c>
      <c r="D42" s="1902"/>
      <c r="E42" s="1282"/>
    </row>
    <row r="43" spans="1:6" ht="14.25" customHeight="1" x14ac:dyDescent="0.2">
      <c r="A43" s="328" t="s">
        <v>1440</v>
      </c>
      <c r="B43" s="328"/>
      <c r="C43" s="1289" t="s">
        <v>99</v>
      </c>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1730</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6" t="s">
        <v>1590</v>
      </c>
      <c r="C49" s="2456"/>
      <c r="D49" s="2456"/>
      <c r="E49" s="1395"/>
    </row>
    <row r="50" spans="1:5" s="1296" customFormat="1" ht="3.75" customHeight="1" x14ac:dyDescent="0.2">
      <c r="A50" s="1295"/>
      <c r="B50" s="1844"/>
      <c r="C50" s="1844"/>
      <c r="D50" s="1844"/>
      <c r="E50" s="1395"/>
    </row>
    <row r="51" spans="1:5" s="1296" customFormat="1" ht="20.25" customHeight="1" x14ac:dyDescent="0.2">
      <c r="A51" s="1297">
        <v>6</v>
      </c>
      <c r="B51" s="2451" t="s">
        <v>1551</v>
      </c>
      <c r="C51" s="2451"/>
      <c r="D51" s="2451"/>
    </row>
    <row r="52" spans="1:5" ht="14.25" customHeight="1" x14ac:dyDescent="0.2">
      <c r="A52" s="1297"/>
      <c r="B52" s="2451"/>
      <c r="C52" s="2451"/>
      <c r="D52" s="245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25" zoomScale="110" zoomScaleNormal="110" workbookViewId="0">
      <selection activeCell="G51" sqref="G5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KIRBY SD 140</v>
      </c>
      <c r="C1" s="2475"/>
      <c r="D1" s="2475"/>
      <c r="E1" s="2475"/>
      <c r="F1" s="2475"/>
      <c r="G1" s="2475"/>
      <c r="H1" s="2475"/>
      <c r="I1" s="2475"/>
      <c r="J1" s="1405"/>
    </row>
    <row r="2" spans="2:10" s="317" customFormat="1" ht="12.75" customHeight="1" x14ac:dyDescent="0.2">
      <c r="B2" s="2476">
        <f>'Single Audit Cover'!E7</f>
        <v>7016140002</v>
      </c>
      <c r="C2" s="2477"/>
      <c r="D2" s="2477"/>
      <c r="E2" s="2477"/>
      <c r="F2" s="2477"/>
      <c r="G2" s="2477"/>
      <c r="H2" s="2477"/>
      <c r="I2" s="2477"/>
      <c r="J2" s="1405"/>
    </row>
    <row r="3" spans="2:10" s="317" customFormat="1" ht="12.75" customHeight="1" x14ac:dyDescent="0.2">
      <c r="B3" s="2478" t="s">
        <v>1285</v>
      </c>
      <c r="C3" s="2479"/>
      <c r="D3" s="2479"/>
      <c r="E3" s="2479"/>
      <c r="F3" s="2479"/>
      <c r="G3" s="2479"/>
      <c r="H3" s="2479"/>
      <c r="I3" s="2479"/>
      <c r="J3" s="1406"/>
    </row>
    <row r="4" spans="2:10" s="317" customFormat="1" ht="12.75" customHeight="1" x14ac:dyDescent="0.2">
      <c r="B4" s="2478" t="str">
        <f>'Single Audit Cover'!A4</f>
        <v>Year Ending June 30, 2019</v>
      </c>
      <c r="C4" s="2479"/>
      <c r="D4" s="2479"/>
      <c r="E4" s="2479"/>
      <c r="F4" s="2479"/>
      <c r="G4" s="2479"/>
      <c r="H4" s="2479"/>
      <c r="I4" s="2479"/>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78" t="s">
        <v>1284</v>
      </c>
      <c r="C7" s="2479"/>
      <c r="D7" s="2479"/>
      <c r="E7" s="2479"/>
      <c r="F7" s="2479"/>
      <c r="G7" s="2479"/>
      <c r="H7" s="2479"/>
      <c r="I7" s="2479"/>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80" t="s">
        <v>2124</v>
      </c>
      <c r="D11" s="2480"/>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t="s">
        <v>2103</v>
      </c>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t="s">
        <v>2103</v>
      </c>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t="s">
        <v>2103</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t="s">
        <v>2103</v>
      </c>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t="s">
        <v>2103</v>
      </c>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81" t="s">
        <v>2124</v>
      </c>
      <c r="E29" s="2481"/>
      <c r="F29" s="2481"/>
      <c r="G29" s="2481"/>
      <c r="H29" s="2481"/>
      <c r="I29" s="2481"/>
    </row>
    <row r="30" spans="2:9" s="317" customFormat="1" x14ac:dyDescent="0.2">
      <c r="B30" s="1364"/>
      <c r="C30" s="322"/>
      <c r="D30" s="1416" t="s">
        <v>1745</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t="s">
        <v>2103</v>
      </c>
      <c r="F33" s="1296" t="s">
        <v>885</v>
      </c>
      <c r="G33" s="1421"/>
      <c r="H33" s="1296" t="s">
        <v>99</v>
      </c>
    </row>
    <row r="35" spans="2:9" x14ac:dyDescent="0.2">
      <c r="B35" s="1424" t="s">
        <v>1746</v>
      </c>
      <c r="C35" s="1425"/>
      <c r="D35" s="1263"/>
    </row>
    <row r="36" spans="2:9" ht="6" customHeight="1" x14ac:dyDescent="0.2">
      <c r="B36" s="1424"/>
      <c r="C36" s="1425"/>
      <c r="D36" s="1263"/>
    </row>
    <row r="37" spans="2:9" ht="17.25" customHeight="1" x14ac:dyDescent="0.2">
      <c r="B37" s="1426" t="s">
        <v>1747</v>
      </c>
      <c r="C37" s="2482" t="s">
        <v>1748</v>
      </c>
      <c r="D37" s="2483"/>
      <c r="E37" s="2483"/>
      <c r="F37" s="2484"/>
      <c r="G37" s="2482" t="s">
        <v>1592</v>
      </c>
      <c r="H37" s="2483"/>
      <c r="I37" s="2484"/>
    </row>
    <row r="38" spans="2:9" ht="16.5" customHeight="1" x14ac:dyDescent="0.2">
      <c r="B38" s="1427">
        <v>84.173000000000002</v>
      </c>
      <c r="C38" s="2470" t="s">
        <v>2128</v>
      </c>
      <c r="D38" s="2471"/>
      <c r="E38" s="2471"/>
      <c r="F38" s="2472"/>
      <c r="G38" s="2485">
        <v>51126</v>
      </c>
      <c r="H38" s="2486"/>
      <c r="I38" s="2487"/>
    </row>
    <row r="39" spans="2:9" ht="16.5" customHeight="1" x14ac:dyDescent="0.2">
      <c r="B39" s="1427">
        <v>84.027000000000001</v>
      </c>
      <c r="C39" s="2470" t="s">
        <v>2129</v>
      </c>
      <c r="D39" s="2471"/>
      <c r="E39" s="2471"/>
      <c r="F39" s="2472"/>
      <c r="G39" s="2473">
        <v>954772</v>
      </c>
      <c r="H39" s="2473"/>
      <c r="I39" s="2473"/>
    </row>
    <row r="40" spans="2:9" ht="16.5" customHeight="1" x14ac:dyDescent="0.2">
      <c r="B40" s="1427">
        <v>84.027000000000001</v>
      </c>
      <c r="C40" s="2470" t="s">
        <v>2130</v>
      </c>
      <c r="D40" s="2471"/>
      <c r="E40" s="2471"/>
      <c r="F40" s="2472"/>
      <c r="G40" s="2473">
        <v>111721</v>
      </c>
      <c r="H40" s="2473"/>
      <c r="I40" s="2473"/>
    </row>
    <row r="41" spans="2:9" ht="16.5" customHeight="1" x14ac:dyDescent="0.2">
      <c r="B41" s="1427"/>
      <c r="C41" s="2470"/>
      <c r="D41" s="2471"/>
      <c r="E41" s="2471"/>
      <c r="F41" s="2472"/>
      <c r="G41" s="2473"/>
      <c r="H41" s="2473"/>
      <c r="I41" s="2473"/>
    </row>
    <row r="42" spans="2:9" ht="16.5" customHeight="1" x14ac:dyDescent="0.2">
      <c r="B42" s="1427"/>
      <c r="C42" s="2470"/>
      <c r="D42" s="2471"/>
      <c r="E42" s="2471"/>
      <c r="F42" s="2472"/>
      <c r="G42" s="2473"/>
      <c r="H42" s="2473"/>
      <c r="I42" s="2473"/>
    </row>
    <row r="43" spans="2:9" ht="16.5" customHeight="1" x14ac:dyDescent="0.2">
      <c r="B43" s="1427"/>
      <c r="C43" s="2463" t="s">
        <v>1593</v>
      </c>
      <c r="D43" s="2464"/>
      <c r="E43" s="2464"/>
      <c r="F43" s="2465"/>
      <c r="G43" s="2466">
        <f>SUM(G38:I42)</f>
        <v>1117619</v>
      </c>
      <c r="H43" s="2466"/>
      <c r="I43" s="2466"/>
    </row>
    <row r="44" spans="2:9" ht="12.75" customHeight="1" x14ac:dyDescent="0.2"/>
    <row r="45" spans="2:9" ht="12.75" customHeight="1" x14ac:dyDescent="0.2">
      <c r="B45" s="1418" t="s">
        <v>1837</v>
      </c>
      <c r="D45" s="2467">
        <f>+' SEFA (2)'!I28</f>
        <v>1840678</v>
      </c>
      <c r="E45" s="2468"/>
    </row>
    <row r="46" spans="2:9" ht="5.25" customHeight="1" x14ac:dyDescent="0.2">
      <c r="B46" s="1428"/>
      <c r="D46" s="1429"/>
      <c r="E46" s="1430"/>
    </row>
    <row r="47" spans="2:9" ht="12.75" customHeight="1" x14ac:dyDescent="0.2">
      <c r="B47" s="1296" t="s">
        <v>1594</v>
      </c>
      <c r="C47" s="1296"/>
      <c r="D47" s="1431">
        <f>+G43/D45</f>
        <v>0.60717789857867588</v>
      </c>
      <c r="E47" s="1432"/>
      <c r="F47" s="1433"/>
      <c r="I47" s="1434"/>
    </row>
    <row r="48" spans="2:9" ht="9.9499999999999993" customHeight="1" x14ac:dyDescent="0.2"/>
    <row r="49" spans="1:9" x14ac:dyDescent="0.2">
      <c r="B49" s="1364" t="s">
        <v>1273</v>
      </c>
      <c r="C49" s="1278"/>
      <c r="D49" s="1278"/>
      <c r="E49" s="2469">
        <v>750000</v>
      </c>
      <c r="F49" s="2469"/>
      <c r="G49" s="2469"/>
      <c r="H49" s="322"/>
    </row>
    <row r="51" spans="1:9" ht="13.5" customHeight="1" x14ac:dyDescent="0.2">
      <c r="B51" s="1364" t="s">
        <v>1272</v>
      </c>
      <c r="C51" s="1278"/>
      <c r="E51" s="1421"/>
      <c r="F51" s="1296" t="s">
        <v>885</v>
      </c>
      <c r="G51" s="1421" t="s">
        <v>2117</v>
      </c>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1749</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1750</v>
      </c>
      <c r="C58" s="1447"/>
      <c r="D58" s="1447"/>
    </row>
    <row r="59" spans="1:9" s="1444" customFormat="1" ht="3.95" customHeight="1" x14ac:dyDescent="0.2">
      <c r="A59" s="1441"/>
      <c r="B59" s="1446"/>
      <c r="C59" s="1447"/>
      <c r="D59" s="1447"/>
    </row>
    <row r="60" spans="1:9" s="1444" customFormat="1" ht="13.5" customHeight="1" x14ac:dyDescent="0.2">
      <c r="A60" s="1441"/>
      <c r="B60" s="1446" t="s">
        <v>1751</v>
      </c>
      <c r="C60" s="1447"/>
      <c r="D60" s="1447"/>
    </row>
    <row r="61" spans="1:9" s="1444" customFormat="1" ht="3.95" customHeight="1" x14ac:dyDescent="0.2">
      <c r="A61" s="1441"/>
      <c r="B61" s="1446"/>
      <c r="C61" s="1447"/>
      <c r="D61" s="1447"/>
    </row>
    <row r="62" spans="1:9" s="1444" customFormat="1" ht="12.75" customHeight="1" x14ac:dyDescent="0.2">
      <c r="A62" s="1441"/>
      <c r="B62" s="1446" t="s">
        <v>1752</v>
      </c>
      <c r="C62" s="1447"/>
      <c r="D62" s="1447"/>
    </row>
    <row r="63" spans="1:9" s="1444" customFormat="1" ht="13.5" customHeight="1" x14ac:dyDescent="0.2">
      <c r="A63" s="1441"/>
      <c r="B63" s="1445" t="s">
        <v>1597</v>
      </c>
      <c r="C63" s="1441"/>
      <c r="D63" s="1441"/>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7" zoomScale="110" zoomScaleNormal="110" workbookViewId="0">
      <selection activeCell="B20" sqref="B20:K20"/>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KIRBY SD 140</v>
      </c>
      <c r="C1" s="2474"/>
      <c r="D1" s="2474"/>
      <c r="E1" s="2474"/>
      <c r="F1" s="2474"/>
      <c r="G1" s="2474"/>
      <c r="H1" s="2474"/>
      <c r="I1" s="2474"/>
      <c r="J1" s="2474"/>
      <c r="K1" s="2474"/>
      <c r="L1" s="1370"/>
      <c r="M1" s="1370"/>
    </row>
    <row r="2" spans="1:13" ht="12" customHeight="1" x14ac:dyDescent="0.2">
      <c r="B2" s="2476">
        <f>'Single Audit Cover'!E7</f>
        <v>7016140002</v>
      </c>
      <c r="C2" s="2476"/>
      <c r="D2" s="2476"/>
      <c r="E2" s="2476"/>
      <c r="F2" s="2476"/>
      <c r="G2" s="2476"/>
      <c r="H2" s="2476"/>
      <c r="I2" s="2476"/>
      <c r="J2" s="2476"/>
      <c r="K2" s="2476"/>
      <c r="L2" s="1371"/>
      <c r="M2" s="1372"/>
    </row>
    <row r="3" spans="1:13" ht="10.35" customHeight="1" x14ac:dyDescent="0.2">
      <c r="B3" s="2490" t="s">
        <v>1285</v>
      </c>
      <c r="C3" s="2490"/>
      <c r="D3" s="2490"/>
      <c r="E3" s="2490"/>
      <c r="F3" s="2490"/>
      <c r="G3" s="2490"/>
      <c r="H3" s="2490"/>
      <c r="I3" s="2490"/>
      <c r="J3" s="2490"/>
      <c r="K3" s="2490"/>
      <c r="L3" s="1373"/>
      <c r="M3" s="1373"/>
    </row>
    <row r="4" spans="1:13" ht="14.25" customHeight="1" x14ac:dyDescent="0.2">
      <c r="B4" s="2491" t="str">
        <f>'Single Audit Cover'!A4</f>
        <v>Year Ending June 30, 2019</v>
      </c>
      <c r="C4" s="2491"/>
      <c r="D4" s="2491"/>
      <c r="E4" s="2491"/>
      <c r="F4" s="2491"/>
      <c r="G4" s="2491"/>
      <c r="H4" s="2491"/>
      <c r="I4" s="2491"/>
      <c r="J4" s="2491"/>
      <c r="K4" s="2491"/>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91" t="s">
        <v>1296</v>
      </c>
      <c r="C7" s="2491"/>
      <c r="D7" s="2492"/>
      <c r="E7" s="2492"/>
      <c r="F7" s="2492"/>
      <c r="G7" s="2492"/>
      <c r="H7" s="2492"/>
      <c r="I7" s="2492"/>
      <c r="J7" s="2492"/>
      <c r="K7" s="2492"/>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1739</v>
      </c>
      <c r="C10" s="1381" t="s">
        <v>1987</v>
      </c>
      <c r="D10" s="1382">
        <v>1</v>
      </c>
      <c r="E10" s="322"/>
      <c r="F10" s="1383" t="s">
        <v>1295</v>
      </c>
      <c r="G10" s="1384"/>
      <c r="H10" s="1385" t="s">
        <v>1294</v>
      </c>
      <c r="I10" s="1384" t="s">
        <v>2117</v>
      </c>
      <c r="J10" s="1386" t="s">
        <v>1293</v>
      </c>
      <c r="K10" s="322"/>
      <c r="L10" s="1377"/>
    </row>
    <row r="11" spans="1:13" ht="13.5" customHeight="1" x14ac:dyDescent="0.2">
      <c r="B11" s="322"/>
      <c r="C11" s="322"/>
      <c r="D11" s="322"/>
      <c r="E11" s="322"/>
      <c r="F11" s="322"/>
      <c r="G11" s="1379"/>
      <c r="H11" s="322"/>
      <c r="I11" s="1387" t="s">
        <v>1292</v>
      </c>
      <c r="J11" s="322"/>
      <c r="K11" s="1388">
        <v>2008</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89" t="s">
        <v>2138</v>
      </c>
      <c r="C14" s="2489"/>
      <c r="D14" s="2489"/>
      <c r="E14" s="2489"/>
      <c r="F14" s="2489"/>
      <c r="G14" s="2489"/>
      <c r="H14" s="2489"/>
      <c r="I14" s="2489"/>
      <c r="J14" s="2489"/>
      <c r="K14" s="2489"/>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89" t="s">
        <v>2139</v>
      </c>
      <c r="C17" s="2489"/>
      <c r="D17" s="2489"/>
      <c r="E17" s="2489"/>
      <c r="F17" s="2489"/>
      <c r="G17" s="2489"/>
      <c r="H17" s="2489"/>
      <c r="I17" s="2489"/>
      <c r="J17" s="2489"/>
      <c r="K17" s="2489"/>
      <c r="L17" s="1377"/>
    </row>
    <row r="18" spans="2:12" ht="4.5" customHeight="1" x14ac:dyDescent="0.2">
      <c r="B18" s="1394"/>
      <c r="C18" s="1394"/>
      <c r="L18" s="1377"/>
    </row>
    <row r="19" spans="2:12" s="1278" customFormat="1" ht="13.5" customHeight="1" x14ac:dyDescent="0.2">
      <c r="B19" s="1389" t="s">
        <v>1740</v>
      </c>
      <c r="C19" s="1389"/>
      <c r="D19" s="1390"/>
      <c r="E19" s="1390"/>
      <c r="F19" s="1390"/>
      <c r="G19" s="1391"/>
      <c r="H19" s="1390"/>
      <c r="I19" s="1391"/>
      <c r="J19" s="1390"/>
      <c r="K19" s="1390"/>
      <c r="L19" s="1392"/>
    </row>
    <row r="20" spans="2:12" ht="45.75" customHeight="1" x14ac:dyDescent="0.2">
      <c r="B20" s="2493" t="s">
        <v>2140</v>
      </c>
      <c r="C20" s="2493"/>
      <c r="D20" s="2489"/>
      <c r="E20" s="2489"/>
      <c r="F20" s="2489"/>
      <c r="G20" s="2489"/>
      <c r="H20" s="2489"/>
      <c r="I20" s="2489"/>
      <c r="J20" s="2489"/>
      <c r="K20" s="2489"/>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89" t="s">
        <v>2141</v>
      </c>
      <c r="C23" s="2489"/>
      <c r="D23" s="2489"/>
      <c r="E23" s="2489"/>
      <c r="F23" s="2489"/>
      <c r="G23" s="2489"/>
      <c r="H23" s="2489"/>
      <c r="I23" s="2489"/>
      <c r="J23" s="2489"/>
      <c r="K23" s="2489"/>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89" t="s">
        <v>2142</v>
      </c>
      <c r="C26" s="2489"/>
      <c r="D26" s="2489"/>
      <c r="E26" s="2489"/>
      <c r="F26" s="2489"/>
      <c r="G26" s="2489"/>
      <c r="H26" s="2489"/>
      <c r="I26" s="2489"/>
      <c r="J26" s="2489"/>
      <c r="K26" s="2489"/>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88" t="s">
        <v>2143</v>
      </c>
      <c r="C29" s="2488"/>
      <c r="D29" s="2489"/>
      <c r="E29" s="2489"/>
      <c r="F29" s="2489"/>
      <c r="G29" s="2489"/>
      <c r="H29" s="2489"/>
      <c r="I29" s="2489"/>
      <c r="J29" s="2489"/>
      <c r="K29" s="2489"/>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1741</v>
      </c>
      <c r="C31" s="1399"/>
      <c r="D31" s="1374"/>
      <c r="E31" s="1375"/>
      <c r="F31" s="1375"/>
      <c r="G31" s="1376"/>
      <c r="H31" s="1375"/>
      <c r="I31" s="1376"/>
      <c r="J31" s="1375"/>
      <c r="K31" s="1375"/>
      <c r="L31" s="1377"/>
    </row>
    <row r="32" spans="2:12" s="322" customFormat="1" ht="44.25" customHeight="1" x14ac:dyDescent="0.2">
      <c r="B32" s="2488" t="s">
        <v>2131</v>
      </c>
      <c r="C32" s="2488"/>
      <c r="D32" s="2489"/>
      <c r="E32" s="2489"/>
      <c r="F32" s="2489"/>
      <c r="G32" s="2489"/>
      <c r="H32" s="2489"/>
      <c r="I32" s="2489"/>
      <c r="J32" s="2489"/>
      <c r="K32" s="2489"/>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1742</v>
      </c>
      <c r="C35" s="1402"/>
      <c r="D35" s="322"/>
      <c r="E35" s="322"/>
      <c r="F35" s="322"/>
      <c r="L35" s="1377"/>
    </row>
    <row r="36" spans="1:13" ht="9.6" customHeight="1" x14ac:dyDescent="0.2">
      <c r="B36" s="1296" t="s">
        <v>1838</v>
      </c>
      <c r="C36" s="1296"/>
      <c r="L36" s="1377"/>
    </row>
    <row r="37" spans="1:13" ht="9.6" customHeight="1" x14ac:dyDescent="0.2">
      <c r="B37" s="1296" t="s">
        <v>1839</v>
      </c>
      <c r="C37" s="1296"/>
    </row>
    <row r="38" spans="1:13" ht="11.85" customHeight="1" x14ac:dyDescent="0.2">
      <c r="B38" s="1403" t="s">
        <v>1743</v>
      </c>
      <c r="C38" s="1403"/>
    </row>
    <row r="39" spans="1:13" ht="9.6" customHeight="1" x14ac:dyDescent="0.2">
      <c r="B39" s="1296" t="s">
        <v>1286</v>
      </c>
      <c r="C39" s="1296"/>
      <c r="M39" s="1404"/>
    </row>
    <row r="40" spans="1:13" ht="12.6" customHeight="1" x14ac:dyDescent="0.2">
      <c r="B40" s="1403" t="s">
        <v>1744</v>
      </c>
      <c r="C40" s="1403"/>
      <c r="M40" s="1404"/>
    </row>
    <row r="41" spans="1:13" ht="9.6" customHeight="1" x14ac:dyDescent="0.2">
      <c r="B41" s="1296"/>
      <c r="C41" s="1296"/>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H55" sqref="H55"/>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KIRBY SD 140</v>
      </c>
      <c r="C1" s="2497"/>
      <c r="D1" s="2497"/>
      <c r="E1" s="2497"/>
      <c r="F1" s="2497"/>
      <c r="G1" s="2497"/>
      <c r="H1" s="2497"/>
      <c r="I1" s="2497"/>
      <c r="J1" s="2497"/>
      <c r="K1" s="2497"/>
      <c r="L1" s="1448"/>
    </row>
    <row r="2" spans="1:12" ht="12.75" customHeight="1" x14ac:dyDescent="0.2">
      <c r="B2" s="2498">
        <f>'Single Audit Cover'!E7</f>
        <v>7016140002</v>
      </c>
      <c r="C2" s="2498"/>
      <c r="D2" s="2498"/>
      <c r="E2" s="2498"/>
      <c r="F2" s="2498"/>
      <c r="G2" s="2498"/>
      <c r="H2" s="2498"/>
      <c r="I2" s="2498"/>
      <c r="J2" s="2498"/>
      <c r="K2" s="2498"/>
      <c r="L2" s="1449"/>
    </row>
    <row r="3" spans="1:12" ht="12.75" customHeight="1" x14ac:dyDescent="0.2">
      <c r="B3" s="2490" t="s">
        <v>1285</v>
      </c>
      <c r="C3" s="2490"/>
      <c r="D3" s="2490"/>
      <c r="E3" s="2490"/>
      <c r="F3" s="2490"/>
      <c r="G3" s="2490"/>
      <c r="H3" s="2490"/>
      <c r="I3" s="2490"/>
      <c r="J3" s="2490"/>
      <c r="K3" s="2490"/>
      <c r="L3" s="1373"/>
    </row>
    <row r="4" spans="1:12" ht="12.75" customHeight="1" x14ac:dyDescent="0.2">
      <c r="B4" s="2490" t="str">
        <f>'Single Audit Cover'!A4</f>
        <v>Year Ending June 30, 2019</v>
      </c>
      <c r="C4" s="2490"/>
      <c r="D4" s="2490"/>
      <c r="E4" s="2490"/>
      <c r="F4" s="2490"/>
      <c r="G4" s="2490"/>
      <c r="H4" s="2490"/>
      <c r="I4" s="2490"/>
      <c r="J4" s="2490"/>
      <c r="K4" s="2490"/>
      <c r="L4" s="1373"/>
    </row>
    <row r="5" spans="1:12" ht="5.25" customHeight="1" x14ac:dyDescent="0.2">
      <c r="B5" s="1256" t="s">
        <v>1169</v>
      </c>
      <c r="C5" s="1256"/>
      <c r="L5" s="322"/>
    </row>
    <row r="6" spans="1:12" ht="30.75" customHeight="1" x14ac:dyDescent="0.2">
      <c r="A6" s="322"/>
      <c r="B6" s="2499" t="s">
        <v>1308</v>
      </c>
      <c r="C6" s="2499"/>
      <c r="D6" s="2499"/>
      <c r="E6" s="2499"/>
      <c r="F6" s="2499"/>
      <c r="G6" s="2499"/>
      <c r="H6" s="2499"/>
      <c r="I6" s="2499"/>
      <c r="J6" s="2499"/>
      <c r="K6" s="2499"/>
      <c r="L6" s="322"/>
    </row>
    <row r="7" spans="1:12" ht="4.5" customHeight="1" x14ac:dyDescent="0.2">
      <c r="B7" s="1375"/>
      <c r="C7" s="1375"/>
      <c r="D7" s="1375"/>
      <c r="E7" s="1375"/>
      <c r="F7" s="1375"/>
      <c r="G7" s="1376"/>
      <c r="H7" s="1375"/>
      <c r="I7" s="1376"/>
      <c r="J7" s="1375"/>
      <c r="K7" s="1375"/>
      <c r="L7" s="322"/>
    </row>
    <row r="8" spans="1:12" ht="13.5" customHeight="1" x14ac:dyDescent="0.2">
      <c r="B8" s="1383" t="s">
        <v>1753</v>
      </c>
      <c r="C8" s="1450" t="s">
        <v>1987</v>
      </c>
      <c r="D8" s="1451">
        <v>2</v>
      </c>
      <c r="E8" s="322"/>
      <c r="F8" s="1380" t="s">
        <v>1295</v>
      </c>
      <c r="G8" s="1452"/>
      <c r="H8" s="1453" t="s">
        <v>1307</v>
      </c>
      <c r="I8" s="1452" t="s">
        <v>2117</v>
      </c>
      <c r="J8" s="1454" t="s">
        <v>1306</v>
      </c>
      <c r="L8" s="322"/>
    </row>
    <row r="9" spans="1:12" ht="13.5" customHeight="1" x14ac:dyDescent="0.2">
      <c r="D9" s="322"/>
      <c r="E9" s="322"/>
      <c r="F9" s="322"/>
      <c r="G9" s="1379"/>
      <c r="H9" s="322"/>
      <c r="I9" s="1455" t="s">
        <v>1292</v>
      </c>
      <c r="J9" s="322"/>
      <c r="K9" s="1456">
        <v>2008</v>
      </c>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81" t="s">
        <v>2132</v>
      </c>
      <c r="G12" s="2481"/>
      <c r="H12" s="2481"/>
      <c r="I12" s="2481"/>
      <c r="J12" s="2481"/>
      <c r="K12" s="2481"/>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94"/>
      <c r="E14" s="2494"/>
      <c r="F14" s="2494"/>
      <c r="H14" s="1458" t="s">
        <v>1303</v>
      </c>
      <c r="I14" s="2495"/>
      <c r="J14" s="2495"/>
      <c r="K14" s="2495"/>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95"/>
      <c r="E16" s="2495"/>
      <c r="F16" s="2495"/>
      <c r="G16" s="2495"/>
      <c r="H16" s="2495"/>
      <c r="I16" s="2495"/>
      <c r="J16" s="2495"/>
      <c r="K16" s="2495"/>
      <c r="L16" s="322"/>
    </row>
    <row r="17" spans="2:12" ht="13.5" customHeight="1" x14ac:dyDescent="0.2">
      <c r="B17" s="1383" t="s">
        <v>1301</v>
      </c>
      <c r="C17" s="1383"/>
      <c r="D17" s="2496"/>
      <c r="E17" s="2496"/>
      <c r="F17" s="2496"/>
      <c r="G17" s="2496"/>
      <c r="H17" s="2496"/>
      <c r="I17" s="2496"/>
      <c r="J17" s="2496"/>
      <c r="K17" s="2496"/>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89" t="s">
        <v>2144</v>
      </c>
      <c r="C20" s="2489"/>
      <c r="D20" s="2489"/>
      <c r="E20" s="2489"/>
      <c r="F20" s="2489"/>
      <c r="G20" s="2489"/>
      <c r="H20" s="2489"/>
      <c r="I20" s="2489"/>
      <c r="J20" s="2489"/>
      <c r="K20" s="2489"/>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1754</v>
      </c>
      <c r="C22" s="1460"/>
      <c r="D22" s="322"/>
      <c r="E22" s="322"/>
      <c r="F22" s="322"/>
      <c r="G22" s="1379"/>
      <c r="H22" s="322"/>
      <c r="I22" s="1379"/>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1755</v>
      </c>
      <c r="C25" s="1460"/>
      <c r="D25" s="322"/>
      <c r="E25" s="322"/>
      <c r="F25" s="322"/>
      <c r="G25" s="1379"/>
      <c r="H25" s="322"/>
      <c r="I25" s="1379"/>
      <c r="J25" s="322"/>
      <c r="K25" s="322"/>
      <c r="L25" s="322"/>
    </row>
    <row r="26" spans="2:12" ht="37.5" customHeight="1" x14ac:dyDescent="0.2">
      <c r="B26" s="2489" t="s">
        <v>2123</v>
      </c>
      <c r="C26" s="2489"/>
      <c r="D26" s="2489"/>
      <c r="E26" s="2489"/>
      <c r="F26" s="2489"/>
      <c r="G26" s="2489"/>
      <c r="H26" s="2489"/>
      <c r="I26" s="2489"/>
      <c r="J26" s="2489"/>
      <c r="K26" s="2489"/>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1756</v>
      </c>
      <c r="C28" s="1460"/>
      <c r="D28" s="322"/>
      <c r="E28" s="322"/>
      <c r="F28" s="322"/>
      <c r="G28" s="1379"/>
      <c r="H28" s="322"/>
      <c r="I28" s="1379"/>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1757</v>
      </c>
      <c r="C40" s="1399"/>
      <c r="D40" s="1374"/>
      <c r="E40" s="1375"/>
      <c r="F40" s="1375"/>
      <c r="G40" s="1376"/>
      <c r="H40" s="1375"/>
      <c r="I40" s="1376"/>
      <c r="J40" s="1375"/>
      <c r="K40" s="1375"/>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1758</v>
      </c>
      <c r="C44" s="1402"/>
      <c r="D44" s="322"/>
      <c r="E44" s="322"/>
      <c r="F44" s="322"/>
    </row>
    <row r="45" spans="2:12" ht="10.5" customHeight="1" x14ac:dyDescent="0.2">
      <c r="B45" s="1403" t="s">
        <v>1759</v>
      </c>
      <c r="C45" s="1403"/>
      <c r="G45" s="317"/>
      <c r="I45" s="317"/>
    </row>
    <row r="46" spans="2:12" ht="11.1" customHeight="1" x14ac:dyDescent="0.2">
      <c r="B46" s="1403" t="s">
        <v>1760</v>
      </c>
      <c r="C46" s="1403"/>
      <c r="G46" s="317"/>
      <c r="I46" s="317"/>
    </row>
    <row r="47" spans="2:12" ht="11.1" customHeight="1" x14ac:dyDescent="0.2">
      <c r="B47" s="1403" t="s">
        <v>1761</v>
      </c>
      <c r="C47" s="1403"/>
      <c r="G47" s="317"/>
      <c r="I47" s="317"/>
    </row>
    <row r="48" spans="2:12" ht="11.1" customHeight="1" x14ac:dyDescent="0.2">
      <c r="B48" s="1403" t="s">
        <v>1762</v>
      </c>
      <c r="C48" s="1403"/>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topLeftCell="A7" zoomScale="110" zoomScaleNormal="110" workbookViewId="0">
      <selection activeCell="P26" sqref="P26"/>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KIRBY SD 140</v>
      </c>
      <c r="C1" s="2497"/>
      <c r="D1" s="2497"/>
      <c r="E1" s="2497"/>
      <c r="F1" s="2497"/>
      <c r="G1" s="2497"/>
      <c r="H1" s="2497"/>
      <c r="I1" s="2497"/>
      <c r="J1" s="2497"/>
      <c r="K1" s="2497"/>
      <c r="L1" s="1448"/>
    </row>
    <row r="2" spans="1:12" ht="12.75" customHeight="1" x14ac:dyDescent="0.2">
      <c r="B2" s="2498">
        <f>'Single Audit Cover'!E7</f>
        <v>7016140002</v>
      </c>
      <c r="C2" s="2498"/>
      <c r="D2" s="2498"/>
      <c r="E2" s="2498"/>
      <c r="F2" s="2498"/>
      <c r="G2" s="2498"/>
      <c r="H2" s="2498"/>
      <c r="I2" s="2498"/>
      <c r="J2" s="2498"/>
      <c r="K2" s="2498"/>
      <c r="L2" s="1449"/>
    </row>
    <row r="3" spans="1:12" ht="12.75" customHeight="1" x14ac:dyDescent="0.2">
      <c r="B3" s="2490" t="s">
        <v>1285</v>
      </c>
      <c r="C3" s="2490"/>
      <c r="D3" s="2490"/>
      <c r="E3" s="2490"/>
      <c r="F3" s="2490"/>
      <c r="G3" s="2490"/>
      <c r="H3" s="2490"/>
      <c r="I3" s="2490"/>
      <c r="J3" s="2490"/>
      <c r="K3" s="2490"/>
      <c r="L3" s="1951"/>
    </row>
    <row r="4" spans="1:12" ht="12.75" customHeight="1" x14ac:dyDescent="0.2">
      <c r="B4" s="2490" t="str">
        <f>'Single Audit Cover'!A4</f>
        <v>Year Ending June 30, 2019</v>
      </c>
      <c r="C4" s="2490"/>
      <c r="D4" s="2490"/>
      <c r="E4" s="2490"/>
      <c r="F4" s="2490"/>
      <c r="G4" s="2490"/>
      <c r="H4" s="2490"/>
      <c r="I4" s="2490"/>
      <c r="J4" s="2490"/>
      <c r="K4" s="2490"/>
      <c r="L4" s="1951"/>
    </row>
    <row r="5" spans="1:12" ht="5.25" customHeight="1" x14ac:dyDescent="0.2">
      <c r="B5" s="1256" t="s">
        <v>1169</v>
      </c>
      <c r="C5" s="1256"/>
      <c r="L5" s="322"/>
    </row>
    <row r="6" spans="1:12" ht="30.75" customHeight="1" x14ac:dyDescent="0.2">
      <c r="A6" s="322"/>
      <c r="B6" s="2499" t="s">
        <v>1308</v>
      </c>
      <c r="C6" s="2499"/>
      <c r="D6" s="2499"/>
      <c r="E6" s="2499"/>
      <c r="F6" s="2499"/>
      <c r="G6" s="2499"/>
      <c r="H6" s="2499"/>
      <c r="I6" s="2499"/>
      <c r="J6" s="2499"/>
      <c r="K6" s="2499"/>
      <c r="L6" s="322"/>
    </row>
    <row r="7" spans="1:12" ht="4.5" customHeight="1" x14ac:dyDescent="0.2">
      <c r="B7" s="1375"/>
      <c r="C7" s="1375"/>
      <c r="D7" s="1375"/>
      <c r="E7" s="1375"/>
      <c r="F7" s="1375"/>
      <c r="G7" s="1376"/>
      <c r="H7" s="1375"/>
      <c r="I7" s="1376"/>
      <c r="J7" s="1375"/>
      <c r="K7" s="1375"/>
      <c r="L7" s="322"/>
    </row>
    <row r="8" spans="1:12" ht="13.5" customHeight="1" x14ac:dyDescent="0.2">
      <c r="B8" s="1383" t="s">
        <v>1753</v>
      </c>
      <c r="C8" s="1450" t="s">
        <v>1987</v>
      </c>
      <c r="D8" s="1451">
        <v>3</v>
      </c>
      <c r="E8" s="322"/>
      <c r="F8" s="1380" t="s">
        <v>1295</v>
      </c>
      <c r="G8" s="1452" t="s">
        <v>2117</v>
      </c>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81" t="s">
        <v>2132</v>
      </c>
      <c r="G12" s="2481"/>
      <c r="H12" s="2481"/>
      <c r="I12" s="2481"/>
      <c r="J12" s="2481"/>
      <c r="K12" s="2481"/>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94"/>
      <c r="E14" s="2494"/>
      <c r="F14" s="2494"/>
      <c r="H14" s="1458" t="s">
        <v>1303</v>
      </c>
      <c r="I14" s="2495"/>
      <c r="J14" s="2495"/>
      <c r="K14" s="2495"/>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95"/>
      <c r="E16" s="2495"/>
      <c r="F16" s="2495"/>
      <c r="G16" s="2495"/>
      <c r="H16" s="2495"/>
      <c r="I16" s="2495"/>
      <c r="J16" s="2495"/>
      <c r="K16" s="2495"/>
      <c r="L16" s="322"/>
    </row>
    <row r="17" spans="2:12" ht="13.5" customHeight="1" x14ac:dyDescent="0.2">
      <c r="B17" s="1383" t="s">
        <v>1301</v>
      </c>
      <c r="C17" s="1383"/>
      <c r="D17" s="2496"/>
      <c r="E17" s="2496"/>
      <c r="F17" s="2496"/>
      <c r="G17" s="2496"/>
      <c r="H17" s="2496"/>
      <c r="I17" s="2496"/>
      <c r="J17" s="2496"/>
      <c r="K17" s="2496"/>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43.5" customHeight="1" x14ac:dyDescent="0.2">
      <c r="B20" s="2489" t="s">
        <v>2169</v>
      </c>
      <c r="C20" s="2489"/>
      <c r="D20" s="2489"/>
      <c r="E20" s="2489"/>
      <c r="F20" s="2489"/>
      <c r="G20" s="2489"/>
      <c r="H20" s="2489"/>
      <c r="I20" s="2489"/>
      <c r="J20" s="2489"/>
      <c r="K20" s="2489"/>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1754</v>
      </c>
      <c r="C22" s="1460"/>
      <c r="D22" s="322"/>
      <c r="E22" s="322"/>
      <c r="F22" s="322"/>
      <c r="G22" s="1379"/>
      <c r="H22" s="322"/>
      <c r="I22" s="1379"/>
      <c r="J22" s="322"/>
      <c r="K22" s="322"/>
      <c r="L22" s="322"/>
    </row>
    <row r="23" spans="2:12" ht="37.5" customHeight="1" x14ac:dyDescent="0.2">
      <c r="B23" s="2489" t="s">
        <v>2167</v>
      </c>
      <c r="C23" s="2489"/>
      <c r="D23" s="2489"/>
      <c r="E23" s="2489"/>
      <c r="F23" s="2489"/>
      <c r="G23" s="2489"/>
      <c r="H23" s="2489"/>
      <c r="I23" s="2489"/>
      <c r="J23" s="2489"/>
      <c r="K23" s="2489"/>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1755</v>
      </c>
      <c r="C25" s="1460"/>
      <c r="D25" s="322"/>
      <c r="E25" s="322"/>
      <c r="F25" s="322"/>
      <c r="G25" s="1379"/>
      <c r="H25" s="322"/>
      <c r="I25" s="1379"/>
      <c r="J25" s="322"/>
      <c r="K25" s="322"/>
      <c r="L25" s="322"/>
    </row>
    <row r="26" spans="2:12" ht="27.75" customHeight="1" x14ac:dyDescent="0.2">
      <c r="B26" s="2489" t="s">
        <v>2123</v>
      </c>
      <c r="C26" s="2489"/>
      <c r="D26" s="2489"/>
      <c r="E26" s="2489"/>
      <c r="F26" s="2489"/>
      <c r="G26" s="2489"/>
      <c r="H26" s="2489"/>
      <c r="I26" s="2489"/>
      <c r="J26" s="2489"/>
      <c r="K26" s="2489"/>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1756</v>
      </c>
      <c r="C28" s="1460"/>
      <c r="D28" s="322"/>
      <c r="E28" s="322"/>
      <c r="F28" s="322"/>
      <c r="G28" s="1379"/>
      <c r="H28" s="322"/>
      <c r="I28" s="1379"/>
      <c r="J28" s="322"/>
      <c r="K28" s="322"/>
      <c r="L28" s="322"/>
    </row>
    <row r="29" spans="2:12" ht="37.5" customHeight="1" x14ac:dyDescent="0.2">
      <c r="B29" s="2489" t="s">
        <v>2166</v>
      </c>
      <c r="C29" s="2489"/>
      <c r="D29" s="2489"/>
      <c r="E29" s="2489"/>
      <c r="F29" s="2489"/>
      <c r="G29" s="2489"/>
      <c r="H29" s="2489"/>
      <c r="I29" s="2489"/>
      <c r="J29" s="2489"/>
      <c r="K29" s="2489"/>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89" t="s">
        <v>2164</v>
      </c>
      <c r="C32" s="2489"/>
      <c r="D32" s="2489"/>
      <c r="E32" s="2489"/>
      <c r="F32" s="2489"/>
      <c r="G32" s="2489"/>
      <c r="H32" s="2489"/>
      <c r="I32" s="2489"/>
      <c r="J32" s="2489"/>
      <c r="K32" s="2489"/>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89" t="s">
        <v>2171</v>
      </c>
      <c r="C35" s="2489"/>
      <c r="D35" s="2489"/>
      <c r="E35" s="2489"/>
      <c r="F35" s="2489"/>
      <c r="G35" s="2489"/>
      <c r="H35" s="2489"/>
      <c r="I35" s="2489"/>
      <c r="J35" s="2489"/>
      <c r="K35" s="2489"/>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89" t="s">
        <v>2168</v>
      </c>
      <c r="C38" s="2489"/>
      <c r="D38" s="2489"/>
      <c r="E38" s="2489"/>
      <c r="F38" s="2489"/>
      <c r="G38" s="2489"/>
      <c r="H38" s="2489"/>
      <c r="I38" s="2489"/>
      <c r="J38" s="2489"/>
      <c r="K38" s="2489"/>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1757</v>
      </c>
      <c r="C40" s="1399"/>
      <c r="D40" s="1374"/>
      <c r="E40" s="1375"/>
      <c r="F40" s="1375"/>
      <c r="G40" s="1376"/>
      <c r="H40" s="1375"/>
      <c r="I40" s="1376"/>
      <c r="J40" s="1375"/>
      <c r="K40" s="1375"/>
    </row>
    <row r="41" spans="2:12" s="322" customFormat="1" ht="33.75" customHeight="1" x14ac:dyDescent="0.2">
      <c r="B41" s="2489" t="s">
        <v>2165</v>
      </c>
      <c r="C41" s="2489"/>
      <c r="D41" s="2489"/>
      <c r="E41" s="2489"/>
      <c r="F41" s="2489"/>
      <c r="G41" s="2489"/>
      <c r="H41" s="2489"/>
      <c r="I41" s="2489"/>
      <c r="J41" s="2489"/>
      <c r="K41" s="2489"/>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1758</v>
      </c>
      <c r="C44" s="1402"/>
      <c r="D44" s="322"/>
      <c r="E44" s="322"/>
      <c r="F44" s="322"/>
    </row>
    <row r="45" spans="2:12" ht="10.5" customHeight="1" x14ac:dyDescent="0.2">
      <c r="B45" s="1403" t="s">
        <v>1759</v>
      </c>
      <c r="C45" s="1403"/>
      <c r="G45" s="317"/>
      <c r="I45" s="317"/>
    </row>
    <row r="46" spans="2:12" ht="11.1" customHeight="1" x14ac:dyDescent="0.2">
      <c r="B46" s="1403" t="s">
        <v>1760</v>
      </c>
      <c r="C46" s="1403"/>
      <c r="G46" s="317"/>
      <c r="I46" s="317"/>
    </row>
    <row r="47" spans="2:12" ht="11.1" customHeight="1" x14ac:dyDescent="0.2">
      <c r="B47" s="1403" t="s">
        <v>1761</v>
      </c>
      <c r="C47" s="1403"/>
      <c r="G47" s="317"/>
      <c r="I47" s="317"/>
    </row>
    <row r="48" spans="2:12" ht="11.1" customHeight="1" x14ac:dyDescent="0.2">
      <c r="B48" s="1403" t="s">
        <v>1762</v>
      </c>
      <c r="C48" s="1403"/>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F74"/>
  <sheetViews>
    <sheetView showGridLines="0" zoomScale="110" zoomScaleNormal="110" workbookViewId="0">
      <selection activeCell="E16" sqref="E16"/>
    </sheetView>
  </sheetViews>
  <sheetFormatPr defaultColWidth="9.140625" defaultRowHeight="12.75" x14ac:dyDescent="0.2"/>
  <cols>
    <col min="1" max="1" width="4.7109375" style="317" customWidth="1"/>
    <col min="2" max="2" width="12.140625" style="317" customWidth="1"/>
    <col min="3" max="3" width="57.5703125" style="317" customWidth="1"/>
    <col min="4" max="4" width="2.85546875" style="317" customWidth="1"/>
    <col min="5" max="5" width="18.7109375" style="317" customWidth="1"/>
    <col min="6" max="6" width="8.140625" style="317" customWidth="1"/>
    <col min="7" max="10" width="9.140625" style="317"/>
    <col min="11" max="11" width="6.7109375" style="317" customWidth="1"/>
    <col min="12" max="16384" width="9.140625" style="317"/>
  </cols>
  <sheetData>
    <row r="1" spans="2:6" s="1278" customFormat="1" ht="12.75" customHeight="1" x14ac:dyDescent="0.2">
      <c r="B1" s="2474" t="str">
        <f>'Single Audit Cover'!A7</f>
        <v>KIRBY SD 140</v>
      </c>
      <c r="C1" s="2474"/>
      <c r="D1" s="2474"/>
      <c r="E1" s="2474"/>
      <c r="F1" s="1468"/>
    </row>
    <row r="2" spans="2:6" s="1278" customFormat="1" ht="12.75" customHeight="1" x14ac:dyDescent="0.2">
      <c r="B2" s="2476">
        <f>'Single Audit Cover'!E7</f>
        <v>7016140002</v>
      </c>
      <c r="C2" s="2476"/>
      <c r="D2" s="2476"/>
      <c r="E2" s="2476"/>
      <c r="F2" s="1469"/>
    </row>
    <row r="3" spans="2:6" ht="12.75" customHeight="1" x14ac:dyDescent="0.2">
      <c r="B3" s="2490" t="s">
        <v>1763</v>
      </c>
      <c r="C3" s="2490"/>
      <c r="D3" s="2490"/>
      <c r="E3" s="2490"/>
      <c r="F3" s="1270"/>
    </row>
    <row r="4" spans="2:6" s="1278" customFormat="1" ht="12.75" customHeight="1" x14ac:dyDescent="0.2">
      <c r="B4" s="2500" t="str">
        <f>'Single Audit Cover'!A4</f>
        <v>Year Ending June 30, 2019</v>
      </c>
      <c r="C4" s="2500"/>
      <c r="D4" s="2500"/>
      <c r="E4" s="2500"/>
      <c r="F4" s="1470"/>
    </row>
    <row r="5" spans="2:6" s="1278" customFormat="1" ht="40.15" customHeight="1" x14ac:dyDescent="0.2">
      <c r="B5" s="1471"/>
      <c r="C5" s="328"/>
      <c r="D5" s="328"/>
      <c r="E5" s="328"/>
      <c r="F5" s="328"/>
    </row>
    <row r="6" spans="2:6" s="1278" customFormat="1" ht="13.5" customHeight="1" x14ac:dyDescent="0.2">
      <c r="B6" s="1472" t="s">
        <v>1315</v>
      </c>
      <c r="C6" s="1472" t="s">
        <v>1314</v>
      </c>
      <c r="D6" s="1472"/>
      <c r="E6" s="1472" t="s">
        <v>1764</v>
      </c>
    </row>
    <row r="7" spans="2:6" ht="13.5" customHeight="1" x14ac:dyDescent="0.2">
      <c r="B7" s="1473"/>
      <c r="C7" s="324"/>
      <c r="D7" s="324"/>
      <c r="E7" s="324"/>
      <c r="F7" s="324"/>
    </row>
    <row r="8" spans="2:6" ht="13.5" customHeight="1" x14ac:dyDescent="0.2">
      <c r="B8" s="1473" t="s">
        <v>2133</v>
      </c>
      <c r="C8" s="2488" t="s">
        <v>2170</v>
      </c>
      <c r="D8" s="324"/>
      <c r="E8" s="324" t="s">
        <v>2134</v>
      </c>
      <c r="F8" s="324"/>
    </row>
    <row r="9" spans="2:6" ht="12" customHeight="1" x14ac:dyDescent="0.2">
      <c r="B9" s="1474"/>
      <c r="C9" s="2488"/>
      <c r="D9" s="323"/>
      <c r="E9" s="323"/>
      <c r="F9" s="323"/>
    </row>
    <row r="10" spans="2:6" ht="12" customHeight="1" x14ac:dyDescent="0.2">
      <c r="B10" s="1474"/>
      <c r="C10" s="2488"/>
      <c r="D10" s="323"/>
      <c r="E10" s="323"/>
      <c r="F10" s="323"/>
    </row>
    <row r="11" spans="2:6" ht="12.75" customHeight="1" x14ac:dyDescent="0.2">
      <c r="B11" s="1473"/>
      <c r="C11" s="323"/>
      <c r="D11" s="323"/>
      <c r="E11" s="323"/>
      <c r="F11" s="323"/>
    </row>
    <row r="12" spans="2:6" ht="13.5" customHeight="1" x14ac:dyDescent="0.2">
      <c r="B12" s="1473" t="s">
        <v>2135</v>
      </c>
      <c r="C12" s="2488" t="s">
        <v>2170</v>
      </c>
      <c r="D12" s="323"/>
      <c r="E12" s="323" t="s">
        <v>2137</v>
      </c>
      <c r="F12" s="323"/>
    </row>
    <row r="13" spans="2:6" ht="13.5" customHeight="1" x14ac:dyDescent="0.2">
      <c r="B13" s="1473"/>
      <c r="C13" s="2488"/>
      <c r="D13" s="323"/>
      <c r="E13" s="323"/>
      <c r="F13" s="323"/>
    </row>
    <row r="14" spans="2:6" ht="13.5" customHeight="1" x14ac:dyDescent="0.2">
      <c r="B14" s="1473"/>
      <c r="C14" s="2488"/>
      <c r="D14" s="323"/>
      <c r="E14" s="323"/>
      <c r="F14" s="323"/>
    </row>
    <row r="15" spans="2:6" ht="13.5" customHeight="1" x14ac:dyDescent="0.2">
      <c r="B15" s="1473"/>
      <c r="C15" s="323"/>
      <c r="D15" s="323"/>
      <c r="E15" s="323"/>
      <c r="F15" s="323"/>
    </row>
    <row r="16" spans="2:6" ht="13.5" customHeight="1" x14ac:dyDescent="0.2">
      <c r="B16" s="1473"/>
      <c r="C16" s="323"/>
      <c r="D16" s="323"/>
      <c r="E16" s="323"/>
      <c r="F16" s="323"/>
    </row>
    <row r="17" spans="2:6" ht="13.5" customHeight="1" x14ac:dyDescent="0.2">
      <c r="B17" s="1473"/>
      <c r="C17" s="323"/>
      <c r="D17" s="323"/>
      <c r="E17" s="323"/>
      <c r="F17" s="323"/>
    </row>
    <row r="18" spans="2:6" ht="13.5" customHeight="1" x14ac:dyDescent="0.2">
      <c r="B18" s="1473"/>
      <c r="C18" s="323"/>
      <c r="D18" s="323"/>
      <c r="E18" s="323"/>
      <c r="F18" s="323"/>
    </row>
    <row r="19" spans="2:6" ht="13.5" customHeight="1" x14ac:dyDescent="0.2">
      <c r="B19" s="1473"/>
      <c r="C19" s="323"/>
      <c r="D19" s="323"/>
      <c r="E19" s="323"/>
      <c r="F19" s="323"/>
    </row>
    <row r="20" spans="2:6" ht="13.5" customHeight="1" x14ac:dyDescent="0.2">
      <c r="B20" s="1473"/>
      <c r="C20" s="323"/>
      <c r="D20" s="323"/>
      <c r="E20" s="323"/>
      <c r="F20" s="323"/>
    </row>
    <row r="21" spans="2:6" ht="13.5" customHeight="1" x14ac:dyDescent="0.2">
      <c r="B21" s="1473"/>
      <c r="C21" s="323"/>
      <c r="D21" s="323"/>
      <c r="E21" s="323"/>
      <c r="F21" s="323"/>
    </row>
    <row r="22" spans="2:6" ht="13.5" customHeight="1" x14ac:dyDescent="0.2">
      <c r="B22" s="1473"/>
      <c r="C22" s="323"/>
      <c r="D22" s="323"/>
      <c r="E22" s="323"/>
      <c r="F22" s="323"/>
    </row>
    <row r="23" spans="2:6" ht="13.5" customHeight="1" x14ac:dyDescent="0.2">
      <c r="B23" s="1473"/>
      <c r="C23" s="323"/>
      <c r="D23" s="323"/>
      <c r="E23" s="323"/>
      <c r="F23" s="323"/>
    </row>
    <row r="24" spans="2:6" ht="13.5" customHeight="1" x14ac:dyDescent="0.2">
      <c r="B24" s="1473"/>
      <c r="C24" s="323"/>
      <c r="D24" s="323"/>
      <c r="E24" s="323"/>
      <c r="F24" s="323"/>
    </row>
    <row r="25" spans="2:6" ht="13.5" customHeight="1" x14ac:dyDescent="0.2">
      <c r="B25" s="1473"/>
      <c r="C25" s="323"/>
      <c r="D25" s="323"/>
      <c r="E25" s="323"/>
      <c r="F25" s="323"/>
    </row>
    <row r="26" spans="2:6" ht="13.5" customHeight="1" x14ac:dyDescent="0.2">
      <c r="B26" s="1473"/>
      <c r="C26" s="323"/>
      <c r="D26" s="323"/>
      <c r="E26" s="323"/>
      <c r="F26" s="323"/>
    </row>
    <row r="27" spans="2:6" ht="13.5" customHeight="1" x14ac:dyDescent="0.2">
      <c r="B27" s="1473"/>
      <c r="C27" s="323"/>
      <c r="D27" s="323"/>
      <c r="E27" s="323"/>
      <c r="F27" s="323"/>
    </row>
    <row r="28" spans="2:6" ht="13.5" customHeight="1" x14ac:dyDescent="0.2">
      <c r="B28" s="1473"/>
      <c r="C28" s="323"/>
      <c r="D28" s="323"/>
      <c r="E28" s="323"/>
      <c r="F28" s="323"/>
    </row>
    <row r="29" spans="2:6" ht="13.5" customHeight="1" x14ac:dyDescent="0.2">
      <c r="B29" s="1473"/>
      <c r="C29" s="323"/>
      <c r="D29" s="323"/>
      <c r="E29" s="323"/>
      <c r="F29" s="323"/>
    </row>
    <row r="30" spans="2:6" ht="13.5" customHeight="1" x14ac:dyDescent="0.2">
      <c r="B30" s="1473"/>
      <c r="C30" s="323"/>
      <c r="D30" s="323"/>
      <c r="E30" s="323"/>
      <c r="F30" s="323"/>
    </row>
    <row r="31" spans="2:6" ht="13.5" customHeight="1" x14ac:dyDescent="0.2">
      <c r="B31" s="1473"/>
      <c r="C31" s="323"/>
      <c r="D31" s="323"/>
      <c r="E31" s="323"/>
      <c r="F31" s="323"/>
    </row>
    <row r="32" spans="2:6" ht="13.5" customHeight="1" x14ac:dyDescent="0.2">
      <c r="B32" s="1473"/>
      <c r="C32" s="323"/>
      <c r="D32" s="323"/>
      <c r="E32" s="323"/>
      <c r="F32" s="323"/>
    </row>
    <row r="33" spans="2:6" ht="13.5" customHeight="1" x14ac:dyDescent="0.2">
      <c r="B33" s="1475"/>
      <c r="C33" s="323"/>
      <c r="D33" s="323"/>
      <c r="E33" s="323"/>
      <c r="F33" s="323"/>
    </row>
    <row r="34" spans="2:6" ht="13.5" customHeight="1" x14ac:dyDescent="0.2">
      <c r="B34" s="1476"/>
      <c r="C34" s="323"/>
      <c r="D34" s="323"/>
      <c r="E34" s="323"/>
      <c r="F34" s="323"/>
    </row>
    <row r="35" spans="2:6" ht="13.5" customHeight="1" x14ac:dyDescent="0.2">
      <c r="B35" s="1477"/>
      <c r="C35" s="323"/>
      <c r="D35" s="323"/>
      <c r="E35" s="323"/>
      <c r="F35" s="323"/>
    </row>
    <row r="36" spans="2:6" ht="13.5" customHeight="1" x14ac:dyDescent="0.2">
      <c r="B36" s="1476"/>
      <c r="C36" s="323"/>
      <c r="D36" s="323"/>
      <c r="E36" s="323"/>
      <c r="F36" s="323"/>
    </row>
    <row r="37" spans="2:6" ht="13.5" customHeight="1" x14ac:dyDescent="0.2">
      <c r="B37" s="1477"/>
      <c r="C37" s="323"/>
      <c r="D37" s="323"/>
      <c r="E37" s="323"/>
      <c r="F37" s="323"/>
    </row>
    <row r="38" spans="2:6" ht="13.5" customHeight="1" x14ac:dyDescent="0.2">
      <c r="B38" s="1477"/>
      <c r="C38" s="323"/>
      <c r="D38" s="323"/>
      <c r="E38" s="323"/>
      <c r="F38" s="323"/>
    </row>
    <row r="39" spans="2:6" ht="13.5" customHeight="1" x14ac:dyDescent="0.2">
      <c r="B39" s="1476"/>
      <c r="C39" s="323"/>
      <c r="D39" s="323"/>
      <c r="E39" s="323"/>
      <c r="F39" s="323"/>
    </row>
    <row r="40" spans="2:6" ht="13.5" customHeight="1" x14ac:dyDescent="0.2">
      <c r="B40" s="1477"/>
      <c r="C40" s="323"/>
      <c r="D40" s="323"/>
      <c r="E40" s="323"/>
      <c r="F40" s="323"/>
    </row>
    <row r="41" spans="2:6" ht="13.5" customHeight="1" x14ac:dyDescent="0.2">
      <c r="B41" s="1476"/>
      <c r="C41" s="323"/>
      <c r="D41" s="323"/>
      <c r="E41" s="323"/>
      <c r="F41" s="323"/>
    </row>
    <row r="42" spans="2:6" ht="13.5" customHeight="1" x14ac:dyDescent="0.2">
      <c r="B42" s="1478"/>
      <c r="C42" s="323"/>
      <c r="D42" s="323"/>
      <c r="E42" s="323"/>
      <c r="F42" s="323"/>
    </row>
    <row r="43" spans="2:6" ht="13.5" customHeight="1" x14ac:dyDescent="0.2">
      <c r="B43" s="1479"/>
      <c r="C43" s="323"/>
      <c r="D43" s="323"/>
      <c r="E43" s="323"/>
      <c r="F43" s="323"/>
    </row>
    <row r="44" spans="2:6" ht="12.75" customHeight="1" x14ac:dyDescent="0.2">
      <c r="B44" s="1480"/>
      <c r="C44" s="1481"/>
      <c r="D44" s="1481"/>
      <c r="E44" s="1481"/>
      <c r="F44" s="323"/>
    </row>
    <row r="45" spans="2:6" ht="12.2" customHeight="1" x14ac:dyDescent="0.2">
      <c r="B45" s="1253" t="s">
        <v>1313</v>
      </c>
      <c r="C45" s="322"/>
      <c r="D45" s="322"/>
    </row>
    <row r="46" spans="2:6" ht="12.2" customHeight="1" x14ac:dyDescent="0.2">
      <c r="B46" s="1482" t="s">
        <v>1765</v>
      </c>
    </row>
    <row r="47" spans="2:6" ht="12.2" customHeight="1" x14ac:dyDescent="0.2">
      <c r="B47" s="1482" t="s">
        <v>1766</v>
      </c>
    </row>
    <row r="48" spans="2:6" ht="12.2" customHeight="1" x14ac:dyDescent="0.2">
      <c r="B48" s="1483" t="s">
        <v>1312</v>
      </c>
    </row>
    <row r="49" spans="2:6" ht="12.2" customHeight="1" x14ac:dyDescent="0.2">
      <c r="B49" s="1483" t="s">
        <v>1311</v>
      </c>
    </row>
    <row r="50" spans="2:6" ht="12.2" customHeight="1" x14ac:dyDescent="0.2">
      <c r="B50" s="1483" t="s">
        <v>1310</v>
      </c>
    </row>
    <row r="51" spans="2:6" ht="12.2" customHeight="1" x14ac:dyDescent="0.2">
      <c r="B51" s="1483" t="s">
        <v>1309</v>
      </c>
    </row>
    <row r="54" spans="2:6" ht="12.75" customHeight="1" x14ac:dyDescent="0.2"/>
    <row r="55" spans="2:6" ht="12.75" customHeight="1" x14ac:dyDescent="0.2">
      <c r="B55" s="1263"/>
    </row>
    <row r="56" spans="2:6" ht="12.75" customHeight="1" x14ac:dyDescent="0.2"/>
    <row r="57" spans="2:6" ht="12.75" customHeight="1" x14ac:dyDescent="0.2">
      <c r="B57" s="322"/>
      <c r="C57" s="322"/>
      <c r="D57" s="322"/>
      <c r="E57" s="322"/>
      <c r="F57" s="322"/>
    </row>
    <row r="58" spans="2:6" ht="12.75" customHeight="1" x14ac:dyDescent="0.2">
      <c r="B58" s="322"/>
      <c r="C58" s="322"/>
      <c r="D58" s="322"/>
      <c r="E58" s="322"/>
      <c r="F58" s="322"/>
    </row>
    <row r="59" spans="2:6" ht="12.75" customHeight="1" x14ac:dyDescent="0.2">
      <c r="B59" s="322"/>
      <c r="C59" s="322"/>
      <c r="D59" s="322"/>
      <c r="E59" s="322"/>
      <c r="F59" s="322"/>
    </row>
    <row r="60" spans="2:6" ht="12.75" customHeight="1" x14ac:dyDescent="0.2">
      <c r="B60" s="322"/>
      <c r="C60" s="322"/>
      <c r="D60" s="322"/>
      <c r="E60" s="322"/>
      <c r="F60" s="322"/>
    </row>
    <row r="61" spans="2:6" ht="12.75" customHeight="1" x14ac:dyDescent="0.2">
      <c r="B61" s="322"/>
      <c r="C61" s="322"/>
      <c r="D61" s="322"/>
      <c r="E61" s="322"/>
      <c r="F61" s="322"/>
    </row>
    <row r="62" spans="2:6" ht="12.75" customHeight="1" x14ac:dyDescent="0.2">
      <c r="B62" s="322"/>
      <c r="C62" s="322"/>
      <c r="D62" s="322"/>
      <c r="E62" s="322"/>
      <c r="F62" s="322"/>
    </row>
    <row r="63" spans="2:6" ht="12.75" customHeight="1" x14ac:dyDescent="0.2">
      <c r="B63" s="322"/>
      <c r="C63" s="322"/>
      <c r="D63" s="322"/>
      <c r="E63" s="322"/>
      <c r="F63" s="322"/>
    </row>
    <row r="64" spans="2:6" ht="12.75" customHeight="1" x14ac:dyDescent="0.2">
      <c r="B64" s="322"/>
      <c r="C64" s="322"/>
      <c r="D64" s="322"/>
      <c r="E64" s="322"/>
      <c r="F64" s="322"/>
    </row>
    <row r="68" spans="2:2" x14ac:dyDescent="0.2">
      <c r="B68" s="1402"/>
    </row>
    <row r="69" spans="2:2" x14ac:dyDescent="0.2">
      <c r="B69" s="1296"/>
    </row>
    <row r="70" spans="2:2" x14ac:dyDescent="0.2">
      <c r="B70" s="1296"/>
    </row>
    <row r="71" spans="2:2" x14ac:dyDescent="0.2">
      <c r="B71" s="1403"/>
    </row>
    <row r="72" spans="2:2" x14ac:dyDescent="0.2">
      <c r="B72" s="1403"/>
    </row>
    <row r="73" spans="2:2" x14ac:dyDescent="0.2">
      <c r="B73" s="1403"/>
    </row>
    <row r="74" spans="2:2" x14ac:dyDescent="0.2">
      <c r="B74" s="1296"/>
    </row>
  </sheetData>
  <mergeCells count="6">
    <mergeCell ref="C12:C14"/>
    <mergeCell ref="B1:E1"/>
    <mergeCell ref="B2:E2"/>
    <mergeCell ref="B3:E3"/>
    <mergeCell ref="B4:E4"/>
    <mergeCell ref="C8:C10"/>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colorId="8" zoomScale="110" zoomScaleNormal="110" workbookViewId="0">
      <selection activeCell="H16" sqref="H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386</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864447957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3.9834000000000001E-2</v>
      </c>
      <c r="E10" s="356" t="s">
        <v>1005</v>
      </c>
      <c r="F10" s="355">
        <v>4.816E-3</v>
      </c>
      <c r="G10" s="356" t="s">
        <v>1005</v>
      </c>
      <c r="H10" s="355">
        <v>1.766E-3</v>
      </c>
      <c r="I10" s="356" t="s">
        <v>1006</v>
      </c>
      <c r="J10" s="1731">
        <f>ROUND(D10+F10+H10,5)</f>
        <v>4.6420000000000003E-2</v>
      </c>
      <c r="K10" s="222"/>
      <c r="L10" s="355">
        <v>3.3199999999999999E-4</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49203766</v>
      </c>
      <c r="E16" s="356"/>
      <c r="F16" s="1732">
        <f>SUM('Acct Summary 7-8'!C17,'Acct Summary 7-8'!D17,'Acct Summary 7-8'!F17)</f>
        <v>46718575</v>
      </c>
      <c r="G16" s="356"/>
      <c r="H16" s="1732">
        <f>SUM(D16-F16)</f>
        <v>2485191</v>
      </c>
      <c r="I16" s="222"/>
      <c r="J16" s="1732">
        <f>SUM('Acct Summary 7-8'!C81,'Acct Summary 7-8'!D81,'Acct Summary 7-8'!F81,'Acct Summary 7-8'!I81)</f>
        <v>46689535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2117</v>
      </c>
      <c r="C31" s="367" t="s">
        <v>586</v>
      </c>
      <c r="D31" s="237" t="s">
        <v>1072</v>
      </c>
      <c r="E31" s="222"/>
      <c r="F31" s="222"/>
      <c r="G31" s="363"/>
      <c r="H31" s="1734">
        <f>IF(B31="X",(J7*0.069),IF(B32="X",(J7*0.138),"Enter x in a.or b."))</f>
        <v>59646909.033000007</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8"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32" sqref="C3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556</v>
      </c>
      <c r="B2" s="2117"/>
      <c r="C2" s="2117"/>
      <c r="D2" s="2117"/>
      <c r="E2" s="2117"/>
      <c r="F2" s="2117"/>
      <c r="G2" s="2117"/>
      <c r="H2" s="2117"/>
      <c r="I2" s="2117"/>
      <c r="J2" s="2117"/>
      <c r="K2" s="2117"/>
      <c r="L2" s="2117"/>
      <c r="M2" s="2117"/>
      <c r="N2" s="2117"/>
      <c r="O2" s="2117"/>
      <c r="P2" s="2117"/>
      <c r="Q2" s="2117"/>
      <c r="R2" s="2117"/>
    </row>
    <row r="3" spans="1:18" ht="12.75" x14ac:dyDescent="0.2">
      <c r="A3" s="2118" t="s">
        <v>1413</v>
      </c>
      <c r="B3" s="2118"/>
      <c r="C3" s="2118"/>
      <c r="D3" s="2118"/>
      <c r="E3" s="2118"/>
      <c r="F3" s="2118"/>
      <c r="G3" s="2118"/>
      <c r="H3" s="2118"/>
      <c r="I3" s="2118"/>
      <c r="J3" s="2118"/>
      <c r="K3" s="2118"/>
      <c r="L3" s="2118"/>
      <c r="M3" s="2118"/>
      <c r="N3" s="2118"/>
      <c r="O3" s="2118"/>
      <c r="P3" s="2118"/>
      <c r="Q3" s="2118"/>
      <c r="R3" s="2118"/>
    </row>
    <row r="4" spans="1:18" x14ac:dyDescent="0.2">
      <c r="A4" s="2119" t="s">
        <v>1554</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KIRBY SD 140</v>
      </c>
      <c r="E7" s="391"/>
      <c r="G7" s="252"/>
      <c r="H7" s="387"/>
      <c r="I7" s="387"/>
      <c r="J7" s="387"/>
      <c r="K7" s="387"/>
      <c r="L7" s="329"/>
      <c r="M7" s="329"/>
      <c r="N7" s="329"/>
      <c r="O7" s="329"/>
      <c r="P7" s="329"/>
    </row>
    <row r="8" spans="1:18" ht="12.75" x14ac:dyDescent="0.2">
      <c r="A8" s="329"/>
      <c r="B8" s="329"/>
      <c r="C8" s="389" t="s">
        <v>1125</v>
      </c>
      <c r="D8" s="392">
        <f>COVER!A13</f>
        <v>7016140002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46689535</v>
      </c>
      <c r="I12" s="404"/>
      <c r="J12" s="404"/>
      <c r="K12" s="405">
        <f>TRUNC((H12/H13*100000),5)/100000</f>
        <v>0.94890165519999992</v>
      </c>
      <c r="L12" s="406"/>
      <c r="M12" s="360" t="s">
        <v>1144</v>
      </c>
      <c r="N12" s="360"/>
      <c r="O12" s="407">
        <v>0.35</v>
      </c>
      <c r="P12" s="218"/>
      <c r="Q12" s="218"/>
    </row>
    <row r="13" spans="1:18" s="408" customFormat="1" ht="12.75" x14ac:dyDescent="0.2">
      <c r="A13" s="218"/>
      <c r="B13" s="401"/>
      <c r="C13" s="2115" t="s">
        <v>1324</v>
      </c>
      <c r="D13" s="2116"/>
      <c r="E13" s="218"/>
      <c r="F13" s="409" t="s">
        <v>793</v>
      </c>
      <c r="G13" s="402"/>
      <c r="H13" s="403">
        <f>SUM('Acct Summary 7-8'!C8+'Acct Summary 7-8'!D8+'Acct Summary 7-8'!F8+'Acct Summary 7-8'!I8)+H14</f>
        <v>49203766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46718575</v>
      </c>
      <c r="I17" s="404"/>
      <c r="J17" s="416"/>
      <c r="K17" s="405">
        <f>TRUNC((H17/H18*100000),5)/100000</f>
        <v>0.94949185390000002</v>
      </c>
      <c r="L17" s="406"/>
      <c r="M17" s="417" t="s">
        <v>1171</v>
      </c>
      <c r="O17" s="418" t="str">
        <f>IF(AND(O16="2", J20 &gt; 2),"1",IF(AND(O16 = "1", J20 &gt; 2),"2",IF(AND(O16="1", J20 &gt;1),"1","0")))</f>
        <v>0</v>
      </c>
      <c r="P17" s="218"/>
    </row>
    <row r="18" spans="1:18" s="408" customFormat="1" ht="11.25" x14ac:dyDescent="0.2">
      <c r="A18" s="218"/>
      <c r="B18" s="401"/>
      <c r="C18" s="2115" t="s">
        <v>1317</v>
      </c>
      <c r="D18" s="2116"/>
      <c r="E18" s="218"/>
      <c r="F18" s="419" t="s">
        <v>794</v>
      </c>
      <c r="G18" s="402"/>
      <c r="H18" s="403">
        <f>SUM('Acct Summary 7-8'!C8+'Acct Summary 7-8'!D8+'Acct Summary 7-8'!F8+'Acct Summary 7-8'!I8)+H19</f>
        <v>49203766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2" t="s">
        <v>1412</v>
      </c>
      <c r="D24" s="2112"/>
      <c r="E24" s="218"/>
      <c r="F24" s="218" t="s">
        <v>445</v>
      </c>
      <c r="G24" s="402"/>
      <c r="H24" s="403">
        <f>SUM('Assets-Liab 5-6'!C4+'Assets-Liab 5-6'!D4+'Assets-Liab 5-6'!F4+'Assets-Liab 5-6'!I4+'Assets-Liab 5-6'!C5+'Assets-Liab 5-6'!D5+'Assets-Liab 5-6'!F5+'Assets-Liab 5-6'!I5)</f>
        <v>50882316</v>
      </c>
      <c r="I24" s="422"/>
      <c r="J24" s="422"/>
      <c r="K24" s="423">
        <f>TRUNC(((H24/H25*100000)/100000),2)</f>
        <v>392.08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129773.81944000001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34108523.039350003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59646909.033000007</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6" activePane="bottomLeft" state="frozen"/>
      <selection pane="bottomLeft" activeCell="G30" sqref="G3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2" t="s">
        <v>973</v>
      </c>
      <c r="B3" s="2123"/>
      <c r="C3" s="1558"/>
      <c r="D3" s="1559"/>
      <c r="E3" s="1559"/>
      <c r="F3" s="1559"/>
      <c r="G3" s="1559"/>
      <c r="H3" s="1559"/>
      <c r="I3" s="1559"/>
      <c r="J3" s="1559"/>
      <c r="K3" s="1559"/>
      <c r="L3" s="1559"/>
      <c r="M3" s="1560"/>
      <c r="N3" s="1561"/>
    </row>
    <row r="4" spans="1:14" ht="13.5" customHeight="1" x14ac:dyDescent="0.2">
      <c r="A4" s="463" t="s">
        <v>1651</v>
      </c>
      <c r="B4" s="464"/>
      <c r="C4" s="465">
        <v>42235701</v>
      </c>
      <c r="D4" s="466">
        <v>4198576</v>
      </c>
      <c r="E4" s="466"/>
      <c r="F4" s="466">
        <v>429994</v>
      </c>
      <c r="G4" s="466">
        <v>2750672</v>
      </c>
      <c r="H4" s="466"/>
      <c r="I4" s="466">
        <v>4018045</v>
      </c>
      <c r="J4" s="467"/>
      <c r="K4" s="466"/>
      <c r="L4" s="466">
        <v>166586</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v>15859262</v>
      </c>
      <c r="D6" s="466">
        <v>1903127</v>
      </c>
      <c r="E6" s="466"/>
      <c r="F6" s="466">
        <v>697866</v>
      </c>
      <c r="G6" s="471">
        <v>122107</v>
      </c>
      <c r="H6" s="471"/>
      <c r="I6" s="466">
        <v>131196</v>
      </c>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613688</v>
      </c>
      <c r="D8" s="467"/>
      <c r="E8" s="467"/>
      <c r="F8" s="467">
        <v>0</v>
      </c>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260627</v>
      </c>
      <c r="D11" s="467"/>
      <c r="E11" s="467"/>
      <c r="F11" s="467">
        <v>254226</v>
      </c>
      <c r="G11" s="467"/>
      <c r="H11" s="467"/>
      <c r="I11" s="478"/>
      <c r="J11" s="478"/>
      <c r="K11" s="467"/>
      <c r="L11" s="467"/>
      <c r="M11" s="469"/>
      <c r="N11" s="469"/>
    </row>
    <row r="12" spans="1:14" ht="13.5" customHeight="1" x14ac:dyDescent="0.2">
      <c r="A12" s="473" t="s">
        <v>419</v>
      </c>
      <c r="B12" s="470">
        <v>190</v>
      </c>
      <c r="C12" s="465">
        <v>569114</v>
      </c>
      <c r="D12" s="466"/>
      <c r="E12" s="466"/>
      <c r="F12" s="466"/>
      <c r="G12" s="466"/>
      <c r="H12" s="466"/>
      <c r="I12" s="466"/>
      <c r="J12" s="467"/>
      <c r="K12" s="466"/>
      <c r="L12" s="466"/>
      <c r="M12" s="469"/>
      <c r="N12" s="469"/>
    </row>
    <row r="13" spans="1:14" ht="13.5" customHeight="1" thickBot="1" x14ac:dyDescent="0.25">
      <c r="A13" s="1735" t="s">
        <v>644</v>
      </c>
      <c r="B13" s="1708"/>
      <c r="C13" s="1736">
        <f>SUM(C4:C12)</f>
        <v>59538392</v>
      </c>
      <c r="D13" s="1736">
        <f t="shared" ref="D13:L13" si="0">SUM(D4:D12)</f>
        <v>6101703</v>
      </c>
      <c r="E13" s="1736">
        <f t="shared" si="0"/>
        <v>0</v>
      </c>
      <c r="F13" s="1736">
        <f t="shared" si="0"/>
        <v>1382086</v>
      </c>
      <c r="G13" s="1736">
        <f t="shared" si="0"/>
        <v>2872779</v>
      </c>
      <c r="H13" s="1736">
        <f t="shared" si="0"/>
        <v>0</v>
      </c>
      <c r="I13" s="1736">
        <f t="shared" si="0"/>
        <v>4149241</v>
      </c>
      <c r="J13" s="1736">
        <f t="shared" si="0"/>
        <v>0</v>
      </c>
      <c r="K13" s="1736">
        <f t="shared" si="0"/>
        <v>0</v>
      </c>
      <c r="L13" s="1736">
        <f t="shared" si="0"/>
        <v>166586</v>
      </c>
      <c r="M13" s="468"/>
      <c r="N13" s="469"/>
    </row>
    <row r="14" spans="1:14" ht="18" customHeight="1" thickTop="1" x14ac:dyDescent="0.2">
      <c r="A14" s="2124" t="s">
        <v>147</v>
      </c>
      <c r="B14" s="2125"/>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1096591</v>
      </c>
      <c r="N16" s="484"/>
    </row>
    <row r="17" spans="1:14" s="485" customFormat="1" ht="12.75" customHeight="1" x14ac:dyDescent="0.2">
      <c r="A17" s="482" t="s">
        <v>1403</v>
      </c>
      <c r="B17" s="483">
        <v>230</v>
      </c>
      <c r="C17" s="477"/>
      <c r="D17" s="477"/>
      <c r="E17" s="477"/>
      <c r="F17" s="477"/>
      <c r="G17" s="477"/>
      <c r="H17" s="477"/>
      <c r="I17" s="477"/>
      <c r="J17" s="477"/>
      <c r="K17" s="477"/>
      <c r="L17" s="477"/>
      <c r="M17" s="467">
        <v>52728915</v>
      </c>
      <c r="N17" s="484"/>
    </row>
    <row r="18" spans="1:14" s="485" customFormat="1" ht="12.75" customHeight="1" x14ac:dyDescent="0.2">
      <c r="A18" s="482" t="s">
        <v>1404</v>
      </c>
      <c r="B18" s="483">
        <v>240</v>
      </c>
      <c r="C18" s="477"/>
      <c r="D18" s="477"/>
      <c r="E18" s="477"/>
      <c r="F18" s="477"/>
      <c r="G18" s="477"/>
      <c r="H18" s="477"/>
      <c r="I18" s="477"/>
      <c r="J18" s="477"/>
      <c r="K18" s="477"/>
      <c r="L18" s="477"/>
      <c r="M18" s="467">
        <v>31909265</v>
      </c>
      <c r="N18" s="484"/>
    </row>
    <row r="19" spans="1:14" s="485" customFormat="1" ht="12.75" customHeight="1" x14ac:dyDescent="0.2">
      <c r="A19" s="482" t="s">
        <v>1405</v>
      </c>
      <c r="B19" s="483">
        <v>250</v>
      </c>
      <c r="C19" s="477"/>
      <c r="D19" s="477"/>
      <c r="E19" s="477"/>
      <c r="F19" s="477"/>
      <c r="G19" s="477"/>
      <c r="H19" s="477"/>
      <c r="I19" s="477"/>
      <c r="J19" s="477"/>
      <c r="K19" s="477"/>
      <c r="L19" s="477"/>
      <c r="M19" s="467">
        <v>28951583</v>
      </c>
      <c r="N19" s="484"/>
    </row>
    <row r="20" spans="1:14" s="485" customFormat="1" ht="12.75" customHeight="1" x14ac:dyDescent="0.2">
      <c r="A20" s="482" t="s">
        <v>1406</v>
      </c>
      <c r="B20" s="483">
        <v>260</v>
      </c>
      <c r="C20" s="477"/>
      <c r="D20" s="477"/>
      <c r="E20" s="477"/>
      <c r="F20" s="477"/>
      <c r="G20" s="477"/>
      <c r="H20" s="477"/>
      <c r="I20" s="477"/>
      <c r="J20" s="477"/>
      <c r="K20" s="477"/>
      <c r="L20" s="477"/>
      <c r="M20" s="467">
        <v>2351627</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5" t="s">
        <v>643</v>
      </c>
      <c r="B23" s="1740"/>
      <c r="C23" s="468"/>
      <c r="D23" s="468"/>
      <c r="E23" s="468"/>
      <c r="F23" s="468"/>
      <c r="G23" s="468"/>
      <c r="H23" s="468"/>
      <c r="I23" s="468"/>
      <c r="J23" s="468"/>
      <c r="K23" s="468"/>
      <c r="L23" s="468"/>
      <c r="M23" s="1687">
        <f>SUM(M15:M22)</f>
        <v>117037981</v>
      </c>
      <c r="N23" s="1687">
        <f>SUM(N21:N22)</f>
        <v>0</v>
      </c>
    </row>
    <row r="24" spans="1:14" ht="18" customHeight="1" thickTop="1" x14ac:dyDescent="0.2">
      <c r="A24" s="2126" t="s">
        <v>598</v>
      </c>
      <c r="B24" s="2127"/>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f>310933</f>
        <v>310933</v>
      </c>
      <c r="D27" s="467">
        <v>829744</v>
      </c>
      <c r="E27" s="467"/>
      <c r="F27" s="467">
        <v>26010</v>
      </c>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3580945</v>
      </c>
      <c r="D30" s="474"/>
      <c r="E30" s="467"/>
      <c r="F30" s="467">
        <v>9460</v>
      </c>
      <c r="G30" s="467">
        <v>132983</v>
      </c>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16826052</v>
      </c>
      <c r="D32" s="492">
        <v>2019143</v>
      </c>
      <c r="E32" s="474"/>
      <c r="F32" s="474">
        <v>740407</v>
      </c>
      <c r="G32" s="474">
        <v>129550</v>
      </c>
      <c r="H32" s="474"/>
      <c r="I32" s="474">
        <v>139193</v>
      </c>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166586</v>
      </c>
      <c r="M33" s="468"/>
      <c r="N33" s="469"/>
    </row>
    <row r="34" spans="1:14" ht="13.5" customHeight="1" thickBot="1" x14ac:dyDescent="0.25">
      <c r="A34" s="1737" t="s">
        <v>654</v>
      </c>
      <c r="B34" s="1738"/>
      <c r="C34" s="1739">
        <f>SUM(C25:C33)</f>
        <v>20717930</v>
      </c>
      <c r="D34" s="1739">
        <f t="shared" ref="D34:K34" si="1">SUM(D25:D33)</f>
        <v>2848887</v>
      </c>
      <c r="E34" s="1739">
        <f t="shared" si="1"/>
        <v>0</v>
      </c>
      <c r="F34" s="1739">
        <f t="shared" si="1"/>
        <v>775877</v>
      </c>
      <c r="G34" s="1739">
        <f t="shared" si="1"/>
        <v>262533</v>
      </c>
      <c r="H34" s="1739">
        <f t="shared" si="1"/>
        <v>0</v>
      </c>
      <c r="I34" s="1739">
        <f t="shared" si="1"/>
        <v>139193</v>
      </c>
      <c r="J34" s="1739">
        <f t="shared" si="1"/>
        <v>0</v>
      </c>
      <c r="K34" s="1739">
        <f t="shared" si="1"/>
        <v>0</v>
      </c>
      <c r="L34" s="1720">
        <f>SUM(L33)</f>
        <v>166586</v>
      </c>
      <c r="M34" s="468"/>
      <c r="N34" s="480"/>
    </row>
    <row r="35" spans="1:14" ht="18" customHeight="1" thickTop="1" x14ac:dyDescent="0.2">
      <c r="A35" s="2128" t="s">
        <v>529</v>
      </c>
      <c r="B35" s="2129"/>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5" t="s">
        <v>653</v>
      </c>
      <c r="B37" s="1740"/>
      <c r="C37" s="477"/>
      <c r="D37" s="477"/>
      <c r="E37" s="477"/>
      <c r="F37" s="477"/>
      <c r="G37" s="477"/>
      <c r="H37" s="477"/>
      <c r="I37" s="477"/>
      <c r="J37" s="477"/>
      <c r="K37" s="477"/>
      <c r="L37" s="480"/>
      <c r="M37" s="468"/>
      <c r="N37" s="1687">
        <f>SUM(N36:N36)</f>
        <v>0</v>
      </c>
    </row>
    <row r="38" spans="1:14" s="329" customFormat="1" ht="13.5" customHeight="1" thickTop="1" x14ac:dyDescent="0.2">
      <c r="A38" s="496" t="s">
        <v>420</v>
      </c>
      <c r="B38" s="483">
        <v>714</v>
      </c>
      <c r="C38" s="466">
        <v>260627</v>
      </c>
      <c r="D38" s="466">
        <v>3252816</v>
      </c>
      <c r="E38" s="466"/>
      <c r="F38" s="466">
        <v>606209</v>
      </c>
      <c r="G38" s="466">
        <v>2610246</v>
      </c>
      <c r="H38" s="466"/>
      <c r="I38" s="466">
        <v>4010048</v>
      </c>
      <c r="J38" s="467"/>
      <c r="K38" s="466"/>
      <c r="L38" s="481"/>
      <c r="M38" s="497"/>
      <c r="N38" s="497"/>
    </row>
    <row r="39" spans="1:14" s="329" customFormat="1" ht="13.5" customHeight="1" x14ac:dyDescent="0.2">
      <c r="A39" s="496" t="s">
        <v>342</v>
      </c>
      <c r="B39" s="483">
        <v>730</v>
      </c>
      <c r="C39" s="466">
        <f>35893865+2665970</f>
        <v>38559835</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117037981</v>
      </c>
      <c r="N40" s="497"/>
    </row>
    <row r="41" spans="1:14" ht="13.5" customHeight="1" thickBot="1" x14ac:dyDescent="0.25">
      <c r="A41" s="1735" t="s">
        <v>655</v>
      </c>
      <c r="B41" s="1705"/>
      <c r="C41" s="1687">
        <f>(SUM(C34,C37,C38,C39))</f>
        <v>59538392</v>
      </c>
      <c r="D41" s="1687">
        <f t="shared" ref="D41:L41" si="2">SUM(D34,D37,D38:D39)</f>
        <v>6101703</v>
      </c>
      <c r="E41" s="1687">
        <f t="shared" si="2"/>
        <v>0</v>
      </c>
      <c r="F41" s="1687">
        <f t="shared" si="2"/>
        <v>1382086</v>
      </c>
      <c r="G41" s="1687">
        <f t="shared" si="2"/>
        <v>2872779</v>
      </c>
      <c r="H41" s="1687">
        <f t="shared" si="2"/>
        <v>0</v>
      </c>
      <c r="I41" s="1687">
        <f t="shared" si="2"/>
        <v>4149241</v>
      </c>
      <c r="J41" s="1687">
        <f t="shared" si="2"/>
        <v>0</v>
      </c>
      <c r="K41" s="1687">
        <f t="shared" si="2"/>
        <v>0</v>
      </c>
      <c r="L41" s="1687">
        <f t="shared" si="2"/>
        <v>166586</v>
      </c>
      <c r="M41" s="1687">
        <f>SUM(M40)</f>
        <v>117037981</v>
      </c>
      <c r="N41" s="1687">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15" activePane="bottomLeft" state="frozen"/>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0" t="s">
        <v>1175</v>
      </c>
      <c r="B3" s="2151"/>
      <c r="C3" s="1572"/>
      <c r="D3" s="1573"/>
      <c r="E3" s="1573"/>
      <c r="F3" s="1573"/>
      <c r="G3" s="1573"/>
      <c r="H3" s="1573"/>
      <c r="I3" s="1573"/>
      <c r="J3" s="1573"/>
      <c r="K3" s="1574"/>
      <c r="L3" s="506"/>
    </row>
    <row r="4" spans="1:13" ht="15.75" customHeight="1" x14ac:dyDescent="0.2">
      <c r="A4" s="1927" t="s">
        <v>1499</v>
      </c>
      <c r="B4" s="1928">
        <v>1000</v>
      </c>
      <c r="C4" s="1741">
        <f>'Revenues 9-14'!C109</f>
        <v>34355024</v>
      </c>
      <c r="D4" s="1741">
        <f>'Revenues 9-14'!D109</f>
        <v>4154534</v>
      </c>
      <c r="E4" s="1741">
        <f>'Revenues 9-14'!E109</f>
        <v>0</v>
      </c>
      <c r="F4" s="1741">
        <f>'Revenues 9-14'!F109</f>
        <v>1556670</v>
      </c>
      <c r="G4" s="1741">
        <f>'Revenues 9-14'!G109</f>
        <v>1230572</v>
      </c>
      <c r="H4" s="1741">
        <f>'Revenues 9-14'!H109</f>
        <v>0</v>
      </c>
      <c r="I4" s="1741">
        <f>'Revenues 9-14'!I109</f>
        <v>361292</v>
      </c>
      <c r="J4" s="1741">
        <f>'Revenues 9-14'!J109</f>
        <v>0</v>
      </c>
      <c r="K4" s="1741">
        <f>'Revenues 9-14'!K109</f>
        <v>0</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4665791</v>
      </c>
      <c r="D6" s="1742">
        <f>'Revenues 9-14'!D170</f>
        <v>2022569</v>
      </c>
      <c r="E6" s="1742">
        <f>'Revenues 9-14'!E170</f>
        <v>0</v>
      </c>
      <c r="F6" s="1742">
        <f>'Revenues 9-14'!F170</f>
        <v>0</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2087886</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41108701</v>
      </c>
      <c r="D8" s="1687">
        <f t="shared" ref="D8:K8" si="0">SUM(D4:D7)</f>
        <v>6177103</v>
      </c>
      <c r="E8" s="1687">
        <f t="shared" si="0"/>
        <v>0</v>
      </c>
      <c r="F8" s="1687">
        <f t="shared" si="0"/>
        <v>1556670</v>
      </c>
      <c r="G8" s="1687">
        <f t="shared" si="0"/>
        <v>1230572</v>
      </c>
      <c r="H8" s="1687">
        <f t="shared" si="0"/>
        <v>0</v>
      </c>
      <c r="I8" s="1687">
        <f t="shared" si="0"/>
        <v>361292</v>
      </c>
      <c r="J8" s="1687">
        <f t="shared" si="0"/>
        <v>0</v>
      </c>
      <c r="K8" s="1687">
        <f t="shared" si="0"/>
        <v>0</v>
      </c>
      <c r="L8" s="347"/>
    </row>
    <row r="9" spans="1:13" ht="15.75" thickTop="1" x14ac:dyDescent="0.2">
      <c r="A9" s="514" t="s">
        <v>1653</v>
      </c>
      <c r="B9" s="515">
        <v>3998</v>
      </c>
      <c r="C9" s="481">
        <v>17309756</v>
      </c>
      <c r="D9" s="516"/>
      <c r="E9" s="481"/>
      <c r="F9" s="481"/>
      <c r="G9" s="517"/>
      <c r="H9" s="481"/>
      <c r="I9" s="509" t="s">
        <v>1169</v>
      </c>
      <c r="J9" s="478"/>
      <c r="K9" s="481"/>
      <c r="L9" s="347"/>
    </row>
    <row r="10" spans="1:13" s="519" customFormat="1" ht="13.5" thickBot="1" x14ac:dyDescent="0.25">
      <c r="A10" s="1735" t="s">
        <v>1173</v>
      </c>
      <c r="B10" s="1708"/>
      <c r="C10" s="1687">
        <f>SUM(C8:C9)</f>
        <v>58418457</v>
      </c>
      <c r="D10" s="1687">
        <f t="shared" ref="D10:K10" si="1">SUM(D8:D9)</f>
        <v>6177103</v>
      </c>
      <c r="E10" s="1687">
        <f t="shared" si="1"/>
        <v>0</v>
      </c>
      <c r="F10" s="1687">
        <f t="shared" si="1"/>
        <v>1556670</v>
      </c>
      <c r="G10" s="1687">
        <f t="shared" si="1"/>
        <v>1230572</v>
      </c>
      <c r="H10" s="1687">
        <f t="shared" si="1"/>
        <v>0</v>
      </c>
      <c r="I10" s="1687">
        <f t="shared" si="1"/>
        <v>361292</v>
      </c>
      <c r="J10" s="1687">
        <f t="shared" si="1"/>
        <v>0</v>
      </c>
      <c r="K10" s="1687">
        <f t="shared" si="1"/>
        <v>0</v>
      </c>
      <c r="L10" s="518"/>
    </row>
    <row r="11" spans="1:13" s="519" customFormat="1" ht="16.7" customHeight="1" thickTop="1" x14ac:dyDescent="0.2">
      <c r="A11" s="2124" t="s">
        <v>1176</v>
      </c>
      <c r="B11" s="2125"/>
      <c r="C11" s="1569"/>
      <c r="D11" s="1570"/>
      <c r="E11" s="1570"/>
      <c r="F11" s="1570"/>
      <c r="G11" s="1570"/>
      <c r="H11" s="1570"/>
      <c r="I11" s="1570"/>
      <c r="J11" s="1570"/>
      <c r="K11" s="1571"/>
      <c r="L11" s="518"/>
    </row>
    <row r="12" spans="1:13" ht="15.75" customHeight="1" x14ac:dyDescent="0.2">
      <c r="A12" s="1575" t="s">
        <v>456</v>
      </c>
      <c r="B12" s="1577">
        <v>1000</v>
      </c>
      <c r="C12" s="1741">
        <f>'Expenditures 15-22'!K33</f>
        <v>26186555</v>
      </c>
      <c r="D12" s="520" t="s">
        <v>1169</v>
      </c>
      <c r="E12" s="468" t="s">
        <v>1169</v>
      </c>
      <c r="F12" s="468" t="s">
        <v>1169</v>
      </c>
      <c r="G12" s="1741">
        <f>'Expenditures 15-22'!K229</f>
        <v>718404</v>
      </c>
      <c r="H12" s="521"/>
      <c r="I12" s="468" t="s">
        <v>1169</v>
      </c>
      <c r="J12" s="468" t="s">
        <v>1169</v>
      </c>
      <c r="K12" s="521" t="s">
        <v>1169</v>
      </c>
      <c r="L12" s="347"/>
    </row>
    <row r="13" spans="1:13" ht="15.75" customHeight="1" x14ac:dyDescent="0.2">
      <c r="A13" s="1575" t="s">
        <v>457</v>
      </c>
      <c r="B13" s="1577">
        <v>2000</v>
      </c>
      <c r="C13" s="1742">
        <f>'Expenditures 15-22'!K74</f>
        <v>10238860</v>
      </c>
      <c r="D13" s="1742">
        <f>'Expenditures 15-22'!K129</f>
        <v>7343123</v>
      </c>
      <c r="E13" s="469" t="s">
        <v>1169</v>
      </c>
      <c r="F13" s="1742">
        <f>'Expenditures 15-22'!K184</f>
        <v>1786368</v>
      </c>
      <c r="G13" s="1742">
        <f>'Expenditures 15-22'!K279</f>
        <v>786218</v>
      </c>
      <c r="H13" s="1742">
        <f>'Expenditures 15-22'!K303</f>
        <v>0</v>
      </c>
      <c r="I13" s="468" t="s">
        <v>1169</v>
      </c>
      <c r="J13" s="1742">
        <f>'Expenditures 15-22'!K330</f>
        <v>0</v>
      </c>
      <c r="K13" s="1746">
        <f>'Expenditures 15-22'!K352</f>
        <v>0</v>
      </c>
      <c r="L13" s="347"/>
    </row>
    <row r="14" spans="1:13" ht="15.75" customHeight="1" x14ac:dyDescent="0.2">
      <c r="A14" s="1575" t="s">
        <v>449</v>
      </c>
      <c r="B14" s="1577">
        <v>3000</v>
      </c>
      <c r="C14" s="1742">
        <f>'Expenditures 15-22'!K75</f>
        <v>136990</v>
      </c>
      <c r="D14" s="1742">
        <f>'Expenditures 15-22'!K130</f>
        <v>0</v>
      </c>
      <c r="E14" s="520" t="s">
        <v>1169</v>
      </c>
      <c r="F14" s="1742">
        <f>'Expenditures 15-22'!K185</f>
        <v>0</v>
      </c>
      <c r="G14" s="1742">
        <f>'Expenditures 15-22'!K280</f>
        <v>215</v>
      </c>
      <c r="H14" s="512"/>
      <c r="I14" s="468" t="s">
        <v>1169</v>
      </c>
      <c r="J14" s="468" t="s">
        <v>1169</v>
      </c>
      <c r="K14" s="512" t="s">
        <v>1169</v>
      </c>
      <c r="L14" s="347"/>
    </row>
    <row r="15" spans="1:13" ht="15.75" customHeight="1" x14ac:dyDescent="0.2">
      <c r="A15" s="1575" t="s">
        <v>107</v>
      </c>
      <c r="B15" s="1577">
        <v>4000</v>
      </c>
      <c r="C15" s="1742">
        <f>'Expenditures 15-22'!K102</f>
        <v>1026679</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0</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37589084</v>
      </c>
      <c r="D17" s="1687">
        <f t="shared" si="2"/>
        <v>7343123</v>
      </c>
      <c r="E17" s="1687">
        <f t="shared" si="2"/>
        <v>0</v>
      </c>
      <c r="F17" s="1687">
        <f t="shared" si="2"/>
        <v>1786368</v>
      </c>
      <c r="G17" s="1687">
        <f t="shared" si="2"/>
        <v>1504837</v>
      </c>
      <c r="H17" s="1687">
        <f t="shared" si="2"/>
        <v>0</v>
      </c>
      <c r="I17" s="468"/>
      <c r="J17" s="1687">
        <f>SUM(J12:J16)</f>
        <v>0</v>
      </c>
      <c r="K17" s="1687">
        <f>SUM(K12:K16)</f>
        <v>0</v>
      </c>
      <c r="L17" s="347"/>
    </row>
    <row r="18" spans="1:12" ht="15" customHeight="1" thickTop="1" x14ac:dyDescent="0.2">
      <c r="A18" s="1743" t="s">
        <v>1654</v>
      </c>
      <c r="B18" s="1744">
        <v>4180</v>
      </c>
      <c r="C18" s="1741">
        <f t="shared" ref="C18:H18" si="3">C9</f>
        <v>17309756</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54898840</v>
      </c>
      <c r="D19" s="1687">
        <f t="shared" si="4"/>
        <v>7343123</v>
      </c>
      <c r="E19" s="1687">
        <f t="shared" si="4"/>
        <v>0</v>
      </c>
      <c r="F19" s="1687">
        <f t="shared" si="4"/>
        <v>1786368</v>
      </c>
      <c r="G19" s="1687">
        <f t="shared" si="4"/>
        <v>1504837</v>
      </c>
      <c r="H19" s="1687">
        <f t="shared" si="4"/>
        <v>0</v>
      </c>
      <c r="I19" s="468"/>
      <c r="J19" s="1687">
        <f>SUM(J17:J18)</f>
        <v>0</v>
      </c>
      <c r="K19" s="1687">
        <f>SUM(K17:K18)</f>
        <v>0</v>
      </c>
      <c r="L19" s="347"/>
    </row>
    <row r="20" spans="1:12" ht="16.5" thickTop="1" thickBot="1" x14ac:dyDescent="0.25">
      <c r="A20" s="2140" t="s">
        <v>1655</v>
      </c>
      <c r="B20" s="2141"/>
      <c r="C20" s="1745">
        <f>C8-C17</f>
        <v>3519617</v>
      </c>
      <c r="D20" s="1745">
        <f t="shared" ref="D20:K20" si="5">D8-D17</f>
        <v>-1166020</v>
      </c>
      <c r="E20" s="1745">
        <f t="shared" si="5"/>
        <v>0</v>
      </c>
      <c r="F20" s="1745">
        <f t="shared" si="5"/>
        <v>-229698</v>
      </c>
      <c r="G20" s="1745">
        <f t="shared" si="5"/>
        <v>-274265</v>
      </c>
      <c r="H20" s="1745">
        <f t="shared" si="5"/>
        <v>0</v>
      </c>
      <c r="I20" s="1745">
        <f t="shared" si="5"/>
        <v>361292</v>
      </c>
      <c r="J20" s="1745">
        <f t="shared" si="5"/>
        <v>0</v>
      </c>
      <c r="K20" s="1745">
        <f t="shared" si="5"/>
        <v>0</v>
      </c>
      <c r="L20" s="347"/>
    </row>
    <row r="21" spans="1:12" ht="16.7" customHeight="1" thickTop="1" x14ac:dyDescent="0.2">
      <c r="A21" s="2152" t="s">
        <v>595</v>
      </c>
      <c r="B21" s="2153"/>
      <c r="C21" s="1569"/>
      <c r="D21" s="1570"/>
      <c r="E21" s="1570"/>
      <c r="F21" s="1570"/>
      <c r="G21" s="1570"/>
      <c r="H21" s="1570"/>
      <c r="I21" s="1570"/>
      <c r="J21" s="1570"/>
      <c r="K21" s="1571"/>
      <c r="L21" s="524"/>
    </row>
    <row r="22" spans="1:12" ht="15.75" customHeight="1" collapsed="1" x14ac:dyDescent="0.2">
      <c r="A22" s="2148" t="s">
        <v>596</v>
      </c>
      <c r="B22" s="2149"/>
      <c r="C22" s="477"/>
      <c r="D22" s="477"/>
      <c r="E22" s="477"/>
      <c r="F22" s="477"/>
      <c r="G22" s="477"/>
      <c r="H22" s="477"/>
      <c r="I22" s="477"/>
      <c r="J22" s="477"/>
      <c r="K22" s="477"/>
      <c r="L22" s="347"/>
    </row>
    <row r="23" spans="1:12" s="485" customFormat="1" ht="15.75" customHeight="1" x14ac:dyDescent="0.2">
      <c r="A23" s="2144" t="s">
        <v>293</v>
      </c>
      <c r="B23" s="2145"/>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1790</v>
      </c>
      <c r="B30" s="527">
        <v>7160</v>
      </c>
      <c r="C30" s="477"/>
      <c r="D30" s="467"/>
      <c r="E30" s="477"/>
      <c r="F30" s="477"/>
      <c r="G30" s="477"/>
      <c r="H30" s="477"/>
      <c r="I30" s="477"/>
      <c r="J30" s="477"/>
      <c r="K30" s="477"/>
      <c r="L30" s="524"/>
    </row>
    <row r="31" spans="1:12" s="485" customFormat="1" ht="26.25" x14ac:dyDescent="0.2">
      <c r="A31" s="1488" t="s">
        <v>1794</v>
      </c>
      <c r="B31" s="527">
        <v>7170</v>
      </c>
      <c r="C31" s="477"/>
      <c r="D31" s="477"/>
      <c r="E31" s="474"/>
      <c r="F31" s="477"/>
      <c r="G31" s="477"/>
      <c r="H31" s="477"/>
      <c r="I31" s="477"/>
      <c r="J31" s="477"/>
      <c r="K31" s="477"/>
      <c r="L31" s="524"/>
    </row>
    <row r="32" spans="1:12" s="485" customFormat="1" ht="15.75" customHeight="1" x14ac:dyDescent="0.2">
      <c r="A32" s="2146" t="s">
        <v>981</v>
      </c>
      <c r="B32" s="2147"/>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54" t="s">
        <v>374</v>
      </c>
      <c r="B44" s="2155"/>
      <c r="C44" s="1702">
        <f>SUM(C24:C43)</f>
        <v>0</v>
      </c>
      <c r="D44" s="1702">
        <f t="shared" ref="D44:K44" si="6">SUM(D24:D43)</f>
        <v>0</v>
      </c>
      <c r="E44" s="1702">
        <f t="shared" si="6"/>
        <v>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48" t="s">
        <v>108</v>
      </c>
      <c r="B45" s="2149"/>
      <c r="C45" s="528"/>
      <c r="D45" s="528"/>
      <c r="E45" s="528"/>
      <c r="F45" s="528"/>
      <c r="G45" s="528"/>
      <c r="H45" s="528"/>
      <c r="I45" s="528"/>
      <c r="J45" s="528"/>
      <c r="K45" s="528"/>
      <c r="L45" s="347"/>
    </row>
    <row r="46" spans="1:12" s="485" customFormat="1" ht="15.75" customHeight="1" x14ac:dyDescent="0.2">
      <c r="A46" s="2156" t="s">
        <v>109</v>
      </c>
      <c r="B46" s="2157"/>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1793</v>
      </c>
      <c r="B52" s="483">
        <v>8160</v>
      </c>
      <c r="C52" s="477"/>
      <c r="D52" s="477"/>
      <c r="E52" s="477"/>
      <c r="F52" s="477"/>
      <c r="G52" s="477"/>
      <c r="H52" s="477"/>
      <c r="I52" s="477"/>
      <c r="J52" s="477"/>
      <c r="K52" s="1742">
        <f>D30</f>
        <v>0</v>
      </c>
      <c r="L52" s="524"/>
    </row>
    <row r="53" spans="1:12" s="485" customFormat="1" ht="26.25" x14ac:dyDescent="0.2">
      <c r="A53" s="1489" t="s">
        <v>1792</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30" t="s">
        <v>440</v>
      </c>
      <c r="B76" s="2131"/>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32" t="s">
        <v>1177</v>
      </c>
      <c r="B77" s="2133"/>
      <c r="C77" s="1702">
        <f t="shared" ref="C77:K77" si="8">C44-C76</f>
        <v>0</v>
      </c>
      <c r="D77" s="1702">
        <f t="shared" si="8"/>
        <v>0</v>
      </c>
      <c r="E77" s="1702">
        <f t="shared" si="8"/>
        <v>0</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36" t="s">
        <v>597</v>
      </c>
      <c r="B78" s="2137"/>
      <c r="C78" s="1701">
        <f t="shared" ref="C78:K78" si="9">C20+C77</f>
        <v>3519617</v>
      </c>
      <c r="D78" s="1701">
        <f t="shared" si="9"/>
        <v>-1166020</v>
      </c>
      <c r="E78" s="1701">
        <f t="shared" si="9"/>
        <v>0</v>
      </c>
      <c r="F78" s="1701">
        <f t="shared" si="9"/>
        <v>-229698</v>
      </c>
      <c r="G78" s="1701">
        <f t="shared" si="9"/>
        <v>-274265</v>
      </c>
      <c r="H78" s="1701">
        <f t="shared" si="9"/>
        <v>0</v>
      </c>
      <c r="I78" s="1701">
        <f t="shared" si="9"/>
        <v>361292</v>
      </c>
      <c r="J78" s="1701">
        <f t="shared" si="9"/>
        <v>0</v>
      </c>
      <c r="K78" s="1701">
        <f t="shared" si="9"/>
        <v>0</v>
      </c>
      <c r="L78" s="533"/>
    </row>
    <row r="79" spans="1:12" ht="13.5" thickTop="1" x14ac:dyDescent="0.2">
      <c r="A79" s="1493" t="s">
        <v>1945</v>
      </c>
      <c r="B79" s="534"/>
      <c r="C79" s="478">
        <v>35300845</v>
      </c>
      <c r="D79" s="535">
        <v>4418836</v>
      </c>
      <c r="E79" s="535"/>
      <c r="F79" s="535">
        <v>835907</v>
      </c>
      <c r="G79" s="535">
        <v>2884511</v>
      </c>
      <c r="H79" s="535"/>
      <c r="I79" s="535">
        <v>3648756</v>
      </c>
      <c r="J79" s="535"/>
      <c r="K79" s="535"/>
      <c r="L79" s="347"/>
    </row>
    <row r="80" spans="1:12" x14ac:dyDescent="0.2">
      <c r="A80" s="2142" t="s">
        <v>1791</v>
      </c>
      <c r="B80" s="2143"/>
      <c r="C80" s="467"/>
      <c r="D80" s="467"/>
      <c r="E80" s="467"/>
      <c r="F80" s="467"/>
      <c r="G80" s="467"/>
      <c r="H80" s="467"/>
      <c r="I80" s="467"/>
      <c r="J80" s="467"/>
      <c r="K80" s="467"/>
      <c r="L80" s="347"/>
    </row>
    <row r="81" spans="1:12" ht="13.5" thickBot="1" x14ac:dyDescent="0.25">
      <c r="A81" s="2134" t="s">
        <v>1946</v>
      </c>
      <c r="B81" s="2135"/>
      <c r="C81" s="1687">
        <f>(SUM(C78:C80))</f>
        <v>38820462</v>
      </c>
      <c r="D81" s="1687">
        <f>SUM(D78:D80)</f>
        <v>3252816</v>
      </c>
      <c r="E81" s="1687">
        <f t="shared" ref="E81:K81" si="10">SUM(E78:E80)</f>
        <v>0</v>
      </c>
      <c r="F81" s="1687">
        <f t="shared" si="10"/>
        <v>606209</v>
      </c>
      <c r="G81" s="1687">
        <f t="shared" si="10"/>
        <v>2610246</v>
      </c>
      <c r="H81" s="1687">
        <f t="shared" si="10"/>
        <v>0</v>
      </c>
      <c r="I81" s="1687">
        <f t="shared" si="10"/>
        <v>4010048</v>
      </c>
      <c r="J81" s="1687">
        <f t="shared" si="10"/>
        <v>0</v>
      </c>
      <c r="K81" s="1687">
        <f t="shared" si="10"/>
        <v>0</v>
      </c>
      <c r="L81" s="347"/>
    </row>
    <row r="82" spans="1:12" ht="0.75" customHeight="1" thickTop="1" thickBot="1" x14ac:dyDescent="0.25">
      <c r="A82" s="536" t="s">
        <v>343</v>
      </c>
      <c r="B82" s="537"/>
      <c r="C82" s="538">
        <f>(C81-C79)</f>
        <v>3519617</v>
      </c>
      <c r="D82" s="538">
        <f t="shared" ref="D82:K82" si="11">(D81-D79)</f>
        <v>-1166020</v>
      </c>
      <c r="E82" s="538">
        <f t="shared" si="11"/>
        <v>0</v>
      </c>
      <c r="F82" s="538">
        <f t="shared" si="11"/>
        <v>-229698</v>
      </c>
      <c r="G82" s="538">
        <f t="shared" si="11"/>
        <v>-274265</v>
      </c>
      <c r="H82" s="538">
        <f t="shared" si="11"/>
        <v>0</v>
      </c>
      <c r="I82" s="538">
        <f t="shared" si="11"/>
        <v>361292</v>
      </c>
      <c r="J82" s="538">
        <f t="shared" si="11"/>
        <v>0</v>
      </c>
      <c r="K82" s="538">
        <f t="shared" si="11"/>
        <v>0</v>
      </c>
    </row>
    <row r="83" spans="1:12" ht="14.25" hidden="1" thickTop="1" thickBot="1" x14ac:dyDescent="0.25">
      <c r="A83" s="539" t="s">
        <v>344</v>
      </c>
      <c r="B83" s="464"/>
      <c r="C83" s="540">
        <f>C82/C81</f>
        <v>9.0663964792587995E-2</v>
      </c>
      <c r="D83" s="540">
        <f t="shared" ref="D83:K83" si="12">D82/D81</f>
        <v>-0.35846478866311526</v>
      </c>
      <c r="E83" s="540" t="e">
        <f t="shared" si="12"/>
        <v>#DIV/0!</v>
      </c>
      <c r="F83" s="540">
        <f t="shared" si="12"/>
        <v>-0.37890892414992189</v>
      </c>
      <c r="G83" s="540">
        <f t="shared" si="12"/>
        <v>-0.10507247209649971</v>
      </c>
      <c r="H83" s="540" t="e">
        <f t="shared" si="12"/>
        <v>#DIV/0!</v>
      </c>
      <c r="I83" s="540">
        <f t="shared" si="12"/>
        <v>9.0096677147006712E-2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5" activePane="bottomLeft" state="frozen"/>
      <selection pane="bottomLeft" activeCell="C96" sqref="C9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8" t="s">
        <v>1798</v>
      </c>
      <c r="B1" s="452"/>
      <c r="C1" s="453" t="s">
        <v>425</v>
      </c>
      <c r="D1" s="453" t="s">
        <v>426</v>
      </c>
      <c r="E1" s="453" t="s">
        <v>427</v>
      </c>
      <c r="F1" s="453" t="s">
        <v>428</v>
      </c>
      <c r="G1" s="453" t="s">
        <v>429</v>
      </c>
      <c r="H1" s="453" t="s">
        <v>430</v>
      </c>
      <c r="I1" s="453" t="s">
        <v>431</v>
      </c>
      <c r="J1" s="453" t="s">
        <v>432</v>
      </c>
      <c r="K1" s="453" t="s">
        <v>756</v>
      </c>
    </row>
    <row r="2" spans="1:12" ht="36" x14ac:dyDescent="0.2">
      <c r="A2" s="213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32248427</v>
      </c>
      <c r="D5" s="481">
        <v>4007826</v>
      </c>
      <c r="E5" s="466"/>
      <c r="F5" s="548">
        <v>1469909</v>
      </c>
      <c r="G5" s="466">
        <v>670788</v>
      </c>
      <c r="H5" s="466"/>
      <c r="I5" s="466">
        <v>276015</v>
      </c>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246653</v>
      </c>
      <c r="D7" s="466"/>
      <c r="E7" s="468"/>
      <c r="F7" s="467"/>
      <c r="G7" s="467"/>
      <c r="H7" s="467"/>
      <c r="I7" s="468"/>
      <c r="J7" s="468"/>
      <c r="K7" s="468"/>
    </row>
    <row r="8" spans="1:12" x14ac:dyDescent="0.2">
      <c r="A8" s="463" t="s">
        <v>413</v>
      </c>
      <c r="B8" s="470">
        <v>1150</v>
      </c>
      <c r="C8" s="475"/>
      <c r="D8" s="475"/>
      <c r="E8" s="477"/>
      <c r="F8" s="477"/>
      <c r="G8" s="481">
        <v>487426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32495080</v>
      </c>
      <c r="D12" s="1706">
        <f t="shared" si="0"/>
        <v>4007826</v>
      </c>
      <c r="E12" s="1706">
        <f t="shared" si="0"/>
        <v>0</v>
      </c>
      <c r="F12" s="1706">
        <f t="shared" si="0"/>
        <v>1469909</v>
      </c>
      <c r="G12" s="1706">
        <f t="shared" si="0"/>
        <v>1158214</v>
      </c>
      <c r="H12" s="1706">
        <f t="shared" si="0"/>
        <v>0</v>
      </c>
      <c r="I12" s="1706">
        <f t="shared" si="0"/>
        <v>276015</v>
      </c>
      <c r="J12" s="1706">
        <f t="shared" si="0"/>
        <v>0</v>
      </c>
      <c r="K12" s="1687">
        <f t="shared" si="0"/>
        <v>0</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102471</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102471</v>
      </c>
      <c r="D18" s="1709">
        <f t="shared" ref="D18:K18" si="1">SUM(D14:D17)</f>
        <v>0</v>
      </c>
      <c r="E18" s="1709">
        <f t="shared" si="1"/>
        <v>0</v>
      </c>
      <c r="F18" s="1709">
        <f t="shared" si="1"/>
        <v>0</v>
      </c>
      <c r="G18" s="1709">
        <f t="shared" si="1"/>
        <v>0</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v>73181</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73181</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953470</v>
      </c>
      <c r="D65" s="466">
        <v>113183</v>
      </c>
      <c r="E65" s="466"/>
      <c r="F65" s="467">
        <v>13580</v>
      </c>
      <c r="G65" s="466">
        <v>72358</v>
      </c>
      <c r="H65" s="466"/>
      <c r="I65" s="466">
        <v>85277</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953470</v>
      </c>
      <c r="D67" s="1687">
        <f t="shared" ref="D67:K67" si="2">SUM(D65:D66)</f>
        <v>113183</v>
      </c>
      <c r="E67" s="1687">
        <f t="shared" si="2"/>
        <v>0</v>
      </c>
      <c r="F67" s="1687">
        <f t="shared" si="2"/>
        <v>13580</v>
      </c>
      <c r="G67" s="1687">
        <f t="shared" si="2"/>
        <v>72358</v>
      </c>
      <c r="H67" s="1687">
        <f t="shared" si="2"/>
        <v>0</v>
      </c>
      <c r="I67" s="1687">
        <f t="shared" si="2"/>
        <v>85277</v>
      </c>
      <c r="J67" s="1687">
        <f t="shared" si="2"/>
        <v>0</v>
      </c>
      <c r="K67" s="1687">
        <f t="shared" si="2"/>
        <v>0</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46470</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46470</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v>19767</v>
      </c>
      <c r="D78" s="466"/>
      <c r="E78" s="468"/>
      <c r="F78" s="468"/>
      <c r="G78" s="468"/>
      <c r="H78" s="468"/>
      <c r="I78" s="468"/>
      <c r="J78" s="468"/>
      <c r="K78" s="468"/>
    </row>
    <row r="79" spans="1:11" ht="12.75" customHeight="1" x14ac:dyDescent="0.2">
      <c r="A79" s="463" t="s">
        <v>550</v>
      </c>
      <c r="B79" s="470">
        <v>1720</v>
      </c>
      <c r="C79" s="551">
        <v>14350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34117</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601012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601012</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18325</v>
      </c>
      <c r="E95" s="521"/>
      <c r="F95" s="521"/>
      <c r="G95" s="521"/>
      <c r="H95" s="521"/>
      <c r="I95" s="521"/>
      <c r="J95" s="521"/>
      <c r="K95" s="521"/>
    </row>
    <row r="96" spans="1:11" ht="12.75" customHeight="1" x14ac:dyDescent="0.2">
      <c r="A96" s="463" t="s">
        <v>391</v>
      </c>
      <c r="B96" s="470">
        <v>1920</v>
      </c>
      <c r="C96" s="551">
        <v>122404</v>
      </c>
      <c r="D96" s="551">
        <v>15200</v>
      </c>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7" t="s">
        <v>487</v>
      </c>
      <c r="B108" s="1711"/>
      <c r="C108" s="1706">
        <f>SUM(C95:C107)</f>
        <v>122404</v>
      </c>
      <c r="D108" s="1706">
        <f t="shared" ref="D108:K108" si="3">SUM(D95:D107)</f>
        <v>33525</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34355024</v>
      </c>
      <c r="D109" s="1714">
        <f t="shared" si="4"/>
        <v>4154534</v>
      </c>
      <c r="E109" s="1714">
        <f t="shared" si="4"/>
        <v>0</v>
      </c>
      <c r="F109" s="1714">
        <f t="shared" si="4"/>
        <v>1556670</v>
      </c>
      <c r="G109" s="1714">
        <f t="shared" si="4"/>
        <v>1230572</v>
      </c>
      <c r="H109" s="1714">
        <f t="shared" si="4"/>
        <v>0</v>
      </c>
      <c r="I109" s="1714">
        <f t="shared" si="4"/>
        <v>361292</v>
      </c>
      <c r="J109" s="1714">
        <f t="shared" si="4"/>
        <v>0</v>
      </c>
      <c r="K109" s="1701">
        <f t="shared" si="4"/>
        <v>0</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3613829</v>
      </c>
      <c r="D117" s="481">
        <v>2022569</v>
      </c>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29" t="s">
        <v>1932</v>
      </c>
      <c r="B120" s="562">
        <v>3030</v>
      </c>
      <c r="C120" s="551"/>
      <c r="D120" s="466"/>
      <c r="E120" s="466"/>
      <c r="F120" s="466"/>
      <c r="G120" s="466"/>
      <c r="H120" s="466"/>
      <c r="I120" s="468"/>
      <c r="J120" s="467"/>
      <c r="K120" s="466"/>
    </row>
    <row r="121" spans="1:11" x14ac:dyDescent="0.2">
      <c r="A121" s="1495" t="s">
        <v>1797</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3613829</v>
      </c>
      <c r="D122" s="1706">
        <f t="shared" si="5"/>
        <v>2022569</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324043</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24588</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348631</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3431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3431</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1531</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v>906</v>
      </c>
      <c r="D152" s="466"/>
      <c r="E152" s="561"/>
      <c r="F152" s="466">
        <v>0</v>
      </c>
      <c r="G152" s="467"/>
      <c r="H152" s="468"/>
      <c r="I152" s="468"/>
      <c r="J152" s="468"/>
      <c r="K152" s="468"/>
    </row>
    <row r="153" spans="1:11" ht="12.75" customHeight="1" x14ac:dyDescent="0.2">
      <c r="A153" s="463" t="s">
        <v>1057</v>
      </c>
      <c r="B153" s="562">
        <v>3510</v>
      </c>
      <c r="C153" s="551">
        <v>694896</v>
      </c>
      <c r="D153" s="466"/>
      <c r="E153" s="561"/>
      <c r="F153" s="466">
        <v>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695802</v>
      </c>
      <c r="D155" s="1706">
        <f>SUM(D152:D154)</f>
        <v>0</v>
      </c>
      <c r="E155" s="561"/>
      <c r="F155" s="1706">
        <f>SUM(F152:F154)</f>
        <v>0</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2567</v>
      </c>
      <c r="D168" s="580"/>
      <c r="E168" s="580"/>
      <c r="F168" s="580"/>
      <c r="G168" s="581"/>
      <c r="H168" s="582"/>
      <c r="I168" s="581"/>
      <c r="J168" s="581"/>
      <c r="K168" s="582"/>
    </row>
    <row r="169" spans="1:11" ht="12.75" customHeight="1" thickTop="1" thickBot="1" x14ac:dyDescent="0.25">
      <c r="A169" s="2158" t="s">
        <v>398</v>
      </c>
      <c r="B169" s="2159"/>
      <c r="C169" s="1721">
        <f t="shared" ref="C169:K169" si="6">SUM(C132,C141,C145,C146:C150,C155,C156:C167,C168)</f>
        <v>1051962</v>
      </c>
      <c r="D169" s="1721">
        <f t="shared" si="6"/>
        <v>0</v>
      </c>
      <c r="E169" s="1721">
        <f t="shared" si="6"/>
        <v>0</v>
      </c>
      <c r="F169" s="1721">
        <f t="shared" si="6"/>
        <v>0</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4665791</v>
      </c>
      <c r="D170" s="1714">
        <f t="shared" si="7"/>
        <v>2022569</v>
      </c>
      <c r="E170" s="1714">
        <f t="shared" si="7"/>
        <v>0</v>
      </c>
      <c r="F170" s="1714">
        <f t="shared" si="7"/>
        <v>0</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60" t="s">
        <v>1492</v>
      </c>
      <c r="B172" s="216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4" t="s">
        <v>1665</v>
      </c>
      <c r="B175" s="2165"/>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8" t="s">
        <v>1664</v>
      </c>
      <c r="B176" s="216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6" t="s">
        <v>785</v>
      </c>
      <c r="B181" s="2167"/>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62" t="s">
        <v>1799</v>
      </c>
      <c r="B182" s="2163"/>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v>61160</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61160</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561507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9525</v>
      </c>
      <c r="D203" s="466"/>
      <c r="E203" s="468"/>
      <c r="F203" s="466"/>
      <c r="G203" s="466"/>
      <c r="H203" s="468"/>
      <c r="I203" s="468"/>
      <c r="J203" s="468"/>
      <c r="K203" s="468"/>
    </row>
    <row r="204" spans="1:11" ht="12.75" customHeight="1" thickBot="1" x14ac:dyDescent="0.25">
      <c r="A204" s="1707" t="s">
        <v>400</v>
      </c>
      <c r="B204" s="1708"/>
      <c r="C204" s="1706">
        <f>SUM(C200:C203)</f>
        <v>571032</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23515</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23515</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51126</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954772</v>
      </c>
      <c r="D213" s="466"/>
      <c r="E213" s="468"/>
      <c r="F213" s="466"/>
      <c r="G213" s="466"/>
      <c r="H213" s="468"/>
      <c r="I213" s="468"/>
      <c r="J213" s="468"/>
      <c r="K213" s="468"/>
    </row>
    <row r="214" spans="1:11" ht="12.75" customHeight="1" x14ac:dyDescent="0.2">
      <c r="A214" s="463" t="s">
        <v>1054</v>
      </c>
      <c r="B214" s="470">
        <v>4625</v>
      </c>
      <c r="C214" s="551">
        <v>111721</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1117619</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15275</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1933</v>
      </c>
      <c r="B261" s="470">
        <v>4981</v>
      </c>
      <c r="C261" s="575"/>
      <c r="D261" s="576"/>
      <c r="E261" s="468"/>
      <c r="F261" s="576"/>
      <c r="G261" s="576"/>
      <c r="H261" s="468"/>
      <c r="I261" s="468"/>
      <c r="J261" s="468"/>
      <c r="K261" s="468"/>
    </row>
    <row r="262" spans="1:11" ht="12.75" customHeight="1" thickTop="1" thickBot="1" x14ac:dyDescent="0.25">
      <c r="A262" s="1930"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52077</v>
      </c>
      <c r="D263" s="576"/>
      <c r="E263" s="468"/>
      <c r="F263" s="576"/>
      <c r="G263" s="576"/>
      <c r="H263" s="468"/>
      <c r="I263" s="468"/>
      <c r="J263" s="468"/>
      <c r="K263" s="468"/>
    </row>
    <row r="264" spans="1:11" ht="12.75" customHeight="1" thickTop="1" thickBot="1" x14ac:dyDescent="0.25">
      <c r="A264" s="463" t="s">
        <v>377</v>
      </c>
      <c r="B264" s="470">
        <v>4992</v>
      </c>
      <c r="C264" s="575">
        <v>247208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2087886</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2087886</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41108701</v>
      </c>
      <c r="D268" s="1714">
        <f t="shared" si="12"/>
        <v>6177103</v>
      </c>
      <c r="E268" s="1714">
        <f t="shared" si="12"/>
        <v>0</v>
      </c>
      <c r="F268" s="1714">
        <f t="shared" si="12"/>
        <v>1556670</v>
      </c>
      <c r="G268" s="1714">
        <f t="shared" si="12"/>
        <v>1230572</v>
      </c>
      <c r="H268" s="1714">
        <f t="shared" si="12"/>
        <v>0</v>
      </c>
      <c r="I268" s="1714">
        <f t="shared" si="12"/>
        <v>361292</v>
      </c>
      <c r="J268" s="1714">
        <f t="shared" si="12"/>
        <v>0</v>
      </c>
      <c r="K268" s="1701">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71" activePane="bottomLeft" state="frozen"/>
      <selection pane="bottomLeft" activeCell="L6" sqref="L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8" t="s">
        <v>1798</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6" t="s">
        <v>297</v>
      </c>
      <c r="B3" s="2177"/>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14681603</v>
      </c>
      <c r="D5" s="466">
        <v>2933674</v>
      </c>
      <c r="E5" s="466">
        <v>497603</v>
      </c>
      <c r="F5" s="466">
        <v>840414</v>
      </c>
      <c r="G5" s="466">
        <v>20577</v>
      </c>
      <c r="H5" s="466"/>
      <c r="I5" s="467"/>
      <c r="J5" s="467"/>
      <c r="K5" s="1670">
        <f>SUM(C5:J5)</f>
        <v>18973871</v>
      </c>
      <c r="L5" s="466">
        <v>21488494</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c r="D7" s="467"/>
      <c r="E7" s="467"/>
      <c r="F7" s="467"/>
      <c r="G7" s="467"/>
      <c r="H7" s="467"/>
      <c r="I7" s="467"/>
      <c r="J7" s="467"/>
      <c r="K7" s="1670">
        <f t="shared" ref="K7:K32" si="0">SUM(C7:J7)</f>
        <v>0</v>
      </c>
      <c r="L7" s="466"/>
    </row>
    <row r="8" spans="1:14" x14ac:dyDescent="0.2">
      <c r="A8" s="1503" t="s">
        <v>164</v>
      </c>
      <c r="B8" s="614">
        <v>1200</v>
      </c>
      <c r="C8" s="466">
        <v>4634723</v>
      </c>
      <c r="D8" s="466">
        <v>503598</v>
      </c>
      <c r="E8" s="466">
        <v>1794</v>
      </c>
      <c r="F8" s="466">
        <v>84697</v>
      </c>
      <c r="G8" s="466">
        <v>3391</v>
      </c>
      <c r="H8" s="466"/>
      <c r="I8" s="467"/>
      <c r="J8" s="467"/>
      <c r="K8" s="1670">
        <f t="shared" si="0"/>
        <v>5228203</v>
      </c>
      <c r="L8" s="466">
        <v>4896979</v>
      </c>
    </row>
    <row r="9" spans="1:14" x14ac:dyDescent="0.2">
      <c r="A9" s="1503" t="s">
        <v>721</v>
      </c>
      <c r="B9" s="614" t="s">
        <v>968</v>
      </c>
      <c r="C9" s="467"/>
      <c r="D9" s="467"/>
      <c r="E9" s="467"/>
      <c r="F9" s="467"/>
      <c r="G9" s="467"/>
      <c r="H9" s="467"/>
      <c r="I9" s="467"/>
      <c r="J9" s="467"/>
      <c r="K9" s="1670">
        <f t="shared" si="0"/>
        <v>0</v>
      </c>
      <c r="L9" s="466"/>
    </row>
    <row r="10" spans="1:14" x14ac:dyDescent="0.2">
      <c r="A10" s="1503" t="s">
        <v>722</v>
      </c>
      <c r="B10" s="614">
        <v>1250</v>
      </c>
      <c r="C10" s="466">
        <v>582325</v>
      </c>
      <c r="D10" s="466">
        <v>45446</v>
      </c>
      <c r="E10" s="466"/>
      <c r="F10" s="466"/>
      <c r="G10" s="466"/>
      <c r="H10" s="466"/>
      <c r="I10" s="467"/>
      <c r="J10" s="467"/>
      <c r="K10" s="1670">
        <f t="shared" si="0"/>
        <v>627771</v>
      </c>
      <c r="L10" s="466">
        <v>523000</v>
      </c>
    </row>
    <row r="11" spans="1:14" x14ac:dyDescent="0.2">
      <c r="A11" s="1503" t="s">
        <v>1130</v>
      </c>
      <c r="B11" s="614" t="s">
        <v>161</v>
      </c>
      <c r="C11" s="467"/>
      <c r="D11" s="467"/>
      <c r="E11" s="467"/>
      <c r="F11" s="467"/>
      <c r="G11" s="467"/>
      <c r="H11" s="467"/>
      <c r="I11" s="467"/>
      <c r="J11" s="467"/>
      <c r="K11" s="1670">
        <f t="shared" si="0"/>
        <v>0</v>
      </c>
      <c r="L11" s="466"/>
    </row>
    <row r="12" spans="1:14" x14ac:dyDescent="0.2">
      <c r="A12" s="1503" t="s">
        <v>962</v>
      </c>
      <c r="B12" s="614">
        <v>1300</v>
      </c>
      <c r="C12" s="466"/>
      <c r="D12" s="466"/>
      <c r="E12" s="466"/>
      <c r="F12" s="466"/>
      <c r="G12" s="466"/>
      <c r="H12" s="466"/>
      <c r="I12" s="467"/>
      <c r="J12" s="467"/>
      <c r="K12" s="1670">
        <f t="shared" si="0"/>
        <v>0</v>
      </c>
      <c r="L12" s="466"/>
    </row>
    <row r="13" spans="1:14" x14ac:dyDescent="0.2">
      <c r="A13" s="1503" t="s">
        <v>723</v>
      </c>
      <c r="B13" s="614">
        <v>1400</v>
      </c>
      <c r="C13" s="466"/>
      <c r="D13" s="466"/>
      <c r="E13" s="466"/>
      <c r="F13" s="466"/>
      <c r="G13" s="466"/>
      <c r="H13" s="466"/>
      <c r="I13" s="467"/>
      <c r="J13" s="467"/>
      <c r="K13" s="1670">
        <f t="shared" si="0"/>
        <v>0</v>
      </c>
      <c r="L13" s="466"/>
    </row>
    <row r="14" spans="1:14" x14ac:dyDescent="0.2">
      <c r="A14" s="1503" t="s">
        <v>963</v>
      </c>
      <c r="B14" s="614">
        <v>1500</v>
      </c>
      <c r="C14" s="466">
        <v>410800</v>
      </c>
      <c r="D14" s="466">
        <v>29199</v>
      </c>
      <c r="E14" s="466">
        <v>11916</v>
      </c>
      <c r="F14" s="466">
        <v>12819</v>
      </c>
      <c r="G14" s="466">
        <v>2718</v>
      </c>
      <c r="H14" s="466">
        <v>4250</v>
      </c>
      <c r="I14" s="467"/>
      <c r="J14" s="467"/>
      <c r="K14" s="1670">
        <f t="shared" si="0"/>
        <v>471702</v>
      </c>
      <c r="L14" s="466">
        <v>590578</v>
      </c>
    </row>
    <row r="15" spans="1:14" x14ac:dyDescent="0.2">
      <c r="A15" s="1503" t="s">
        <v>964</v>
      </c>
      <c r="B15" s="614">
        <v>1600</v>
      </c>
      <c r="C15" s="466">
        <v>130705</v>
      </c>
      <c r="D15" s="466">
        <v>1088</v>
      </c>
      <c r="E15" s="466"/>
      <c r="F15" s="466"/>
      <c r="G15" s="466"/>
      <c r="H15" s="466"/>
      <c r="I15" s="467"/>
      <c r="J15" s="467"/>
      <c r="K15" s="1670">
        <f t="shared" si="0"/>
        <v>131793</v>
      </c>
      <c r="L15" s="466">
        <v>135884</v>
      </c>
    </row>
    <row r="16" spans="1:14" x14ac:dyDescent="0.2">
      <c r="A16" s="1503" t="s">
        <v>987</v>
      </c>
      <c r="B16" s="614" t="s">
        <v>424</v>
      </c>
      <c r="C16" s="466">
        <v>325277</v>
      </c>
      <c r="D16" s="466">
        <v>18692</v>
      </c>
      <c r="E16" s="466"/>
      <c r="F16" s="466">
        <v>2595</v>
      </c>
      <c r="G16" s="466"/>
      <c r="H16" s="466">
        <v>313</v>
      </c>
      <c r="I16" s="467"/>
      <c r="J16" s="467"/>
      <c r="K16" s="1670">
        <f t="shared" si="0"/>
        <v>346877</v>
      </c>
      <c r="L16" s="466">
        <v>244800</v>
      </c>
    </row>
    <row r="17" spans="1:12" x14ac:dyDescent="0.2">
      <c r="A17" s="1503" t="s">
        <v>724</v>
      </c>
      <c r="B17" s="614" t="s">
        <v>162</v>
      </c>
      <c r="C17" s="467"/>
      <c r="D17" s="467"/>
      <c r="E17" s="467"/>
      <c r="F17" s="467"/>
      <c r="G17" s="467"/>
      <c r="H17" s="467"/>
      <c r="I17" s="467"/>
      <c r="J17" s="467"/>
      <c r="K17" s="1670">
        <f t="shared" si="0"/>
        <v>0</v>
      </c>
      <c r="L17" s="466"/>
    </row>
    <row r="18" spans="1:12" x14ac:dyDescent="0.2">
      <c r="A18" s="1503" t="s">
        <v>1087</v>
      </c>
      <c r="B18" s="614">
        <v>1800</v>
      </c>
      <c r="C18" s="466">
        <v>278054</v>
      </c>
      <c r="D18" s="466"/>
      <c r="E18" s="466"/>
      <c r="F18" s="466">
        <v>5396</v>
      </c>
      <c r="G18" s="466"/>
      <c r="H18" s="466"/>
      <c r="I18" s="467"/>
      <c r="J18" s="467"/>
      <c r="K18" s="1670">
        <f t="shared" si="0"/>
        <v>283450</v>
      </c>
      <c r="L18" s="466">
        <v>403600</v>
      </c>
    </row>
    <row r="19" spans="1:12" x14ac:dyDescent="0.2">
      <c r="A19" s="1503" t="s">
        <v>134</v>
      </c>
      <c r="B19" s="614">
        <v>1900</v>
      </c>
      <c r="C19" s="466">
        <v>93694</v>
      </c>
      <c r="D19" s="466">
        <v>29194</v>
      </c>
      <c r="E19" s="466"/>
      <c r="F19" s="466"/>
      <c r="G19" s="466"/>
      <c r="H19" s="466"/>
      <c r="I19" s="467"/>
      <c r="J19" s="467"/>
      <c r="K19" s="1670">
        <f t="shared" si="0"/>
        <v>122888</v>
      </c>
      <c r="L19" s="466">
        <v>121100</v>
      </c>
    </row>
    <row r="20" spans="1:12" x14ac:dyDescent="0.2">
      <c r="A20" s="1504" t="s">
        <v>738</v>
      </c>
      <c r="B20" s="602" t="s">
        <v>725</v>
      </c>
      <c r="C20" s="477"/>
      <c r="D20" s="477"/>
      <c r="E20" s="477"/>
      <c r="F20" s="477"/>
      <c r="G20" s="477"/>
      <c r="H20" s="474"/>
      <c r="I20" s="616"/>
      <c r="J20" s="475"/>
      <c r="K20" s="1670">
        <f t="shared" si="0"/>
        <v>0</v>
      </c>
      <c r="L20" s="471"/>
    </row>
    <row r="21" spans="1:12" x14ac:dyDescent="0.2">
      <c r="A21" s="1504" t="s">
        <v>739</v>
      </c>
      <c r="B21" s="602" t="s">
        <v>726</v>
      </c>
      <c r="C21" s="477"/>
      <c r="D21" s="477"/>
      <c r="E21" s="477"/>
      <c r="F21" s="477"/>
      <c r="G21" s="477"/>
      <c r="H21" s="474"/>
      <c r="I21" s="616"/>
      <c r="J21" s="477"/>
      <c r="K21" s="1670">
        <f t="shared" si="0"/>
        <v>0</v>
      </c>
      <c r="L21" s="471"/>
    </row>
    <row r="22" spans="1:12" x14ac:dyDescent="0.2">
      <c r="A22" s="1504" t="s">
        <v>740</v>
      </c>
      <c r="B22" s="602" t="s">
        <v>727</v>
      </c>
      <c r="C22" s="477"/>
      <c r="D22" s="477"/>
      <c r="E22" s="477"/>
      <c r="F22" s="477"/>
      <c r="G22" s="477"/>
      <c r="H22" s="474"/>
      <c r="I22" s="616"/>
      <c r="J22" s="477"/>
      <c r="K22" s="1670">
        <f t="shared" si="0"/>
        <v>0</v>
      </c>
      <c r="L22" s="471"/>
    </row>
    <row r="23" spans="1:12" x14ac:dyDescent="0.2">
      <c r="A23" s="1504" t="s">
        <v>741</v>
      </c>
      <c r="B23" s="602" t="s">
        <v>728</v>
      </c>
      <c r="C23" s="477"/>
      <c r="D23" s="477"/>
      <c r="E23" s="477"/>
      <c r="F23" s="477"/>
      <c r="G23" s="477"/>
      <c r="H23" s="474"/>
      <c r="I23" s="616"/>
      <c r="J23" s="477"/>
      <c r="K23" s="1670">
        <f t="shared" si="0"/>
        <v>0</v>
      </c>
      <c r="L23" s="471"/>
    </row>
    <row r="24" spans="1:12" ht="12.75" customHeight="1" x14ac:dyDescent="0.2">
      <c r="A24" s="1504" t="s">
        <v>742</v>
      </c>
      <c r="B24" s="602" t="s">
        <v>729</v>
      </c>
      <c r="C24" s="477"/>
      <c r="D24" s="477"/>
      <c r="E24" s="477"/>
      <c r="F24" s="477"/>
      <c r="G24" s="477"/>
      <c r="H24" s="474"/>
      <c r="I24" s="616"/>
      <c r="J24" s="477"/>
      <c r="K24" s="1670">
        <f t="shared" si="0"/>
        <v>0</v>
      </c>
      <c r="L24" s="471"/>
    </row>
    <row r="25" spans="1:12" ht="12.75" customHeight="1" x14ac:dyDescent="0.2">
      <c r="A25" s="1504" t="s">
        <v>802</v>
      </c>
      <c r="B25" s="602" t="s">
        <v>730</v>
      </c>
      <c r="C25" s="477"/>
      <c r="D25" s="477"/>
      <c r="E25" s="477"/>
      <c r="F25" s="477"/>
      <c r="G25" s="477"/>
      <c r="H25" s="474"/>
      <c r="I25" s="616"/>
      <c r="J25" s="477"/>
      <c r="K25" s="1670">
        <f t="shared" si="0"/>
        <v>0</v>
      </c>
      <c r="L25" s="471"/>
    </row>
    <row r="26" spans="1:12" x14ac:dyDescent="0.2">
      <c r="A26" s="1504" t="s">
        <v>622</v>
      </c>
      <c r="B26" s="602" t="s">
        <v>731</v>
      </c>
      <c r="C26" s="477"/>
      <c r="D26" s="477"/>
      <c r="E26" s="477"/>
      <c r="F26" s="477"/>
      <c r="G26" s="477"/>
      <c r="H26" s="474"/>
      <c r="I26" s="616"/>
      <c r="J26" s="477"/>
      <c r="K26" s="1670">
        <f t="shared" si="0"/>
        <v>0</v>
      </c>
      <c r="L26" s="471"/>
    </row>
    <row r="27" spans="1:12" x14ac:dyDescent="0.2">
      <c r="A27" s="1504" t="s">
        <v>623</v>
      </c>
      <c r="B27" s="602" t="s">
        <v>732</v>
      </c>
      <c r="C27" s="477"/>
      <c r="D27" s="477"/>
      <c r="E27" s="477"/>
      <c r="F27" s="477"/>
      <c r="G27" s="477"/>
      <c r="H27" s="474"/>
      <c r="I27" s="616"/>
      <c r="J27" s="477"/>
      <c r="K27" s="1670">
        <f t="shared" si="0"/>
        <v>0</v>
      </c>
      <c r="L27" s="471"/>
    </row>
    <row r="28" spans="1:12" x14ac:dyDescent="0.2">
      <c r="A28" s="1504" t="s">
        <v>150</v>
      </c>
      <c r="B28" s="602" t="s">
        <v>733</v>
      </c>
      <c r="C28" s="477"/>
      <c r="D28" s="477"/>
      <c r="E28" s="477"/>
      <c r="F28" s="477"/>
      <c r="G28" s="477"/>
      <c r="H28" s="474"/>
      <c r="I28" s="616"/>
      <c r="J28" s="477"/>
      <c r="K28" s="1670">
        <f t="shared" si="0"/>
        <v>0</v>
      </c>
      <c r="L28" s="471"/>
    </row>
    <row r="29" spans="1:12" x14ac:dyDescent="0.2">
      <c r="A29" s="1504" t="s">
        <v>151</v>
      </c>
      <c r="B29" s="602" t="s">
        <v>734</v>
      </c>
      <c r="C29" s="477"/>
      <c r="D29" s="477"/>
      <c r="E29" s="477"/>
      <c r="F29" s="477"/>
      <c r="G29" s="477"/>
      <c r="H29" s="474"/>
      <c r="I29" s="616"/>
      <c r="J29" s="477"/>
      <c r="K29" s="1670">
        <f t="shared" si="0"/>
        <v>0</v>
      </c>
      <c r="L29" s="471"/>
    </row>
    <row r="30" spans="1:12" x14ac:dyDescent="0.2">
      <c r="A30" s="1504" t="s">
        <v>152</v>
      </c>
      <c r="B30" s="602" t="s">
        <v>735</v>
      </c>
      <c r="C30" s="477"/>
      <c r="D30" s="477"/>
      <c r="E30" s="477"/>
      <c r="F30" s="477"/>
      <c r="G30" s="477"/>
      <c r="H30" s="474"/>
      <c r="I30" s="616"/>
      <c r="J30" s="477"/>
      <c r="K30" s="1670">
        <f t="shared" si="0"/>
        <v>0</v>
      </c>
      <c r="L30" s="471"/>
    </row>
    <row r="31" spans="1:12" x14ac:dyDescent="0.2">
      <c r="A31" s="1504" t="s">
        <v>153</v>
      </c>
      <c r="B31" s="602" t="s">
        <v>736</v>
      </c>
      <c r="C31" s="477"/>
      <c r="D31" s="477"/>
      <c r="E31" s="477"/>
      <c r="F31" s="477"/>
      <c r="G31" s="477"/>
      <c r="H31" s="474"/>
      <c r="I31" s="616"/>
      <c r="J31" s="477"/>
      <c r="K31" s="1670">
        <f t="shared" si="0"/>
        <v>0</v>
      </c>
      <c r="L31" s="471"/>
    </row>
    <row r="32" spans="1:12" x14ac:dyDescent="0.2">
      <c r="A32" s="1505"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21137181</v>
      </c>
      <c r="D33" s="1669">
        <f t="shared" ref="D33:L33" si="1">SUM(D5:D32)</f>
        <v>3560891</v>
      </c>
      <c r="E33" s="1669">
        <f t="shared" si="1"/>
        <v>511313</v>
      </c>
      <c r="F33" s="1669">
        <f t="shared" si="1"/>
        <v>945921</v>
      </c>
      <c r="G33" s="1669">
        <f t="shared" si="1"/>
        <v>26686</v>
      </c>
      <c r="H33" s="1669">
        <f t="shared" si="1"/>
        <v>4563</v>
      </c>
      <c r="I33" s="1669">
        <f t="shared" si="1"/>
        <v>0</v>
      </c>
      <c r="J33" s="1669">
        <f t="shared" si="1"/>
        <v>0</v>
      </c>
      <c r="K33" s="1669">
        <f t="shared" si="1"/>
        <v>26186555</v>
      </c>
      <c r="L33" s="1669">
        <f t="shared" si="1"/>
        <v>28404435</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512066</v>
      </c>
      <c r="D36" s="481">
        <v>70668</v>
      </c>
      <c r="E36" s="481">
        <v>76</v>
      </c>
      <c r="F36" s="481"/>
      <c r="G36" s="481"/>
      <c r="H36" s="481"/>
      <c r="I36" s="467"/>
      <c r="J36" s="467"/>
      <c r="K36" s="1670">
        <f t="shared" ref="K36:K41" si="2">SUM(C36:J36)</f>
        <v>582810</v>
      </c>
      <c r="L36" s="466">
        <v>513200</v>
      </c>
    </row>
    <row r="37" spans="1:14" x14ac:dyDescent="0.2">
      <c r="A37" s="1503" t="s">
        <v>1090</v>
      </c>
      <c r="B37" s="614">
        <v>2120</v>
      </c>
      <c r="C37" s="466">
        <v>429549</v>
      </c>
      <c r="D37" s="466"/>
      <c r="E37" s="466"/>
      <c r="F37" s="466"/>
      <c r="G37" s="466"/>
      <c r="H37" s="466"/>
      <c r="I37" s="467"/>
      <c r="J37" s="467"/>
      <c r="K37" s="1670">
        <f t="shared" si="2"/>
        <v>429549</v>
      </c>
      <c r="L37" s="466">
        <v>421858</v>
      </c>
    </row>
    <row r="38" spans="1:14" x14ac:dyDescent="0.2">
      <c r="A38" s="1503" t="s">
        <v>198</v>
      </c>
      <c r="B38" s="614">
        <v>2130</v>
      </c>
      <c r="C38" s="466">
        <v>340540</v>
      </c>
      <c r="D38" s="466">
        <v>43663</v>
      </c>
      <c r="E38" s="466">
        <v>77898</v>
      </c>
      <c r="F38" s="466">
        <v>30693</v>
      </c>
      <c r="G38" s="466">
        <v>49295</v>
      </c>
      <c r="H38" s="466"/>
      <c r="I38" s="467"/>
      <c r="J38" s="467"/>
      <c r="K38" s="1670">
        <f t="shared" si="2"/>
        <v>542089</v>
      </c>
      <c r="L38" s="466">
        <v>456352</v>
      </c>
    </row>
    <row r="39" spans="1:14" x14ac:dyDescent="0.2">
      <c r="A39" s="1503" t="s">
        <v>199</v>
      </c>
      <c r="B39" s="614">
        <v>2140</v>
      </c>
      <c r="C39" s="466">
        <v>311370</v>
      </c>
      <c r="D39" s="466">
        <v>36868</v>
      </c>
      <c r="E39" s="466">
        <v>56999</v>
      </c>
      <c r="F39" s="466">
        <v>3334</v>
      </c>
      <c r="G39" s="466"/>
      <c r="H39" s="466"/>
      <c r="I39" s="467"/>
      <c r="J39" s="467"/>
      <c r="K39" s="1670">
        <f t="shared" si="2"/>
        <v>408571</v>
      </c>
      <c r="L39" s="466">
        <v>427350</v>
      </c>
    </row>
    <row r="40" spans="1:14" x14ac:dyDescent="0.2">
      <c r="A40" s="1503" t="s">
        <v>200</v>
      </c>
      <c r="B40" s="614">
        <v>2150</v>
      </c>
      <c r="C40" s="466">
        <v>1017983</v>
      </c>
      <c r="D40" s="466">
        <v>90547</v>
      </c>
      <c r="E40" s="466">
        <v>9507</v>
      </c>
      <c r="F40" s="466">
        <v>5217</v>
      </c>
      <c r="G40" s="466"/>
      <c r="H40" s="466"/>
      <c r="I40" s="467"/>
      <c r="J40" s="467"/>
      <c r="K40" s="1670">
        <f t="shared" si="2"/>
        <v>1123254</v>
      </c>
      <c r="L40" s="466">
        <v>981300</v>
      </c>
    </row>
    <row r="41" spans="1:14" x14ac:dyDescent="0.2">
      <c r="A41" s="1503" t="s">
        <v>1669</v>
      </c>
      <c r="B41" s="614">
        <v>2190</v>
      </c>
      <c r="C41" s="466">
        <v>454083</v>
      </c>
      <c r="D41" s="466">
        <v>10168</v>
      </c>
      <c r="E41" s="466">
        <v>324</v>
      </c>
      <c r="F41" s="466"/>
      <c r="G41" s="466"/>
      <c r="H41" s="466"/>
      <c r="I41" s="467"/>
      <c r="J41" s="467"/>
      <c r="K41" s="1670">
        <f t="shared" si="2"/>
        <v>464575</v>
      </c>
      <c r="L41" s="466">
        <v>439100</v>
      </c>
    </row>
    <row r="42" spans="1:14" ht="12.75" customHeight="1" thickBot="1" x14ac:dyDescent="0.25">
      <c r="A42" s="1667" t="s">
        <v>560</v>
      </c>
      <c r="B42" s="1668" t="s">
        <v>716</v>
      </c>
      <c r="C42" s="1669">
        <f>SUM(C36:C41)</f>
        <v>3065591</v>
      </c>
      <c r="D42" s="1669">
        <f t="shared" ref="D42:L42" si="3">SUM(D36:D41)</f>
        <v>251914</v>
      </c>
      <c r="E42" s="1669">
        <f t="shared" si="3"/>
        <v>144804</v>
      </c>
      <c r="F42" s="1669">
        <f t="shared" si="3"/>
        <v>39244</v>
      </c>
      <c r="G42" s="1669">
        <f t="shared" si="3"/>
        <v>49295</v>
      </c>
      <c r="H42" s="1669">
        <f t="shared" si="3"/>
        <v>0</v>
      </c>
      <c r="I42" s="1669">
        <f t="shared" si="3"/>
        <v>0</v>
      </c>
      <c r="J42" s="1669">
        <f t="shared" si="3"/>
        <v>0</v>
      </c>
      <c r="K42" s="1669">
        <f t="shared" si="3"/>
        <v>3550848</v>
      </c>
      <c r="L42" s="1669">
        <f t="shared" si="3"/>
        <v>3239160</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424108</v>
      </c>
      <c r="D44" s="481">
        <v>1552</v>
      </c>
      <c r="E44" s="481">
        <v>258947</v>
      </c>
      <c r="F44" s="481">
        <v>7018</v>
      </c>
      <c r="G44" s="481"/>
      <c r="H44" s="481">
        <v>638</v>
      </c>
      <c r="I44" s="467"/>
      <c r="J44" s="467"/>
      <c r="K44" s="1671">
        <f>SUM(C44:J44)</f>
        <v>692263</v>
      </c>
      <c r="L44" s="481">
        <v>551919</v>
      </c>
    </row>
    <row r="45" spans="1:14" x14ac:dyDescent="0.2">
      <c r="A45" s="1503" t="s">
        <v>815</v>
      </c>
      <c r="B45" s="614">
        <v>2220</v>
      </c>
      <c r="C45" s="466">
        <v>1099137</v>
      </c>
      <c r="D45" s="466">
        <v>137506</v>
      </c>
      <c r="E45" s="466">
        <v>327430</v>
      </c>
      <c r="F45" s="466">
        <v>128576</v>
      </c>
      <c r="G45" s="466">
        <v>853048</v>
      </c>
      <c r="H45" s="466"/>
      <c r="I45" s="467"/>
      <c r="J45" s="467"/>
      <c r="K45" s="1671">
        <f>SUM(C45:J45)</f>
        <v>2545697</v>
      </c>
      <c r="L45" s="466">
        <v>2389631</v>
      </c>
    </row>
    <row r="46" spans="1:14" x14ac:dyDescent="0.2">
      <c r="A46" s="1503" t="s">
        <v>816</v>
      </c>
      <c r="B46" s="614">
        <v>2230</v>
      </c>
      <c r="C46" s="466"/>
      <c r="D46" s="466"/>
      <c r="E46" s="466"/>
      <c r="F46" s="466">
        <v>1865</v>
      </c>
      <c r="G46" s="466"/>
      <c r="H46" s="466"/>
      <c r="I46" s="467"/>
      <c r="J46" s="467"/>
      <c r="K46" s="1671">
        <f>SUM(C46:J46)</f>
        <v>1865</v>
      </c>
      <c r="L46" s="466">
        <v>1865</v>
      </c>
    </row>
    <row r="47" spans="1:14" ht="12.75" customHeight="1" thickBot="1" x14ac:dyDescent="0.25">
      <c r="A47" s="1667" t="s">
        <v>561</v>
      </c>
      <c r="B47" s="1668" t="s">
        <v>32</v>
      </c>
      <c r="C47" s="1669">
        <f>SUM(C44:C46)</f>
        <v>1523245</v>
      </c>
      <c r="D47" s="1669">
        <f t="shared" ref="D47:K47" si="4">SUM(D44:D46)</f>
        <v>139058</v>
      </c>
      <c r="E47" s="1669">
        <f t="shared" si="4"/>
        <v>586377</v>
      </c>
      <c r="F47" s="1669">
        <f t="shared" si="4"/>
        <v>137459</v>
      </c>
      <c r="G47" s="1669">
        <f t="shared" si="4"/>
        <v>853048</v>
      </c>
      <c r="H47" s="1669">
        <f t="shared" si="4"/>
        <v>638</v>
      </c>
      <c r="I47" s="1669">
        <f t="shared" si="4"/>
        <v>0</v>
      </c>
      <c r="J47" s="1669">
        <f t="shared" si="4"/>
        <v>0</v>
      </c>
      <c r="K47" s="1669">
        <f t="shared" si="4"/>
        <v>3239825</v>
      </c>
      <c r="L47" s="1669">
        <f>SUM(L44:L46)</f>
        <v>2943415</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19698</v>
      </c>
      <c r="D49" s="481"/>
      <c r="E49" s="481">
        <v>135414</v>
      </c>
      <c r="F49" s="481">
        <v>1106</v>
      </c>
      <c r="G49" s="481"/>
      <c r="H49" s="481">
        <v>2120</v>
      </c>
      <c r="I49" s="467"/>
      <c r="J49" s="467"/>
      <c r="K49" s="1671">
        <f>SUM(C49:J49)</f>
        <v>158338</v>
      </c>
      <c r="L49" s="481">
        <v>127700</v>
      </c>
    </row>
    <row r="50" spans="1:14" x14ac:dyDescent="0.2">
      <c r="A50" s="1503" t="s">
        <v>818</v>
      </c>
      <c r="B50" s="614">
        <v>2320</v>
      </c>
      <c r="C50" s="466">
        <v>310444</v>
      </c>
      <c r="D50" s="466">
        <v>36704</v>
      </c>
      <c r="E50" s="466">
        <v>2020</v>
      </c>
      <c r="F50" s="466">
        <v>3812</v>
      </c>
      <c r="G50" s="466"/>
      <c r="H50" s="466">
        <v>150</v>
      </c>
      <c r="I50" s="467"/>
      <c r="J50" s="467"/>
      <c r="K50" s="1671">
        <f>SUM(C50:J50)</f>
        <v>353130</v>
      </c>
      <c r="L50" s="466">
        <v>320350</v>
      </c>
    </row>
    <row r="51" spans="1:14" x14ac:dyDescent="0.2">
      <c r="A51" s="1503" t="s">
        <v>42</v>
      </c>
      <c r="B51" s="614">
        <v>2330</v>
      </c>
      <c r="C51" s="466">
        <v>475909</v>
      </c>
      <c r="D51" s="466">
        <v>26832</v>
      </c>
      <c r="E51" s="466">
        <v>305</v>
      </c>
      <c r="F51" s="466">
        <v>3432</v>
      </c>
      <c r="G51" s="466"/>
      <c r="H51" s="466">
        <v>180</v>
      </c>
      <c r="I51" s="467"/>
      <c r="J51" s="467"/>
      <c r="K51" s="1671">
        <f>SUM(C51:J51)</f>
        <v>506658</v>
      </c>
      <c r="L51" s="466">
        <v>532360</v>
      </c>
    </row>
    <row r="52" spans="1:14" ht="22.5" x14ac:dyDescent="0.2">
      <c r="A52" s="1504"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806051</v>
      </c>
      <c r="D53" s="1669">
        <f t="shared" ref="D53:L53" si="5">SUM(D49:D52)</f>
        <v>63536</v>
      </c>
      <c r="E53" s="1669">
        <f t="shared" si="5"/>
        <v>137739</v>
      </c>
      <c r="F53" s="1669">
        <f t="shared" si="5"/>
        <v>8350</v>
      </c>
      <c r="G53" s="1669">
        <f t="shared" si="5"/>
        <v>0</v>
      </c>
      <c r="H53" s="1669">
        <f t="shared" si="5"/>
        <v>2450</v>
      </c>
      <c r="I53" s="1669">
        <f t="shared" si="5"/>
        <v>0</v>
      </c>
      <c r="J53" s="1669">
        <f t="shared" si="5"/>
        <v>0</v>
      </c>
      <c r="K53" s="1669">
        <f t="shared" si="5"/>
        <v>1018126</v>
      </c>
      <c r="L53" s="1669">
        <f t="shared" si="5"/>
        <v>980410</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1512749</v>
      </c>
      <c r="D55" s="481">
        <v>301168</v>
      </c>
      <c r="E55" s="481"/>
      <c r="F55" s="481"/>
      <c r="G55" s="481"/>
      <c r="H55" s="481">
        <v>3391</v>
      </c>
      <c r="I55" s="467"/>
      <c r="J55" s="467"/>
      <c r="K55" s="1671">
        <f>SUM(C55:J55)</f>
        <v>1817308</v>
      </c>
      <c r="L55" s="481">
        <v>1516500</v>
      </c>
    </row>
    <row r="56" spans="1:14" ht="12.75" customHeight="1" x14ac:dyDescent="0.2">
      <c r="A56" s="1507"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1512749</v>
      </c>
      <c r="D57" s="1673">
        <f t="shared" ref="D57:K57" si="6">SUM(D55:D56)</f>
        <v>301168</v>
      </c>
      <c r="E57" s="1673">
        <f t="shared" si="6"/>
        <v>0</v>
      </c>
      <c r="F57" s="1673">
        <f t="shared" si="6"/>
        <v>0</v>
      </c>
      <c r="G57" s="1673">
        <f t="shared" si="6"/>
        <v>0</v>
      </c>
      <c r="H57" s="1673">
        <f t="shared" si="6"/>
        <v>3391</v>
      </c>
      <c r="I57" s="1673">
        <f t="shared" si="6"/>
        <v>0</v>
      </c>
      <c r="J57" s="1673">
        <f t="shared" si="6"/>
        <v>0</v>
      </c>
      <c r="K57" s="1673">
        <f t="shared" si="6"/>
        <v>1817308</v>
      </c>
      <c r="L57" s="1669">
        <f>SUM(L55:L56)</f>
        <v>1516500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463</v>
      </c>
      <c r="B60" s="614">
        <v>2520</v>
      </c>
      <c r="C60" s="466">
        <v>379688</v>
      </c>
      <c r="D60" s="466">
        <v>56220</v>
      </c>
      <c r="E60" s="466">
        <v>19208</v>
      </c>
      <c r="F60" s="466">
        <v>5938</v>
      </c>
      <c r="G60" s="466"/>
      <c r="H60" s="466">
        <v>500</v>
      </c>
      <c r="I60" s="467"/>
      <c r="J60" s="467"/>
      <c r="K60" s="1671">
        <f t="shared" si="7"/>
        <v>461554</v>
      </c>
      <c r="L60" s="466">
        <v>398315</v>
      </c>
      <c r="M60" s="609"/>
      <c r="N60" s="609"/>
    </row>
    <row r="61" spans="1:14" s="343" customFormat="1" x14ac:dyDescent="0.2">
      <c r="A61" s="1503" t="s">
        <v>197</v>
      </c>
      <c r="B61" s="614">
        <v>2540</v>
      </c>
      <c r="C61" s="466">
        <v>16707</v>
      </c>
      <c r="D61" s="466"/>
      <c r="E61" s="466"/>
      <c r="F61" s="466"/>
      <c r="G61" s="466"/>
      <c r="H61" s="466"/>
      <c r="I61" s="467"/>
      <c r="J61" s="467"/>
      <c r="K61" s="1671">
        <f t="shared" si="7"/>
        <v>16707</v>
      </c>
      <c r="L61" s="466">
        <v>15900</v>
      </c>
      <c r="M61" s="609"/>
      <c r="N61" s="609"/>
    </row>
    <row r="62" spans="1:14" s="343" customFormat="1" x14ac:dyDescent="0.2">
      <c r="A62" s="1503" t="s">
        <v>953</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c r="D63" s="466"/>
      <c r="E63" s="466"/>
      <c r="F63" s="466">
        <v>125676</v>
      </c>
      <c r="G63" s="466"/>
      <c r="H63" s="466"/>
      <c r="I63" s="467"/>
      <c r="J63" s="467"/>
      <c r="K63" s="1671">
        <f t="shared" si="7"/>
        <v>125676</v>
      </c>
      <c r="L63" s="466">
        <v>109000</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396395</v>
      </c>
      <c r="D65" s="1669">
        <f t="shared" ref="D65:L65" si="8">SUM(D59:D64)</f>
        <v>56220</v>
      </c>
      <c r="E65" s="1669">
        <f t="shared" si="8"/>
        <v>19208</v>
      </c>
      <c r="F65" s="1669">
        <f t="shared" si="8"/>
        <v>131614</v>
      </c>
      <c r="G65" s="1669">
        <f t="shared" si="8"/>
        <v>0</v>
      </c>
      <c r="H65" s="1669">
        <f t="shared" si="8"/>
        <v>500</v>
      </c>
      <c r="I65" s="1669">
        <f t="shared" si="8"/>
        <v>0</v>
      </c>
      <c r="J65" s="1669">
        <f t="shared" si="8"/>
        <v>0</v>
      </c>
      <c r="K65" s="1669">
        <f t="shared" si="8"/>
        <v>603937</v>
      </c>
      <c r="L65" s="1669">
        <f t="shared" si="8"/>
        <v>523215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v>6582</v>
      </c>
      <c r="F67" s="466">
        <v>1234</v>
      </c>
      <c r="G67" s="466"/>
      <c r="H67" s="466"/>
      <c r="I67" s="467"/>
      <c r="J67" s="467"/>
      <c r="K67" s="1671">
        <f>SUM(C67:J67)</f>
        <v>7816</v>
      </c>
      <c r="L67" s="481">
        <v>13000</v>
      </c>
      <c r="M67" s="609"/>
      <c r="N67" s="609"/>
    </row>
    <row r="68" spans="1:14" s="343" customFormat="1" x14ac:dyDescent="0.2">
      <c r="A68" s="1503" t="s">
        <v>607</v>
      </c>
      <c r="B68" s="614">
        <v>2620</v>
      </c>
      <c r="C68" s="466"/>
      <c r="D68" s="466"/>
      <c r="E68" s="466"/>
      <c r="F68" s="466"/>
      <c r="G68" s="466"/>
      <c r="H68" s="466"/>
      <c r="I68" s="467"/>
      <c r="J68" s="467"/>
      <c r="K68" s="1671">
        <f>SUM(C68:J68)</f>
        <v>0</v>
      </c>
      <c r="L68" s="466"/>
      <c r="M68" s="609"/>
      <c r="N68" s="609"/>
    </row>
    <row r="69" spans="1:14" s="343" customFormat="1" x14ac:dyDescent="0.2">
      <c r="A69" s="1503" t="s">
        <v>1061</v>
      </c>
      <c r="B69" s="614">
        <v>2630</v>
      </c>
      <c r="C69" s="466"/>
      <c r="D69" s="466"/>
      <c r="E69" s="466"/>
      <c r="F69" s="466"/>
      <c r="G69" s="466"/>
      <c r="H69" s="466"/>
      <c r="I69" s="467"/>
      <c r="J69" s="467"/>
      <c r="K69" s="1671">
        <f>SUM(C69:J69)</f>
        <v>0</v>
      </c>
      <c r="L69" s="466">
        <v>1491</v>
      </c>
      <c r="M69" s="609"/>
      <c r="N69" s="609"/>
    </row>
    <row r="70" spans="1:14" s="343" customFormat="1" x14ac:dyDescent="0.2">
      <c r="A70" s="1503" t="s">
        <v>403</v>
      </c>
      <c r="B70" s="614">
        <v>2640</v>
      </c>
      <c r="C70" s="466"/>
      <c r="D70" s="466"/>
      <c r="E70" s="466"/>
      <c r="F70" s="466"/>
      <c r="G70" s="466"/>
      <c r="H70" s="466"/>
      <c r="I70" s="467"/>
      <c r="J70" s="467"/>
      <c r="K70" s="1671">
        <f>SUM(C70:J70)</f>
        <v>0</v>
      </c>
      <c r="L70" s="466"/>
      <c r="M70" s="609"/>
      <c r="N70" s="609"/>
    </row>
    <row r="71" spans="1:14" s="343" customFormat="1" x14ac:dyDescent="0.2">
      <c r="A71" s="1503" t="s">
        <v>404</v>
      </c>
      <c r="B71" s="614">
        <v>2660</v>
      </c>
      <c r="C71" s="466"/>
      <c r="D71" s="466"/>
      <c r="E71" s="466"/>
      <c r="F71" s="466"/>
      <c r="G71" s="466"/>
      <c r="H71" s="466"/>
      <c r="I71" s="467"/>
      <c r="J71" s="467"/>
      <c r="K71" s="1671">
        <f>SUM(C71:J71)</f>
        <v>0</v>
      </c>
      <c r="L71" s="466">
        <v>7970</v>
      </c>
      <c r="M71" s="609"/>
      <c r="N71" s="609"/>
    </row>
    <row r="72" spans="1:14" s="343" customFormat="1" ht="12.75" customHeight="1" thickBot="1" x14ac:dyDescent="0.25">
      <c r="A72" s="1667" t="s">
        <v>37</v>
      </c>
      <c r="B72" s="1674" t="s">
        <v>36</v>
      </c>
      <c r="C72" s="1669">
        <f>SUM(C67:C71)</f>
        <v>0</v>
      </c>
      <c r="D72" s="1669">
        <f t="shared" ref="D72:K72" si="9">SUM(D67:D71)</f>
        <v>0</v>
      </c>
      <c r="E72" s="1669">
        <f t="shared" si="9"/>
        <v>6582</v>
      </c>
      <c r="F72" s="1669">
        <f t="shared" si="9"/>
        <v>1234</v>
      </c>
      <c r="G72" s="1669">
        <f t="shared" si="9"/>
        <v>0</v>
      </c>
      <c r="H72" s="1669">
        <f t="shared" si="9"/>
        <v>0</v>
      </c>
      <c r="I72" s="1669">
        <f t="shared" si="9"/>
        <v>0</v>
      </c>
      <c r="J72" s="1669">
        <f t="shared" si="9"/>
        <v>0</v>
      </c>
      <c r="K72" s="1669">
        <f t="shared" si="9"/>
        <v>7816</v>
      </c>
      <c r="L72" s="1669">
        <f>SUM(L67:L71)</f>
        <v>22461</v>
      </c>
      <c r="M72" s="609"/>
      <c r="N72" s="609"/>
    </row>
    <row r="73" spans="1:14" s="343" customFormat="1" ht="14.25" thickTop="1" thickBot="1" x14ac:dyDescent="0.25">
      <c r="A73" s="1509" t="s">
        <v>980</v>
      </c>
      <c r="B73" s="632" t="s">
        <v>574</v>
      </c>
      <c r="C73" s="573"/>
      <c r="D73" s="573"/>
      <c r="E73" s="573"/>
      <c r="F73" s="573">
        <v>1000</v>
      </c>
      <c r="G73" s="573"/>
      <c r="H73" s="573"/>
      <c r="I73" s="531"/>
      <c r="J73" s="531"/>
      <c r="K73" s="1669">
        <f>SUM(C73:J73)</f>
        <v>1000</v>
      </c>
      <c r="L73" s="576">
        <v>1000</v>
      </c>
      <c r="M73" s="609"/>
      <c r="N73" s="609"/>
    </row>
    <row r="74" spans="1:14" ht="12.75" customHeight="1" thickTop="1" thickBot="1" x14ac:dyDescent="0.25">
      <c r="A74" s="1667" t="s">
        <v>811</v>
      </c>
      <c r="B74" s="1675">
        <v>2000</v>
      </c>
      <c r="C74" s="1676">
        <f>SUM(C42,C47,C53,C57,C65,C72,C73)</f>
        <v>7304031</v>
      </c>
      <c r="D74" s="1676">
        <f t="shared" ref="D74:K74" si="10">SUM(D42,D47,D53,D57,D65,D72,D73)</f>
        <v>811896</v>
      </c>
      <c r="E74" s="1676">
        <f t="shared" si="10"/>
        <v>894710</v>
      </c>
      <c r="F74" s="1676">
        <f t="shared" si="10"/>
        <v>318901</v>
      </c>
      <c r="G74" s="1676">
        <f t="shared" si="10"/>
        <v>902343</v>
      </c>
      <c r="H74" s="1676">
        <f t="shared" si="10"/>
        <v>6979</v>
      </c>
      <c r="I74" s="1676">
        <f t="shared" si="10"/>
        <v>0</v>
      </c>
      <c r="J74" s="1676">
        <f t="shared" si="10"/>
        <v>0</v>
      </c>
      <c r="K74" s="1676">
        <f t="shared" si="10"/>
        <v>10238860</v>
      </c>
      <c r="L74" s="1676">
        <f>SUM(L42,L47,L53,L57,L65,L72,L73)</f>
        <v>9226161</v>
      </c>
    </row>
    <row r="75" spans="1:14" s="259" customFormat="1" ht="15.75" customHeight="1" thickTop="1" thickBot="1" x14ac:dyDescent="0.25">
      <c r="A75" s="1609" t="s">
        <v>47</v>
      </c>
      <c r="B75" s="1610" t="s">
        <v>575</v>
      </c>
      <c r="C75" s="573">
        <v>88294</v>
      </c>
      <c r="D75" s="573">
        <v>6554</v>
      </c>
      <c r="E75" s="573">
        <v>36010</v>
      </c>
      <c r="F75" s="573">
        <v>6132</v>
      </c>
      <c r="G75" s="573"/>
      <c r="H75" s="573"/>
      <c r="I75" s="531"/>
      <c r="J75" s="531"/>
      <c r="K75" s="1669">
        <f>SUM(C75:J75)</f>
        <v>136990</v>
      </c>
      <c r="L75" s="576">
        <v>140508</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row>
    <row r="79" spans="1:14" x14ac:dyDescent="0.2">
      <c r="A79" s="1503" t="s">
        <v>304</v>
      </c>
      <c r="B79" s="614">
        <v>4120</v>
      </c>
      <c r="C79" s="616"/>
      <c r="D79" s="616"/>
      <c r="E79" s="466">
        <v>3483</v>
      </c>
      <c r="F79" s="616"/>
      <c r="G79" s="616"/>
      <c r="H79" s="466">
        <v>1023196</v>
      </c>
      <c r="I79" s="477"/>
      <c r="J79" s="477"/>
      <c r="K79" s="1670">
        <f t="shared" si="11"/>
        <v>1026679</v>
      </c>
      <c r="L79" s="466">
        <v>770000</v>
      </c>
    </row>
    <row r="80" spans="1:14" x14ac:dyDescent="0.2">
      <c r="A80" s="1503" t="s">
        <v>305</v>
      </c>
      <c r="B80" s="614">
        <v>4130</v>
      </c>
      <c r="C80" s="616"/>
      <c r="D80" s="616"/>
      <c r="E80" s="466"/>
      <c r="F80" s="616"/>
      <c r="G80" s="616"/>
      <c r="H80" s="466"/>
      <c r="I80" s="477"/>
      <c r="J80" s="477"/>
      <c r="K80" s="1670">
        <f t="shared" si="11"/>
        <v>0</v>
      </c>
      <c r="L80" s="466"/>
    </row>
    <row r="81" spans="1:12" x14ac:dyDescent="0.2">
      <c r="A81" s="1503" t="s">
        <v>697</v>
      </c>
      <c r="B81" s="614">
        <v>4140</v>
      </c>
      <c r="C81" s="616"/>
      <c r="D81" s="616"/>
      <c r="E81" s="466"/>
      <c r="F81" s="616"/>
      <c r="G81" s="616"/>
      <c r="H81" s="466"/>
      <c r="I81" s="477"/>
      <c r="J81" s="477"/>
      <c r="K81" s="1670">
        <f t="shared" si="11"/>
        <v>0</v>
      </c>
      <c r="L81" s="466"/>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3483</v>
      </c>
      <c r="F84" s="616"/>
      <c r="G84" s="616"/>
      <c r="H84" s="1669">
        <f>SUM(H78:H83)</f>
        <v>1023196</v>
      </c>
      <c r="I84" s="477"/>
      <c r="J84" s="477"/>
      <c r="K84" s="1669">
        <f>SUM(K78:K83)</f>
        <v>1026679</v>
      </c>
      <c r="L84" s="1669">
        <f>SUM(L78:L83)</f>
        <v>770000</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699</v>
      </c>
      <c r="B86" s="637">
        <v>4220</v>
      </c>
      <c r="C86" s="616"/>
      <c r="D86" s="616"/>
      <c r="E86" s="638"/>
      <c r="F86" s="616"/>
      <c r="G86" s="616"/>
      <c r="H86" s="467"/>
      <c r="I86" s="477"/>
      <c r="J86" s="477"/>
      <c r="K86" s="1676">
        <f t="shared" ref="K86:K98" si="12">H86</f>
        <v>0</v>
      </c>
      <c r="L86" s="530"/>
    </row>
    <row r="87" spans="1:12" ht="14.25" thickTop="1" thickBot="1" x14ac:dyDescent="0.25">
      <c r="A87" s="1512" t="s">
        <v>700</v>
      </c>
      <c r="B87" s="639">
        <v>4230</v>
      </c>
      <c r="C87" s="616"/>
      <c r="D87" s="616"/>
      <c r="E87" s="638"/>
      <c r="F87" s="616"/>
      <c r="G87" s="616"/>
      <c r="H87" s="467"/>
      <c r="I87" s="477"/>
      <c r="J87" s="477"/>
      <c r="K87" s="1676">
        <f t="shared" si="12"/>
        <v>0</v>
      </c>
      <c r="L87" s="530"/>
    </row>
    <row r="88" spans="1:12" ht="12.75" customHeight="1" thickTop="1" thickBot="1" x14ac:dyDescent="0.25">
      <c r="A88" s="1512" t="s">
        <v>765</v>
      </c>
      <c r="B88" s="639">
        <v>4240</v>
      </c>
      <c r="C88" s="616"/>
      <c r="D88" s="616"/>
      <c r="E88" s="638"/>
      <c r="F88" s="616"/>
      <c r="G88" s="616"/>
      <c r="H88" s="467"/>
      <c r="I88" s="477"/>
      <c r="J88" s="477"/>
      <c r="K88" s="1676">
        <f t="shared" si="12"/>
        <v>0</v>
      </c>
      <c r="L88" s="530"/>
    </row>
    <row r="89" spans="1:12" ht="12.75" customHeight="1" thickTop="1" thickBot="1" x14ac:dyDescent="0.25">
      <c r="A89" s="1512" t="s">
        <v>701</v>
      </c>
      <c r="B89" s="639">
        <v>4270</v>
      </c>
      <c r="C89" s="616"/>
      <c r="D89" s="616"/>
      <c r="E89" s="638"/>
      <c r="F89" s="616"/>
      <c r="G89" s="616"/>
      <c r="H89" s="467"/>
      <c r="I89" s="477"/>
      <c r="J89" s="477"/>
      <c r="K89" s="1676">
        <f t="shared" si="12"/>
        <v>0</v>
      </c>
      <c r="L89" s="530"/>
    </row>
    <row r="90" spans="1:12" ht="12.75" customHeight="1" thickTop="1" thickBot="1" x14ac:dyDescent="0.25">
      <c r="A90" s="1512" t="s">
        <v>686</v>
      </c>
      <c r="B90" s="639">
        <v>4280</v>
      </c>
      <c r="C90" s="616"/>
      <c r="D90" s="616"/>
      <c r="E90" s="638"/>
      <c r="F90" s="616"/>
      <c r="G90" s="616"/>
      <c r="H90" s="467"/>
      <c r="I90" s="477"/>
      <c r="J90" s="477"/>
      <c r="K90" s="1676">
        <f t="shared" si="12"/>
        <v>0</v>
      </c>
      <c r="L90" s="530"/>
    </row>
    <row r="91" spans="1:12" ht="12.75" customHeight="1" thickTop="1" thickBot="1" x14ac:dyDescent="0.25">
      <c r="A91" s="1512"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1" t="s">
        <v>688</v>
      </c>
      <c r="B93" s="640">
        <v>4310</v>
      </c>
      <c r="C93" s="616"/>
      <c r="D93" s="616"/>
      <c r="E93" s="638"/>
      <c r="F93" s="616"/>
      <c r="G93" s="616"/>
      <c r="H93" s="641"/>
      <c r="I93" s="477"/>
      <c r="J93" s="477"/>
      <c r="K93" s="1676">
        <f t="shared" si="12"/>
        <v>0</v>
      </c>
      <c r="L93" s="532"/>
    </row>
    <row r="94" spans="1:12" ht="12.75" customHeight="1" thickTop="1" thickBot="1" x14ac:dyDescent="0.25">
      <c r="A94" s="1512" t="s">
        <v>689</v>
      </c>
      <c r="B94" s="639">
        <v>4320</v>
      </c>
      <c r="C94" s="616"/>
      <c r="D94" s="616"/>
      <c r="E94" s="638"/>
      <c r="F94" s="616"/>
      <c r="G94" s="616"/>
      <c r="H94" s="467"/>
      <c r="I94" s="477"/>
      <c r="J94" s="477"/>
      <c r="K94" s="1676">
        <f t="shared" si="12"/>
        <v>0</v>
      </c>
      <c r="L94" s="530"/>
    </row>
    <row r="95" spans="1:12" ht="15" customHeight="1" thickTop="1" thickBot="1" x14ac:dyDescent="0.25">
      <c r="A95" s="1512" t="s">
        <v>1488</v>
      </c>
      <c r="B95" s="639">
        <v>4330</v>
      </c>
      <c r="C95" s="616"/>
      <c r="D95" s="616"/>
      <c r="E95" s="638"/>
      <c r="F95" s="616"/>
      <c r="G95" s="616"/>
      <c r="H95" s="467"/>
      <c r="I95" s="477"/>
      <c r="J95" s="477"/>
      <c r="K95" s="1676">
        <f t="shared" si="12"/>
        <v>0</v>
      </c>
      <c r="L95" s="530"/>
    </row>
    <row r="96" spans="1:12" ht="14.25" thickTop="1" thickBot="1" x14ac:dyDescent="0.25">
      <c r="A96" s="1512" t="s">
        <v>690</v>
      </c>
      <c r="B96" s="639">
        <v>4340</v>
      </c>
      <c r="C96" s="616"/>
      <c r="D96" s="616"/>
      <c r="E96" s="638"/>
      <c r="F96" s="616"/>
      <c r="G96" s="616"/>
      <c r="H96" s="467"/>
      <c r="I96" s="477"/>
      <c r="J96" s="477"/>
      <c r="K96" s="1676">
        <f t="shared" si="12"/>
        <v>0</v>
      </c>
      <c r="L96" s="530"/>
    </row>
    <row r="97" spans="1:14" ht="12.75" customHeight="1" thickTop="1" thickBot="1" x14ac:dyDescent="0.25">
      <c r="A97" s="1512" t="s">
        <v>763</v>
      </c>
      <c r="B97" s="639">
        <v>4370</v>
      </c>
      <c r="C97" s="616"/>
      <c r="D97" s="616"/>
      <c r="E97" s="638"/>
      <c r="F97" s="616"/>
      <c r="G97" s="616"/>
      <c r="H97" s="467"/>
      <c r="I97" s="477"/>
      <c r="J97" s="477"/>
      <c r="K97" s="1676">
        <f t="shared" si="12"/>
        <v>0</v>
      </c>
      <c r="L97" s="530"/>
    </row>
    <row r="98" spans="1:14" ht="14.25" thickTop="1" thickBot="1" x14ac:dyDescent="0.25">
      <c r="A98" s="1512" t="s">
        <v>764</v>
      </c>
      <c r="B98" s="639">
        <v>4380</v>
      </c>
      <c r="C98" s="616"/>
      <c r="D98" s="616"/>
      <c r="E98" s="642"/>
      <c r="F98" s="616"/>
      <c r="G98" s="616"/>
      <c r="H98" s="467"/>
      <c r="I98" s="477"/>
      <c r="J98" s="477"/>
      <c r="K98" s="1676">
        <f t="shared" si="12"/>
        <v>0</v>
      </c>
      <c r="L98" s="530"/>
    </row>
    <row r="99" spans="1:14" ht="14.25" thickTop="1" thickBot="1" x14ac:dyDescent="0.25">
      <c r="A99" s="1512"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3483</v>
      </c>
      <c r="F102" s="616"/>
      <c r="G102" s="616"/>
      <c r="H102" s="1676">
        <f>SUM(H84,H92,H100,H101)</f>
        <v>1023196</v>
      </c>
      <c r="I102" s="477"/>
      <c r="J102" s="477"/>
      <c r="K102" s="1676">
        <f>SUM(K84,K92,K100,K101)</f>
        <v>1026679</v>
      </c>
      <c r="L102" s="1676">
        <f>SUM(L84,L92,L100,L101)</f>
        <v>770000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589</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28529506</v>
      </c>
      <c r="D114" s="1669">
        <f t="shared" ref="D114:K114" si="13">SUM(D33,D74,D75,D102,D112,D113)</f>
        <v>4379341</v>
      </c>
      <c r="E114" s="1669">
        <f t="shared" si="13"/>
        <v>1445516</v>
      </c>
      <c r="F114" s="1669">
        <f t="shared" si="13"/>
        <v>1270954</v>
      </c>
      <c r="G114" s="1669">
        <f t="shared" si="13"/>
        <v>929029</v>
      </c>
      <c r="H114" s="1669">
        <f>SUM(H33,H74,H75,H102,H112,H113)</f>
        <v>1034738</v>
      </c>
      <c r="I114" s="1669">
        <f t="shared" si="13"/>
        <v>0</v>
      </c>
      <c r="J114" s="1669">
        <f t="shared" si="13"/>
        <v>0</v>
      </c>
      <c r="K114" s="1669">
        <f t="shared" si="13"/>
        <v>37589084</v>
      </c>
      <c r="L114" s="1669">
        <f>SUM(L33,L74,L75,L102,L112,L113)</f>
        <v>38541104</v>
      </c>
    </row>
    <row r="115" spans="1:14" ht="13.5" thickTop="1" x14ac:dyDescent="0.2">
      <c r="A115" s="2195" t="s">
        <v>996</v>
      </c>
      <c r="B115" s="2196"/>
      <c r="C115" s="618"/>
      <c r="D115" s="618"/>
      <c r="E115" s="618"/>
      <c r="F115" s="618"/>
      <c r="G115" s="618"/>
      <c r="H115" s="618"/>
      <c r="I115" s="618"/>
      <c r="J115" s="618"/>
      <c r="K115" s="1683">
        <f>'Revenues 9-14'!C268-'Expenditures 15-22'!K114</f>
        <v>3519617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3" t="s">
        <v>296</v>
      </c>
      <c r="B117" s="2174"/>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2056</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v>1238539</v>
      </c>
      <c r="D124" s="466">
        <v>196594</v>
      </c>
      <c r="E124" s="466">
        <v>1429680</v>
      </c>
      <c r="F124" s="466">
        <v>535617</v>
      </c>
      <c r="G124" s="466">
        <v>3942373</v>
      </c>
      <c r="H124" s="466">
        <v>320</v>
      </c>
      <c r="I124" s="467"/>
      <c r="J124" s="467"/>
      <c r="K124" s="1669">
        <f>SUM(C124:J124)</f>
        <v>7343123</v>
      </c>
      <c r="L124" s="466">
        <v>8229603</v>
      </c>
    </row>
    <row r="125" spans="1:14" ht="14.25" thickTop="1" thickBot="1" x14ac:dyDescent="0.25">
      <c r="A125" s="1503" t="s">
        <v>953</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1238539</v>
      </c>
      <c r="D127" s="1669">
        <f t="shared" ref="D127:L127" si="14">SUM(D122:D126)</f>
        <v>196594</v>
      </c>
      <c r="E127" s="1669">
        <f t="shared" si="14"/>
        <v>1429680</v>
      </c>
      <c r="F127" s="1669">
        <f t="shared" si="14"/>
        <v>535617</v>
      </c>
      <c r="G127" s="1669">
        <f t="shared" si="14"/>
        <v>3942373</v>
      </c>
      <c r="H127" s="1669">
        <f t="shared" si="14"/>
        <v>320</v>
      </c>
      <c r="I127" s="1669">
        <f t="shared" si="14"/>
        <v>0</v>
      </c>
      <c r="J127" s="1669">
        <f t="shared" si="14"/>
        <v>0</v>
      </c>
      <c r="K127" s="1669">
        <f t="shared" si="14"/>
        <v>7343123</v>
      </c>
      <c r="L127" s="1669">
        <f t="shared" si="14"/>
        <v>8229603</v>
      </c>
    </row>
    <row r="128" spans="1:14" ht="12.75" customHeight="1" thickTop="1" x14ac:dyDescent="0.2">
      <c r="A128" s="1510"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1238539</v>
      </c>
      <c r="D129" s="1676">
        <f t="shared" ref="D129:L129" si="15">SUM(D120,D127,D128)</f>
        <v>196594</v>
      </c>
      <c r="E129" s="1676">
        <f t="shared" si="15"/>
        <v>1429680</v>
      </c>
      <c r="F129" s="1676">
        <f t="shared" si="15"/>
        <v>535617</v>
      </c>
      <c r="G129" s="1676">
        <f t="shared" si="15"/>
        <v>3942373</v>
      </c>
      <c r="H129" s="1676">
        <f t="shared" si="15"/>
        <v>320</v>
      </c>
      <c r="I129" s="1676">
        <f t="shared" si="15"/>
        <v>0</v>
      </c>
      <c r="J129" s="1676">
        <f t="shared" si="15"/>
        <v>0</v>
      </c>
      <c r="K129" s="1676">
        <f t="shared" si="15"/>
        <v>7343123</v>
      </c>
      <c r="L129" s="1676">
        <f t="shared" si="15"/>
        <v>8229603</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1841</v>
      </c>
      <c r="C133" s="468"/>
      <c r="D133" s="468"/>
      <c r="E133" s="641"/>
      <c r="F133" s="468"/>
      <c r="G133" s="468"/>
      <c r="H133" s="641"/>
      <c r="I133" s="468"/>
      <c r="J133" s="468"/>
      <c r="K133" s="1820">
        <f>SUM(E133,H133)</f>
        <v>0</v>
      </c>
      <c r="L133" s="641"/>
      <c r="M133" s="206"/>
      <c r="N133" s="206"/>
    </row>
    <row r="134" spans="1:14" x14ac:dyDescent="0.2">
      <c r="A134" s="1503" t="s">
        <v>304</v>
      </c>
      <c r="B134" s="614">
        <v>4120</v>
      </c>
      <c r="C134" s="616"/>
      <c r="D134" s="616"/>
      <c r="E134" s="478"/>
      <c r="F134" s="616"/>
      <c r="G134" s="616"/>
      <c r="H134" s="481"/>
      <c r="I134" s="477"/>
      <c r="J134" s="616"/>
      <c r="K134" s="1671">
        <f>SUM(E134,H134)</f>
        <v>0</v>
      </c>
      <c r="L134" s="481"/>
    </row>
    <row r="135" spans="1:14" x14ac:dyDescent="0.2">
      <c r="A135" s="1503" t="s">
        <v>697</v>
      </c>
      <c r="B135" s="614">
        <v>4140</v>
      </c>
      <c r="C135" s="616"/>
      <c r="D135" s="616"/>
      <c r="E135" s="467"/>
      <c r="F135" s="616"/>
      <c r="G135" s="616"/>
      <c r="H135" s="466"/>
      <c r="I135" s="477"/>
      <c r="J135" s="616"/>
      <c r="K135" s="1671">
        <f>SUM(E135,H135)</f>
        <v>0</v>
      </c>
      <c r="L135" s="466"/>
    </row>
    <row r="136" spans="1:14" x14ac:dyDescent="0.2">
      <c r="A136" s="1507"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1170</v>
      </c>
      <c r="B144" s="628" t="s">
        <v>617</v>
      </c>
      <c r="C144" s="616"/>
      <c r="D144" s="616"/>
      <c r="E144" s="616"/>
      <c r="F144" s="616"/>
      <c r="G144" s="616"/>
      <c r="H144" s="466"/>
      <c r="I144" s="468"/>
      <c r="J144" s="616"/>
      <c r="K144" s="1671">
        <f>SUM(H144)</f>
        <v>0</v>
      </c>
      <c r="L144" s="466"/>
    </row>
    <row r="145" spans="1:14" x14ac:dyDescent="0.2">
      <c r="A145" s="1503" t="s">
        <v>89</v>
      </c>
      <c r="B145" s="614" t="s">
        <v>589</v>
      </c>
      <c r="C145" s="616"/>
      <c r="D145" s="616"/>
      <c r="E145" s="616"/>
      <c r="F145" s="616"/>
      <c r="G145" s="616"/>
      <c r="H145" s="466"/>
      <c r="I145" s="468"/>
      <c r="J145" s="616"/>
      <c r="K145" s="1671">
        <f>SUM(H145)</f>
        <v>0</v>
      </c>
      <c r="L145" s="466"/>
    </row>
    <row r="146" spans="1:14" ht="12.75" customHeight="1" x14ac:dyDescent="0.2">
      <c r="A146" s="1503" t="s">
        <v>619</v>
      </c>
      <c r="B146" s="614" t="s">
        <v>618</v>
      </c>
      <c r="C146" s="616"/>
      <c r="D146" s="616"/>
      <c r="E146" s="616"/>
      <c r="F146" s="616"/>
      <c r="G146" s="616"/>
      <c r="H146" s="466"/>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85" t="s">
        <v>620</v>
      </c>
      <c r="B151" s="2167"/>
      <c r="C151" s="1669">
        <f>SUM(C129,C130,C139,C149,C150)</f>
        <v>1238539</v>
      </c>
      <c r="D151" s="1669">
        <f t="shared" ref="D151:K151" si="16">SUM(D129,D130,D139,D149,D150)</f>
        <v>196594</v>
      </c>
      <c r="E151" s="1669">
        <f t="shared" si="16"/>
        <v>1429680</v>
      </c>
      <c r="F151" s="1669">
        <f t="shared" si="16"/>
        <v>535617</v>
      </c>
      <c r="G151" s="1669">
        <f t="shared" si="16"/>
        <v>3942373</v>
      </c>
      <c r="H151" s="1669">
        <f t="shared" si="16"/>
        <v>320</v>
      </c>
      <c r="I151" s="1669">
        <f t="shared" si="16"/>
        <v>0</v>
      </c>
      <c r="J151" s="1669">
        <f t="shared" si="16"/>
        <v>0</v>
      </c>
      <c r="K151" s="1669">
        <f t="shared" si="16"/>
        <v>7343123</v>
      </c>
      <c r="L151" s="1669">
        <f>SUM(L129,L130,L139,L149,L150)</f>
        <v>8229603</v>
      </c>
    </row>
    <row r="152" spans="1:14" ht="12.75" customHeight="1" thickTop="1" x14ac:dyDescent="0.2">
      <c r="A152" s="2188" t="s">
        <v>1178</v>
      </c>
      <c r="B152" s="2189"/>
      <c r="C152" s="618"/>
      <c r="D152" s="618"/>
      <c r="E152" s="618"/>
      <c r="F152" s="618"/>
      <c r="G152" s="618"/>
      <c r="H152" s="618"/>
      <c r="I152" s="618"/>
      <c r="J152" s="616"/>
      <c r="K152" s="1683">
        <f>'Revenues 9-14'!D268-'Expenditures 15-22'!K151</f>
        <v>-1166020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3" t="s">
        <v>621</v>
      </c>
      <c r="B154" s="2175"/>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1842</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1841</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1843</v>
      </c>
      <c r="C158" s="616"/>
      <c r="D158" s="616"/>
      <c r="E158" s="616"/>
      <c r="F158" s="616"/>
      <c r="G158" s="616"/>
      <c r="H158" s="467"/>
      <c r="I158" s="616"/>
      <c r="J158" s="616"/>
      <c r="K158" s="1670">
        <f>H158</f>
        <v>0</v>
      </c>
      <c r="L158" s="467"/>
      <c r="M158" s="619"/>
      <c r="N158" s="619"/>
    </row>
    <row r="159" spans="1:14" s="620" customFormat="1" ht="12" x14ac:dyDescent="0.2">
      <c r="A159" s="1825" t="s">
        <v>1844</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1845</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1170</v>
      </c>
      <c r="B165" s="614" t="s">
        <v>617</v>
      </c>
      <c r="C165" s="616"/>
      <c r="D165" s="616"/>
      <c r="E165" s="616"/>
      <c r="F165" s="616"/>
      <c r="G165" s="616"/>
      <c r="H165" s="466"/>
      <c r="I165" s="616"/>
      <c r="J165" s="616"/>
      <c r="K165" s="1670">
        <f>SUM(C165:J165)</f>
        <v>0</v>
      </c>
      <c r="L165" s="466"/>
    </row>
    <row r="166" spans="1:14" x14ac:dyDescent="0.2">
      <c r="A166" s="1503" t="s">
        <v>89</v>
      </c>
      <c r="B166" s="628" t="s">
        <v>589</v>
      </c>
      <c r="C166" s="616"/>
      <c r="D166" s="616"/>
      <c r="E166" s="616"/>
      <c r="F166" s="616"/>
      <c r="G166" s="616"/>
      <c r="H166" s="466"/>
      <c r="I166" s="616"/>
      <c r="J166" s="616"/>
      <c r="K166" s="1670">
        <f>SUM(C166:J166)</f>
        <v>0</v>
      </c>
      <c r="L166" s="466"/>
    </row>
    <row r="167" spans="1:14" ht="12.75" customHeight="1" x14ac:dyDescent="0.2">
      <c r="A167" s="1503"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c r="I169" s="616"/>
      <c r="J169" s="616"/>
      <c r="K169" s="1670">
        <f>SUM(C169:H169)</f>
        <v>0</v>
      </c>
      <c r="L169" s="656"/>
    </row>
    <row r="170" spans="1:14" ht="33.75" customHeight="1" x14ac:dyDescent="0.2">
      <c r="A170" s="669" t="s">
        <v>1670</v>
      </c>
      <c r="B170" s="671" t="s">
        <v>31</v>
      </c>
      <c r="C170" s="616"/>
      <c r="D170" s="616"/>
      <c r="E170" s="616"/>
      <c r="F170" s="616"/>
      <c r="G170" s="616"/>
      <c r="H170" s="569"/>
      <c r="I170" s="616"/>
      <c r="J170" s="616"/>
      <c r="K170" s="1670">
        <f>SUM(C170:J170)</f>
        <v>0</v>
      </c>
      <c r="L170" s="569"/>
    </row>
    <row r="171" spans="1:14" ht="15.75" customHeight="1" x14ac:dyDescent="0.2">
      <c r="A171" s="621" t="s">
        <v>766</v>
      </c>
      <c r="B171" s="672" t="s">
        <v>84</v>
      </c>
      <c r="C171" s="616"/>
      <c r="D171" s="616"/>
      <c r="E171" s="466"/>
      <c r="F171" s="616"/>
      <c r="G171" s="616"/>
      <c r="H171" s="569"/>
      <c r="I171" s="477"/>
      <c r="J171" s="616"/>
      <c r="K171" s="1670">
        <f>SUM(C171:J171)</f>
        <v>0</v>
      </c>
      <c r="L171" s="569"/>
    </row>
    <row r="172" spans="1:14" ht="12.75" customHeight="1" thickBot="1" x14ac:dyDescent="0.25">
      <c r="A172" s="1667" t="s">
        <v>638</v>
      </c>
      <c r="B172" s="1668" t="s">
        <v>492</v>
      </c>
      <c r="C172" s="616"/>
      <c r="D172" s="616"/>
      <c r="E172" s="1676">
        <f>SUM(E168,E169,E170,E171)</f>
        <v>0</v>
      </c>
      <c r="F172" s="616"/>
      <c r="G172" s="616"/>
      <c r="H172" s="1676">
        <f>SUM(H168,H169,H170,H171)</f>
        <v>0</v>
      </c>
      <c r="I172" s="638"/>
      <c r="J172" s="616"/>
      <c r="K172" s="1676">
        <f>SUM(K168,K169,K170,K171)</f>
        <v>0</v>
      </c>
      <c r="L172" s="1676">
        <f>SUM(L168,L169,L170,L171)</f>
        <v>0</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0</v>
      </c>
      <c r="I174" s="638"/>
      <c r="J174" s="616"/>
      <c r="K174" s="1676">
        <f>SUM(K160,K172,K173)</f>
        <v>0</v>
      </c>
      <c r="L174" s="1676">
        <f>SUM(L160,L172,L173)</f>
        <v>0</v>
      </c>
    </row>
    <row r="175" spans="1:14" ht="13.5" thickTop="1" x14ac:dyDescent="0.2">
      <c r="A175" s="2195" t="s">
        <v>996</v>
      </c>
      <c r="B175" s="2196"/>
      <c r="C175" s="616"/>
      <c r="D175" s="616"/>
      <c r="E175" s="616"/>
      <c r="F175" s="616"/>
      <c r="G175" s="616"/>
      <c r="H175" s="618"/>
      <c r="I175" s="616"/>
      <c r="J175" s="616"/>
      <c r="K175" s="1683">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2056</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619892</v>
      </c>
      <c r="D182" s="466">
        <v>149261</v>
      </c>
      <c r="E182" s="466">
        <v>619996</v>
      </c>
      <c r="F182" s="466">
        <v>117614</v>
      </c>
      <c r="G182" s="466">
        <v>279540</v>
      </c>
      <c r="H182" s="466">
        <v>65</v>
      </c>
      <c r="I182" s="467"/>
      <c r="J182" s="467"/>
      <c r="K182" s="1670">
        <f>SUM(C182:J182)</f>
        <v>1786368</v>
      </c>
      <c r="L182" s="466">
        <v>1521500</v>
      </c>
    </row>
    <row r="183" spans="1:14" ht="12.75" customHeight="1" thickBot="1" x14ac:dyDescent="0.25">
      <c r="A183" s="1508"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619892</v>
      </c>
      <c r="D184" s="1676">
        <f t="shared" ref="D184:J184" si="17">SUM(D180,D182,D183)</f>
        <v>149261</v>
      </c>
      <c r="E184" s="1676">
        <f t="shared" si="17"/>
        <v>619996</v>
      </c>
      <c r="F184" s="1676">
        <f t="shared" si="17"/>
        <v>117614</v>
      </c>
      <c r="G184" s="1676">
        <f t="shared" si="17"/>
        <v>279540</v>
      </c>
      <c r="H184" s="1676">
        <f t="shared" si="17"/>
        <v>65</v>
      </c>
      <c r="I184" s="1676">
        <f t="shared" si="17"/>
        <v>0</v>
      </c>
      <c r="J184" s="1676">
        <f t="shared" si="17"/>
        <v>0</v>
      </c>
      <c r="K184" s="1676">
        <f>SUM(K180,K182,K183)</f>
        <v>1786368</v>
      </c>
      <c r="L184" s="1676">
        <f>SUM(L180, L182:L183)</f>
        <v>1521500</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row>
    <row r="189" spans="1:14" x14ac:dyDescent="0.2">
      <c r="A189" s="1503" t="s">
        <v>304</v>
      </c>
      <c r="B189" s="614">
        <v>4120</v>
      </c>
      <c r="C189" s="616"/>
      <c r="D189" s="616"/>
      <c r="E189" s="466"/>
      <c r="F189" s="616"/>
      <c r="G189" s="616"/>
      <c r="H189" s="466"/>
      <c r="I189" s="477"/>
      <c r="J189" s="616"/>
      <c r="K189" s="1670">
        <f t="shared" si="18"/>
        <v>0</v>
      </c>
      <c r="L189" s="466"/>
    </row>
    <row r="190" spans="1:14" x14ac:dyDescent="0.2">
      <c r="A190" s="1503" t="s">
        <v>305</v>
      </c>
      <c r="B190" s="628">
        <v>4130</v>
      </c>
      <c r="C190" s="616"/>
      <c r="D190" s="616"/>
      <c r="E190" s="466"/>
      <c r="F190" s="616"/>
      <c r="G190" s="616"/>
      <c r="H190" s="466"/>
      <c r="I190" s="477"/>
      <c r="J190" s="616"/>
      <c r="K190" s="1670">
        <f t="shared" si="18"/>
        <v>0</v>
      </c>
      <c r="L190" s="466"/>
    </row>
    <row r="191" spans="1:14" x14ac:dyDescent="0.2">
      <c r="A191" s="1503" t="s">
        <v>697</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1170</v>
      </c>
      <c r="B201" s="628" t="s">
        <v>617</v>
      </c>
      <c r="C201" s="616"/>
      <c r="D201" s="616"/>
      <c r="E201" s="616"/>
      <c r="F201" s="616"/>
      <c r="G201" s="616"/>
      <c r="H201" s="466"/>
      <c r="I201" s="616"/>
      <c r="J201" s="616"/>
      <c r="K201" s="1670">
        <f>SUM(H201)</f>
        <v>0</v>
      </c>
      <c r="L201" s="466"/>
    </row>
    <row r="202" spans="1:14" x14ac:dyDescent="0.2">
      <c r="A202" s="1503" t="s">
        <v>89</v>
      </c>
      <c r="B202" s="614" t="s">
        <v>589</v>
      </c>
      <c r="C202" s="616"/>
      <c r="D202" s="616"/>
      <c r="E202" s="616"/>
      <c r="F202" s="616"/>
      <c r="G202" s="616"/>
      <c r="H202" s="466"/>
      <c r="I202" s="616"/>
      <c r="J202" s="616"/>
      <c r="K202" s="1670">
        <f>SUM(H202)</f>
        <v>0</v>
      </c>
      <c r="L202" s="466"/>
    </row>
    <row r="203" spans="1:14" x14ac:dyDescent="0.2">
      <c r="A203" s="1515"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619892</v>
      </c>
      <c r="D210" s="1669">
        <f>SUM(D184,D185)</f>
        <v>149261</v>
      </c>
      <c r="E210" s="1669">
        <f>SUM(E184,E185,E196)</f>
        <v>619996</v>
      </c>
      <c r="F210" s="1669">
        <f>SUM(F184,F185)</f>
        <v>117614</v>
      </c>
      <c r="G210" s="1669">
        <f>SUM(G184,G185)</f>
        <v>279540</v>
      </c>
      <c r="H210" s="1669">
        <f>SUM(H184,H185,H196,H208,H209)</f>
        <v>65</v>
      </c>
      <c r="I210" s="1669">
        <f>SUM(I184,I185)</f>
        <v>0</v>
      </c>
      <c r="J210" s="1669">
        <f>SUM(J184,J185)</f>
        <v>0</v>
      </c>
      <c r="K210" s="1670">
        <f>SUM(K184,K185,K196,K208,K209)</f>
        <v>1786368</v>
      </c>
      <c r="L210" s="1669">
        <f>SUM(L184,L185,L196,L208,L209)</f>
        <v>1521500</v>
      </c>
    </row>
    <row r="211" spans="1:14" ht="13.5" thickTop="1" x14ac:dyDescent="0.2">
      <c r="A211" s="2195" t="s">
        <v>996</v>
      </c>
      <c r="B211" s="2196"/>
      <c r="C211" s="618"/>
      <c r="D211" s="618"/>
      <c r="E211" s="618"/>
      <c r="F211" s="618"/>
      <c r="G211" s="618"/>
      <c r="H211" s="618"/>
      <c r="I211" s="616"/>
      <c r="J211" s="616"/>
      <c r="K211" s="1683">
        <f>'Revenues 9-14'!F268-'Expenditures 15-22'!K210</f>
        <v>-229698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0" t="s">
        <v>965</v>
      </c>
      <c r="B213" s="2191"/>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452156</v>
      </c>
      <c r="E215" s="616"/>
      <c r="F215" s="616"/>
      <c r="G215" s="616"/>
      <c r="H215" s="616"/>
      <c r="I215" s="616"/>
      <c r="J215" s="616"/>
      <c r="K215" s="1670">
        <f>D215</f>
        <v>452156</v>
      </c>
      <c r="L215" s="466">
        <v>1123500</v>
      </c>
    </row>
    <row r="216" spans="1:14" x14ac:dyDescent="0.2">
      <c r="A216" s="1503" t="s">
        <v>163</v>
      </c>
      <c r="B216" s="614" t="s">
        <v>967</v>
      </c>
      <c r="C216" s="616"/>
      <c r="D216" s="467"/>
      <c r="E216" s="616"/>
      <c r="F216" s="616"/>
      <c r="G216" s="616"/>
      <c r="H216" s="616"/>
      <c r="I216" s="616"/>
      <c r="J216" s="616"/>
      <c r="K216" s="1670">
        <f t="shared" ref="K216:K228" si="19">D216</f>
        <v>0</v>
      </c>
      <c r="L216" s="466"/>
    </row>
    <row r="217" spans="1:14" x14ac:dyDescent="0.2">
      <c r="A217" s="1503" t="s">
        <v>164</v>
      </c>
      <c r="B217" s="614">
        <v>1200</v>
      </c>
      <c r="C217" s="616"/>
      <c r="D217" s="466">
        <v>221732</v>
      </c>
      <c r="E217" s="616"/>
      <c r="F217" s="616"/>
      <c r="G217" s="616"/>
      <c r="H217" s="616"/>
      <c r="I217" s="616"/>
      <c r="J217" s="616"/>
      <c r="K217" s="1670">
        <f t="shared" si="19"/>
        <v>221732</v>
      </c>
      <c r="L217" s="466">
        <v>83200</v>
      </c>
    </row>
    <row r="218" spans="1:14" x14ac:dyDescent="0.2">
      <c r="A218" s="1503" t="s">
        <v>278</v>
      </c>
      <c r="B218" s="614" t="s">
        <v>968</v>
      </c>
      <c r="C218" s="616"/>
      <c r="D218" s="467"/>
      <c r="E218" s="616"/>
      <c r="F218" s="616"/>
      <c r="G218" s="616"/>
      <c r="H218" s="616"/>
      <c r="I218" s="616"/>
      <c r="J218" s="616"/>
      <c r="K218" s="1670">
        <f t="shared" si="19"/>
        <v>0</v>
      </c>
      <c r="L218" s="466"/>
    </row>
    <row r="219" spans="1:14" x14ac:dyDescent="0.2">
      <c r="A219" s="1503" t="s">
        <v>279</v>
      </c>
      <c r="B219" s="614">
        <v>1250</v>
      </c>
      <c r="C219" s="616"/>
      <c r="D219" s="466">
        <v>6582</v>
      </c>
      <c r="E219" s="616"/>
      <c r="F219" s="616"/>
      <c r="G219" s="616"/>
      <c r="H219" s="616"/>
      <c r="I219" s="616"/>
      <c r="J219" s="616"/>
      <c r="K219" s="1670">
        <f t="shared" si="19"/>
        <v>6582</v>
      </c>
      <c r="L219" s="466">
        <v>0</v>
      </c>
    </row>
    <row r="220" spans="1:14" x14ac:dyDescent="0.2">
      <c r="A220" s="1503" t="s">
        <v>280</v>
      </c>
      <c r="B220" s="614" t="s">
        <v>161</v>
      </c>
      <c r="C220" s="616"/>
      <c r="D220" s="467"/>
      <c r="E220" s="616"/>
      <c r="F220" s="616"/>
      <c r="G220" s="616"/>
      <c r="H220" s="616"/>
      <c r="I220" s="616"/>
      <c r="J220" s="616"/>
      <c r="K220" s="1670">
        <f t="shared" si="19"/>
        <v>0</v>
      </c>
      <c r="L220" s="466"/>
    </row>
    <row r="221" spans="1:14" x14ac:dyDescent="0.2">
      <c r="A221" s="1503" t="s">
        <v>962</v>
      </c>
      <c r="B221" s="614">
        <v>1300</v>
      </c>
      <c r="C221" s="616"/>
      <c r="D221" s="466"/>
      <c r="E221" s="616"/>
      <c r="F221" s="616"/>
      <c r="G221" s="616"/>
      <c r="H221" s="616"/>
      <c r="I221" s="616"/>
      <c r="J221" s="616"/>
      <c r="K221" s="1670">
        <f t="shared" si="19"/>
        <v>0</v>
      </c>
      <c r="L221" s="466"/>
    </row>
    <row r="222" spans="1:14" x14ac:dyDescent="0.2">
      <c r="A222" s="1503" t="s">
        <v>723</v>
      </c>
      <c r="B222" s="614">
        <v>1400</v>
      </c>
      <c r="C222" s="616"/>
      <c r="D222" s="466"/>
      <c r="E222" s="616"/>
      <c r="F222" s="616"/>
      <c r="G222" s="616"/>
      <c r="H222" s="616"/>
      <c r="I222" s="616"/>
      <c r="J222" s="616"/>
      <c r="K222" s="1670">
        <f t="shared" si="19"/>
        <v>0</v>
      </c>
      <c r="L222" s="466"/>
    </row>
    <row r="223" spans="1:14" x14ac:dyDescent="0.2">
      <c r="A223" s="1503" t="s">
        <v>963</v>
      </c>
      <c r="B223" s="614">
        <v>1500</v>
      </c>
      <c r="C223" s="616"/>
      <c r="D223" s="466">
        <v>6642</v>
      </c>
      <c r="E223" s="616"/>
      <c r="F223" s="616"/>
      <c r="G223" s="616"/>
      <c r="H223" s="616"/>
      <c r="I223" s="616"/>
      <c r="J223" s="616"/>
      <c r="K223" s="1670">
        <f t="shared" si="19"/>
        <v>6642</v>
      </c>
      <c r="L223" s="466">
        <v>350</v>
      </c>
    </row>
    <row r="224" spans="1:14" x14ac:dyDescent="0.2">
      <c r="A224" s="1503" t="s">
        <v>964</v>
      </c>
      <c r="B224" s="614">
        <v>1600</v>
      </c>
      <c r="C224" s="616"/>
      <c r="D224" s="466">
        <v>11054</v>
      </c>
      <c r="E224" s="616"/>
      <c r="F224" s="616"/>
      <c r="G224" s="616"/>
      <c r="H224" s="616"/>
      <c r="I224" s="616"/>
      <c r="J224" s="616"/>
      <c r="K224" s="1670">
        <f t="shared" si="19"/>
        <v>11054</v>
      </c>
      <c r="L224" s="466">
        <v>6000</v>
      </c>
    </row>
    <row r="225" spans="1:12" x14ac:dyDescent="0.2">
      <c r="A225" s="1503" t="s">
        <v>987</v>
      </c>
      <c r="B225" s="614">
        <v>1650</v>
      </c>
      <c r="C225" s="616"/>
      <c r="D225" s="466">
        <v>2417</v>
      </c>
      <c r="E225" s="616"/>
      <c r="F225" s="616"/>
      <c r="G225" s="616"/>
      <c r="H225" s="616"/>
      <c r="I225" s="616"/>
      <c r="J225" s="616"/>
      <c r="K225" s="1670">
        <f t="shared" si="19"/>
        <v>2417</v>
      </c>
      <c r="L225" s="466"/>
    </row>
    <row r="226" spans="1:12" x14ac:dyDescent="0.2">
      <c r="A226" s="1503" t="s">
        <v>724</v>
      </c>
      <c r="B226" s="614" t="s">
        <v>162</v>
      </c>
      <c r="C226" s="616"/>
      <c r="D226" s="467"/>
      <c r="E226" s="616"/>
      <c r="F226" s="616"/>
      <c r="G226" s="616"/>
      <c r="H226" s="616"/>
      <c r="I226" s="616"/>
      <c r="J226" s="616"/>
      <c r="K226" s="1670">
        <f t="shared" si="19"/>
        <v>0</v>
      </c>
      <c r="L226" s="466">
        <v>0</v>
      </c>
    </row>
    <row r="227" spans="1:12" x14ac:dyDescent="0.2">
      <c r="A227" s="1503" t="s">
        <v>1087</v>
      </c>
      <c r="B227" s="614">
        <v>1800</v>
      </c>
      <c r="C227" s="616"/>
      <c r="D227" s="466">
        <v>5782</v>
      </c>
      <c r="E227" s="616"/>
      <c r="F227" s="616"/>
      <c r="G227" s="616"/>
      <c r="H227" s="616"/>
      <c r="I227" s="616"/>
      <c r="J227" s="616"/>
      <c r="K227" s="1670">
        <f t="shared" si="19"/>
        <v>5782</v>
      </c>
      <c r="L227" s="466">
        <v>0</v>
      </c>
    </row>
    <row r="228" spans="1:12" x14ac:dyDescent="0.2">
      <c r="A228" s="1503" t="s">
        <v>1088</v>
      </c>
      <c r="B228" s="614">
        <v>1900</v>
      </c>
      <c r="C228" s="616"/>
      <c r="D228" s="466">
        <v>12039</v>
      </c>
      <c r="E228" s="616"/>
      <c r="F228" s="616"/>
      <c r="G228" s="616"/>
      <c r="H228" s="616"/>
      <c r="I228" s="616"/>
      <c r="J228" s="616"/>
      <c r="K228" s="1670">
        <f t="shared" si="19"/>
        <v>12039</v>
      </c>
      <c r="L228" s="466">
        <v>2300</v>
      </c>
    </row>
    <row r="229" spans="1:12" ht="12.75" customHeight="1" thickBot="1" x14ac:dyDescent="0.25">
      <c r="A229" s="1667" t="s">
        <v>715</v>
      </c>
      <c r="B229" s="1674" t="s">
        <v>570</v>
      </c>
      <c r="C229" s="616"/>
      <c r="D229" s="1669">
        <f>SUM(D215:D228)</f>
        <v>718404</v>
      </c>
      <c r="E229" s="616"/>
      <c r="F229" s="616"/>
      <c r="G229" s="616"/>
      <c r="H229" s="616"/>
      <c r="I229" s="616"/>
      <c r="J229" s="616"/>
      <c r="K229" s="1669">
        <f>SUM(K215:K228)</f>
        <v>718404</v>
      </c>
      <c r="L229" s="1669">
        <f>SUM(L215:L228)</f>
        <v>1215350</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9194</v>
      </c>
      <c r="E232" s="616"/>
      <c r="F232" s="616"/>
      <c r="G232" s="616"/>
      <c r="H232" s="616"/>
      <c r="I232" s="616"/>
      <c r="J232" s="616"/>
      <c r="K232" s="1670">
        <f t="shared" ref="K232:K237" si="20">D232</f>
        <v>9194</v>
      </c>
      <c r="L232" s="466">
        <v>0</v>
      </c>
    </row>
    <row r="233" spans="1:12" x14ac:dyDescent="0.2">
      <c r="A233" s="1503" t="s">
        <v>1090</v>
      </c>
      <c r="B233" s="614">
        <v>2120</v>
      </c>
      <c r="C233" s="616"/>
      <c r="D233" s="466"/>
      <c r="E233" s="616"/>
      <c r="F233" s="616"/>
      <c r="G233" s="616"/>
      <c r="H233" s="616"/>
      <c r="I233" s="616"/>
      <c r="J233" s="616"/>
      <c r="K233" s="1670">
        <f t="shared" si="20"/>
        <v>0</v>
      </c>
      <c r="L233" s="466"/>
    </row>
    <row r="234" spans="1:12" x14ac:dyDescent="0.2">
      <c r="A234" s="1503" t="s">
        <v>198</v>
      </c>
      <c r="B234" s="614">
        <v>2130</v>
      </c>
      <c r="C234" s="616"/>
      <c r="D234" s="466">
        <v>45317</v>
      </c>
      <c r="E234" s="616"/>
      <c r="F234" s="616"/>
      <c r="G234" s="616"/>
      <c r="H234" s="616"/>
      <c r="I234" s="616"/>
      <c r="J234" s="616"/>
      <c r="K234" s="1670">
        <f t="shared" si="20"/>
        <v>45317</v>
      </c>
      <c r="L234" s="466">
        <v>21300</v>
      </c>
    </row>
    <row r="235" spans="1:12" x14ac:dyDescent="0.2">
      <c r="A235" s="1503" t="s">
        <v>199</v>
      </c>
      <c r="B235" s="614">
        <v>2140</v>
      </c>
      <c r="C235" s="616"/>
      <c r="D235" s="466">
        <v>5071</v>
      </c>
      <c r="E235" s="616"/>
      <c r="F235" s="616"/>
      <c r="G235" s="616"/>
      <c r="H235" s="616"/>
      <c r="I235" s="616"/>
      <c r="J235" s="616"/>
      <c r="K235" s="1670">
        <f t="shared" si="20"/>
        <v>5071</v>
      </c>
      <c r="L235" s="466">
        <v>0</v>
      </c>
    </row>
    <row r="236" spans="1:12" x14ac:dyDescent="0.2">
      <c r="A236" s="1503" t="s">
        <v>200</v>
      </c>
      <c r="B236" s="614">
        <v>2150</v>
      </c>
      <c r="C236" s="616"/>
      <c r="D236" s="466">
        <v>15216</v>
      </c>
      <c r="E236" s="616"/>
      <c r="F236" s="616"/>
      <c r="G236" s="616"/>
      <c r="H236" s="616"/>
      <c r="I236" s="616"/>
      <c r="J236" s="616"/>
      <c r="K236" s="1670">
        <f t="shared" si="20"/>
        <v>15216</v>
      </c>
      <c r="L236" s="466">
        <v>0</v>
      </c>
    </row>
    <row r="237" spans="1:12" x14ac:dyDescent="0.2">
      <c r="A237" s="1503" t="s">
        <v>165</v>
      </c>
      <c r="B237" s="614">
        <v>2190</v>
      </c>
      <c r="C237" s="616"/>
      <c r="D237" s="466">
        <v>74830</v>
      </c>
      <c r="E237" s="616"/>
      <c r="F237" s="616"/>
      <c r="G237" s="616"/>
      <c r="H237" s="616"/>
      <c r="I237" s="616"/>
      <c r="J237" s="616"/>
      <c r="K237" s="1670">
        <f t="shared" si="20"/>
        <v>74830</v>
      </c>
      <c r="L237" s="466">
        <v>35500</v>
      </c>
    </row>
    <row r="238" spans="1:12" ht="12.75" customHeight="1" thickBot="1" x14ac:dyDescent="0.25">
      <c r="A238" s="1667" t="s">
        <v>560</v>
      </c>
      <c r="B238" s="1674" t="s">
        <v>716</v>
      </c>
      <c r="C238" s="616"/>
      <c r="D238" s="1669">
        <f>SUM(D232:D237)</f>
        <v>149628</v>
      </c>
      <c r="E238" s="616"/>
      <c r="F238" s="616"/>
      <c r="G238" s="616"/>
      <c r="H238" s="616"/>
      <c r="I238" s="616"/>
      <c r="J238" s="616"/>
      <c r="K238" s="1669">
        <f>SUM(K232:K237)</f>
        <v>149628</v>
      </c>
      <c r="L238" s="1669">
        <f>SUM(L232:L237)</f>
        <v>56800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14607</v>
      </c>
      <c r="E240" s="616"/>
      <c r="F240" s="616"/>
      <c r="G240" s="616"/>
      <c r="H240" s="616"/>
      <c r="I240" s="616"/>
      <c r="J240" s="616"/>
      <c r="K240" s="1671">
        <f>D240</f>
        <v>14607</v>
      </c>
      <c r="L240" s="481">
        <v>3000</v>
      </c>
    </row>
    <row r="241" spans="1:12" x14ac:dyDescent="0.2">
      <c r="A241" s="1503" t="s">
        <v>815</v>
      </c>
      <c r="B241" s="614">
        <v>2220</v>
      </c>
      <c r="C241" s="616"/>
      <c r="D241" s="466">
        <v>123509</v>
      </c>
      <c r="E241" s="616"/>
      <c r="F241" s="616"/>
      <c r="G241" s="616"/>
      <c r="H241" s="616"/>
      <c r="I241" s="616"/>
      <c r="J241" s="616"/>
      <c r="K241" s="1671">
        <f>D241</f>
        <v>123509</v>
      </c>
      <c r="L241" s="466">
        <v>49600</v>
      </c>
    </row>
    <row r="242" spans="1:12" x14ac:dyDescent="0.2">
      <c r="A242" s="1503"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138116</v>
      </c>
      <c r="E243" s="616"/>
      <c r="F243" s="616"/>
      <c r="G243" s="616"/>
      <c r="H243" s="616"/>
      <c r="I243" s="616"/>
      <c r="J243" s="616"/>
      <c r="K243" s="1669">
        <f>SUM(K240:K242)</f>
        <v>138116</v>
      </c>
      <c r="L243" s="1669">
        <f>SUM(L240:L242)</f>
        <v>52600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c r="E245" s="616"/>
      <c r="F245" s="616"/>
      <c r="G245" s="616"/>
      <c r="H245" s="616"/>
      <c r="I245" s="616"/>
      <c r="J245" s="616"/>
      <c r="K245" s="1671">
        <f>D245</f>
        <v>0</v>
      </c>
      <c r="L245" s="481"/>
    </row>
    <row r="246" spans="1:12" x14ac:dyDescent="0.2">
      <c r="A246" s="1503" t="s">
        <v>818</v>
      </c>
      <c r="B246" s="614">
        <v>2320</v>
      </c>
      <c r="C246" s="616"/>
      <c r="D246" s="466">
        <v>28537</v>
      </c>
      <c r="E246" s="616"/>
      <c r="F246" s="616"/>
      <c r="G246" s="616"/>
      <c r="H246" s="616"/>
      <c r="I246" s="616"/>
      <c r="J246" s="616"/>
      <c r="K246" s="1671">
        <f t="shared" ref="K246:K256" si="21">D246</f>
        <v>28537</v>
      </c>
      <c r="L246" s="466">
        <v>11800</v>
      </c>
    </row>
    <row r="247" spans="1:12" x14ac:dyDescent="0.2">
      <c r="A247" s="1503" t="s">
        <v>819</v>
      </c>
      <c r="B247" s="614">
        <v>2330</v>
      </c>
      <c r="C247" s="616"/>
      <c r="D247" s="466">
        <v>29484</v>
      </c>
      <c r="E247" s="616"/>
      <c r="F247" s="616"/>
      <c r="G247" s="616"/>
      <c r="H247" s="616"/>
      <c r="I247" s="616"/>
      <c r="J247" s="616"/>
      <c r="K247" s="1671">
        <f t="shared" si="21"/>
        <v>29484</v>
      </c>
      <c r="L247" s="466">
        <v>11800</v>
      </c>
    </row>
    <row r="248" spans="1:12" x14ac:dyDescent="0.2">
      <c r="A248" s="1504" t="s">
        <v>299</v>
      </c>
      <c r="B248" s="602" t="s">
        <v>281</v>
      </c>
      <c r="C248" s="616"/>
      <c r="D248" s="474"/>
      <c r="E248" s="616"/>
      <c r="F248" s="616"/>
      <c r="G248" s="616"/>
      <c r="H248" s="616"/>
      <c r="I248" s="616"/>
      <c r="J248" s="616"/>
      <c r="K248" s="1671">
        <f t="shared" si="21"/>
        <v>0</v>
      </c>
      <c r="L248" s="466"/>
    </row>
    <row r="249" spans="1:12" x14ac:dyDescent="0.2">
      <c r="A249" s="1505" t="s">
        <v>1801</v>
      </c>
      <c r="B249" s="683" t="s">
        <v>282</v>
      </c>
      <c r="C249" s="616"/>
      <c r="D249" s="474"/>
      <c r="E249" s="616"/>
      <c r="F249" s="616"/>
      <c r="G249" s="616"/>
      <c r="H249" s="616"/>
      <c r="I249" s="616"/>
      <c r="J249" s="616"/>
      <c r="K249" s="1671">
        <f t="shared" si="21"/>
        <v>0</v>
      </c>
      <c r="L249" s="466"/>
    </row>
    <row r="250" spans="1:12" x14ac:dyDescent="0.2">
      <c r="A250" s="1504" t="s">
        <v>1802</v>
      </c>
      <c r="B250" s="602" t="s">
        <v>283</v>
      </c>
      <c r="C250" s="616"/>
      <c r="D250" s="474"/>
      <c r="E250" s="616"/>
      <c r="F250" s="616"/>
      <c r="G250" s="616"/>
      <c r="H250" s="616"/>
      <c r="I250" s="616"/>
      <c r="J250" s="616"/>
      <c r="K250" s="1671">
        <f t="shared" si="21"/>
        <v>0</v>
      </c>
      <c r="L250" s="466"/>
    </row>
    <row r="251" spans="1:12" x14ac:dyDescent="0.2">
      <c r="A251" s="1504" t="s">
        <v>238</v>
      </c>
      <c r="B251" s="602" t="s">
        <v>284</v>
      </c>
      <c r="C251" s="616"/>
      <c r="D251" s="474"/>
      <c r="E251" s="616"/>
      <c r="F251" s="616"/>
      <c r="G251" s="616"/>
      <c r="H251" s="616"/>
      <c r="I251" s="616"/>
      <c r="J251" s="616"/>
      <c r="K251" s="1671">
        <f t="shared" si="21"/>
        <v>0</v>
      </c>
      <c r="L251" s="466"/>
    </row>
    <row r="252" spans="1:12" x14ac:dyDescent="0.2">
      <c r="A252" s="1504" t="s">
        <v>702</v>
      </c>
      <c r="B252" s="602" t="s">
        <v>285</v>
      </c>
      <c r="C252" s="616"/>
      <c r="D252" s="474"/>
      <c r="E252" s="616"/>
      <c r="F252" s="616"/>
      <c r="G252" s="616"/>
      <c r="H252" s="616"/>
      <c r="I252" s="616"/>
      <c r="J252" s="616"/>
      <c r="K252" s="1671">
        <f t="shared" si="21"/>
        <v>0</v>
      </c>
      <c r="L252" s="466"/>
    </row>
    <row r="253" spans="1:12" x14ac:dyDescent="0.2">
      <c r="A253" s="1504" t="s">
        <v>239</v>
      </c>
      <c r="B253" s="602" t="s">
        <v>286</v>
      </c>
      <c r="C253" s="616"/>
      <c r="D253" s="474"/>
      <c r="E253" s="616"/>
      <c r="F253" s="616"/>
      <c r="G253" s="616"/>
      <c r="H253" s="616"/>
      <c r="I253" s="616"/>
      <c r="J253" s="616"/>
      <c r="K253" s="1671">
        <f t="shared" si="21"/>
        <v>0</v>
      </c>
      <c r="L253" s="466"/>
    </row>
    <row r="254" spans="1:12" ht="22.5" x14ac:dyDescent="0.2">
      <c r="A254" s="1504" t="s">
        <v>1029</v>
      </c>
      <c r="B254" s="683" t="s">
        <v>287</v>
      </c>
      <c r="C254" s="616"/>
      <c r="D254" s="474"/>
      <c r="E254" s="616"/>
      <c r="F254" s="616"/>
      <c r="G254" s="616"/>
      <c r="H254" s="616"/>
      <c r="I254" s="616"/>
      <c r="J254" s="616"/>
      <c r="K254" s="1671">
        <f t="shared" si="21"/>
        <v>0</v>
      </c>
      <c r="L254" s="466"/>
    </row>
    <row r="255" spans="1:12" x14ac:dyDescent="0.2">
      <c r="A255" s="1504" t="s">
        <v>1030</v>
      </c>
      <c r="B255" s="602" t="s">
        <v>288</v>
      </c>
      <c r="C255" s="616"/>
      <c r="D255" s="474"/>
      <c r="E255" s="616"/>
      <c r="F255" s="616"/>
      <c r="G255" s="616"/>
      <c r="H255" s="616"/>
      <c r="I255" s="616"/>
      <c r="J255" s="616"/>
      <c r="K255" s="1671">
        <f t="shared" si="21"/>
        <v>0</v>
      </c>
      <c r="L255" s="466"/>
    </row>
    <row r="256" spans="1:12" x14ac:dyDescent="0.2">
      <c r="A256" s="1504"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58021</v>
      </c>
      <c r="E257" s="616"/>
      <c r="F257" s="616"/>
      <c r="G257" s="616"/>
      <c r="H257" s="616"/>
      <c r="I257" s="616"/>
      <c r="J257" s="616"/>
      <c r="K257" s="1669">
        <f>SUM(K245:K256)</f>
        <v>58021</v>
      </c>
      <c r="L257" s="1669">
        <f>SUM(L245:L256)</f>
        <v>23600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104469</v>
      </c>
      <c r="E259" s="616"/>
      <c r="F259" s="616"/>
      <c r="G259" s="616"/>
      <c r="H259" s="616"/>
      <c r="I259" s="616"/>
      <c r="J259" s="616"/>
      <c r="K259" s="1671">
        <f>D259</f>
        <v>104469</v>
      </c>
      <c r="L259" s="481">
        <v>43800</v>
      </c>
    </row>
    <row r="260" spans="1:14" s="597" customFormat="1" x14ac:dyDescent="0.2">
      <c r="A260" s="1521" t="s">
        <v>1800</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104469</v>
      </c>
      <c r="E261" s="616"/>
      <c r="F261" s="616"/>
      <c r="G261" s="616"/>
      <c r="H261" s="616"/>
      <c r="I261" s="616"/>
      <c r="J261" s="616"/>
      <c r="K261" s="1669">
        <f>SUM(K259:K260)</f>
        <v>104469</v>
      </c>
      <c r="L261" s="1669">
        <f>SUM(L259:L260)</f>
        <v>43800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row>
    <row r="264" spans="1:14" x14ac:dyDescent="0.2">
      <c r="A264" s="1503" t="s">
        <v>463</v>
      </c>
      <c r="B264" s="685">
        <v>2520</v>
      </c>
      <c r="C264" s="616"/>
      <c r="D264" s="466">
        <v>46221</v>
      </c>
      <c r="E264" s="616"/>
      <c r="F264" s="616"/>
      <c r="G264" s="616"/>
      <c r="H264" s="616"/>
      <c r="I264" s="616"/>
      <c r="J264" s="616"/>
      <c r="K264" s="1671">
        <f t="shared" ref="K264:K269" si="22">D264</f>
        <v>46221</v>
      </c>
      <c r="L264" s="466">
        <v>19700</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227721</v>
      </c>
      <c r="E266" s="616"/>
      <c r="F266" s="616"/>
      <c r="G266" s="616"/>
      <c r="H266" s="616"/>
      <c r="I266" s="616"/>
      <c r="J266" s="616"/>
      <c r="K266" s="1671">
        <f t="shared" si="22"/>
        <v>227721</v>
      </c>
      <c r="L266" s="466">
        <v>101300</v>
      </c>
    </row>
    <row r="267" spans="1:14" x14ac:dyDescent="0.2">
      <c r="A267" s="1503" t="s">
        <v>953</v>
      </c>
      <c r="B267" s="614">
        <v>2550</v>
      </c>
      <c r="C267" s="616"/>
      <c r="D267" s="466">
        <v>62042</v>
      </c>
      <c r="E267" s="616"/>
      <c r="F267" s="616"/>
      <c r="G267" s="616"/>
      <c r="H267" s="616"/>
      <c r="I267" s="616"/>
      <c r="J267" s="616"/>
      <c r="K267" s="1671">
        <f t="shared" si="22"/>
        <v>62042</v>
      </c>
      <c r="L267" s="466">
        <v>74950</v>
      </c>
    </row>
    <row r="268" spans="1:14" x14ac:dyDescent="0.2">
      <c r="A268" s="1503" t="s">
        <v>100</v>
      </c>
      <c r="B268" s="614">
        <v>2560</v>
      </c>
      <c r="C268" s="616"/>
      <c r="D268" s="466"/>
      <c r="E268" s="616"/>
      <c r="F268" s="616"/>
      <c r="G268" s="616"/>
      <c r="H268" s="616"/>
      <c r="I268" s="616"/>
      <c r="J268" s="616"/>
      <c r="K268" s="1671">
        <f t="shared" si="22"/>
        <v>0</v>
      </c>
      <c r="L268" s="466"/>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335984</v>
      </c>
      <c r="E270" s="616"/>
      <c r="F270" s="616"/>
      <c r="G270" s="616"/>
      <c r="H270" s="616"/>
      <c r="I270" s="616"/>
      <c r="J270" s="616"/>
      <c r="K270" s="1669">
        <f>SUM(K263:K269)</f>
        <v>335984</v>
      </c>
      <c r="L270" s="1669">
        <f>SUM(L263:L269)</f>
        <v>195950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row>
    <row r="273" spans="1:12" x14ac:dyDescent="0.2">
      <c r="A273" s="1503" t="s">
        <v>607</v>
      </c>
      <c r="B273" s="628">
        <v>2620</v>
      </c>
      <c r="C273" s="616"/>
      <c r="D273" s="466"/>
      <c r="E273" s="616"/>
      <c r="F273" s="616"/>
      <c r="G273" s="616"/>
      <c r="H273" s="616"/>
      <c r="I273" s="616"/>
      <c r="J273" s="616"/>
      <c r="K273" s="1671">
        <f>D273</f>
        <v>0</v>
      </c>
      <c r="L273" s="466"/>
    </row>
    <row r="274" spans="1:12" ht="12" customHeight="1" x14ac:dyDescent="0.2">
      <c r="A274" s="1503" t="s">
        <v>1061</v>
      </c>
      <c r="B274" s="614">
        <v>2630</v>
      </c>
      <c r="C274" s="616"/>
      <c r="D274" s="466"/>
      <c r="E274" s="616"/>
      <c r="F274" s="616"/>
      <c r="G274" s="616"/>
      <c r="H274" s="616"/>
      <c r="I274" s="616"/>
      <c r="J274" s="616"/>
      <c r="K274" s="1671">
        <f>D274</f>
        <v>0</v>
      </c>
      <c r="L274" s="466"/>
    </row>
    <row r="275" spans="1:12" x14ac:dyDescent="0.2">
      <c r="A275" s="1503" t="s">
        <v>403</v>
      </c>
      <c r="B275" s="614">
        <v>2640</v>
      </c>
      <c r="C275" s="616"/>
      <c r="D275" s="466"/>
      <c r="E275" s="616"/>
      <c r="F275" s="616"/>
      <c r="G275" s="616"/>
      <c r="H275" s="616"/>
      <c r="I275" s="616"/>
      <c r="J275" s="616"/>
      <c r="K275" s="1671">
        <f>D275</f>
        <v>0</v>
      </c>
      <c r="L275" s="466"/>
    </row>
    <row r="276" spans="1:12" x14ac:dyDescent="0.2">
      <c r="A276" s="1503"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786218</v>
      </c>
      <c r="E279" s="616"/>
      <c r="F279" s="616"/>
      <c r="G279" s="616"/>
      <c r="H279" s="616"/>
      <c r="I279" s="616"/>
      <c r="J279" s="616"/>
      <c r="K279" s="1676">
        <f>SUM(K238,K243,K257,K261,K270,K277,K278)</f>
        <v>786218</v>
      </c>
      <c r="L279" s="1676">
        <f>SUM(L238,L243,L257,L261,L270,L277,L278)</f>
        <v>372750</v>
      </c>
    </row>
    <row r="280" spans="1:12" ht="15.75" customHeight="1" thickTop="1" thickBot="1" x14ac:dyDescent="0.25">
      <c r="A280" s="1623" t="s">
        <v>875</v>
      </c>
      <c r="B280" s="1612">
        <v>3000</v>
      </c>
      <c r="C280" s="616"/>
      <c r="D280" s="576">
        <v>215</v>
      </c>
      <c r="E280" s="616"/>
      <c r="F280" s="616"/>
      <c r="G280" s="616"/>
      <c r="H280" s="616"/>
      <c r="I280" s="616"/>
      <c r="J280" s="616"/>
      <c r="K280" s="1678">
        <f>D280</f>
        <v>215</v>
      </c>
      <c r="L280" s="576">
        <v>50</v>
      </c>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1841</v>
      </c>
      <c r="C282" s="616"/>
      <c r="D282" s="467"/>
      <c r="E282" s="616"/>
      <c r="F282" s="616"/>
      <c r="G282" s="616"/>
      <c r="H282" s="616"/>
      <c r="I282" s="616"/>
      <c r="J282" s="616"/>
      <c r="K282" s="1670">
        <f>D282</f>
        <v>0</v>
      </c>
      <c r="L282" s="467"/>
    </row>
    <row r="283" spans="1:12" x14ac:dyDescent="0.2">
      <c r="A283" s="1503" t="s">
        <v>304</v>
      </c>
      <c r="B283" s="614">
        <v>4120</v>
      </c>
      <c r="C283" s="616"/>
      <c r="D283" s="466"/>
      <c r="E283" s="616"/>
      <c r="F283" s="616"/>
      <c r="G283" s="616"/>
      <c r="H283" s="616"/>
      <c r="I283" s="616"/>
      <c r="J283" s="616"/>
      <c r="K283" s="1670">
        <f>D283</f>
        <v>0</v>
      </c>
      <c r="L283" s="466"/>
    </row>
    <row r="284" spans="1:12" x14ac:dyDescent="0.2">
      <c r="A284" s="1503"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1170</v>
      </c>
      <c r="B290" s="628" t="s">
        <v>617</v>
      </c>
      <c r="C290" s="616"/>
      <c r="D290" s="616"/>
      <c r="E290" s="616"/>
      <c r="F290" s="616"/>
      <c r="G290" s="616"/>
      <c r="H290" s="466"/>
      <c r="I290" s="616"/>
      <c r="J290" s="616"/>
      <c r="K290" s="1670">
        <f>H290</f>
        <v>0</v>
      </c>
      <c r="L290" s="466"/>
    </row>
    <row r="291" spans="1:14" x14ac:dyDescent="0.2">
      <c r="A291" s="1503" t="s">
        <v>89</v>
      </c>
      <c r="B291" s="614" t="s">
        <v>589</v>
      </c>
      <c r="C291" s="616"/>
      <c r="D291" s="616"/>
      <c r="E291" s="616"/>
      <c r="F291" s="616"/>
      <c r="G291" s="616"/>
      <c r="H291" s="466"/>
      <c r="I291" s="616"/>
      <c r="J291" s="616"/>
      <c r="K291" s="1670">
        <f>H291</f>
        <v>0</v>
      </c>
      <c r="L291" s="466"/>
    </row>
    <row r="292" spans="1:14" x14ac:dyDescent="0.2">
      <c r="A292" s="1503"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86" t="s">
        <v>505</v>
      </c>
      <c r="B295" s="2187"/>
      <c r="C295" s="616"/>
      <c r="D295" s="1669">
        <f>SUM(D229,D279,D280,D285)</f>
        <v>1504837</v>
      </c>
      <c r="E295" s="616"/>
      <c r="F295" s="616"/>
      <c r="G295" s="616"/>
      <c r="H295" s="1669">
        <f>H293</f>
        <v>0</v>
      </c>
      <c r="I295" s="616"/>
      <c r="J295" s="616"/>
      <c r="K295" s="1669">
        <f>SUM(K229,K279,K280,K285,K293,K294)</f>
        <v>1504837</v>
      </c>
      <c r="L295" s="1669">
        <f>SUM(L229,L279,L280,L285,L293,L294)</f>
        <v>1588150</v>
      </c>
    </row>
    <row r="296" spans="1:14" ht="13.5" thickTop="1" x14ac:dyDescent="0.2">
      <c r="A296" s="2195" t="s">
        <v>996</v>
      </c>
      <c r="B296" s="2196"/>
      <c r="C296" s="616"/>
      <c r="D296" s="618"/>
      <c r="E296" s="616"/>
      <c r="F296" s="616"/>
      <c r="G296" s="616"/>
      <c r="H296" s="687"/>
      <c r="I296" s="616"/>
      <c r="J296" s="616"/>
      <c r="K296" s="1683">
        <f>'Revenues 9-14'!G268-'Expenditures 15-22'!K295</f>
        <v>-274265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8" t="s">
        <v>143</v>
      </c>
      <c r="B298" s="2172"/>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c r="H301" s="466"/>
      <c r="I301" s="467"/>
      <c r="J301" s="467"/>
      <c r="K301" s="1670">
        <f>SUM(C301:J301)</f>
        <v>0</v>
      </c>
      <c r="L301" s="467"/>
    </row>
    <row r="302" spans="1:14" ht="13.5" customHeight="1" x14ac:dyDescent="0.2">
      <c r="A302" s="1516"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1846</v>
      </c>
      <c r="B306" s="690" t="s">
        <v>1841</v>
      </c>
      <c r="C306" s="616"/>
      <c r="D306" s="616"/>
      <c r="E306" s="467"/>
      <c r="F306" s="616"/>
      <c r="G306" s="616"/>
      <c r="H306" s="467"/>
      <c r="I306" s="616"/>
      <c r="J306" s="616"/>
      <c r="K306" s="1670">
        <f>SUM(E306,H306)</f>
        <v>0</v>
      </c>
      <c r="L306" s="467"/>
    </row>
    <row r="307" spans="1:14" x14ac:dyDescent="0.2">
      <c r="A307" s="1503" t="s">
        <v>304</v>
      </c>
      <c r="B307" s="614">
        <v>4120</v>
      </c>
      <c r="C307" s="616"/>
      <c r="D307" s="616"/>
      <c r="E307" s="467"/>
      <c r="F307" s="616"/>
      <c r="G307" s="616"/>
      <c r="H307" s="467"/>
      <c r="I307" s="477"/>
      <c r="J307" s="616"/>
      <c r="K307" s="1670">
        <f>SUM(E307,H307)</f>
        <v>0</v>
      </c>
      <c r="L307" s="466"/>
    </row>
    <row r="308" spans="1:14" x14ac:dyDescent="0.2">
      <c r="A308" s="1503" t="s">
        <v>697</v>
      </c>
      <c r="B308" s="614">
        <v>4140</v>
      </c>
      <c r="C308" s="616"/>
      <c r="D308" s="616"/>
      <c r="E308" s="467"/>
      <c r="F308" s="616"/>
      <c r="G308" s="616"/>
      <c r="H308" s="467"/>
      <c r="I308" s="477"/>
      <c r="J308" s="616"/>
      <c r="K308" s="1670">
        <f>SUM(E308,H308)</f>
        <v>0</v>
      </c>
      <c r="L308" s="466"/>
    </row>
    <row r="309" spans="1:14" ht="12.75" customHeight="1" x14ac:dyDescent="0.2">
      <c r="A309" s="1507"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83" t="s">
        <v>277</v>
      </c>
      <c r="B312" s="2184"/>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79" t="s">
        <v>996</v>
      </c>
      <c r="B313" s="2180"/>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2" t="s">
        <v>149</v>
      </c>
      <c r="B315" s="2193"/>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4" t="s">
        <v>898</v>
      </c>
      <c r="B317" s="2193"/>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2" t="s">
        <v>1801</v>
      </c>
      <c r="B320" s="698" t="s">
        <v>282</v>
      </c>
      <c r="C320" s="467"/>
      <c r="D320" s="467"/>
      <c r="E320" s="467"/>
      <c r="F320" s="467"/>
      <c r="G320" s="467"/>
      <c r="H320" s="467"/>
      <c r="I320" s="467"/>
      <c r="J320" s="467"/>
      <c r="K320" s="1670">
        <f t="shared" ref="K320:K327" si="24">SUM(C320:J320)</f>
        <v>0</v>
      </c>
      <c r="L320" s="467"/>
      <c r="M320" s="665"/>
      <c r="N320" s="665"/>
    </row>
    <row r="321" spans="1:14" s="674" customFormat="1" x14ac:dyDescent="0.2">
      <c r="A321" s="1518" t="s">
        <v>300</v>
      </c>
      <c r="B321" s="697" t="s">
        <v>283</v>
      </c>
      <c r="C321" s="467"/>
      <c r="D321" s="467"/>
      <c r="E321" s="467"/>
      <c r="F321" s="467"/>
      <c r="G321" s="467"/>
      <c r="H321" s="467"/>
      <c r="I321" s="467"/>
      <c r="J321" s="467"/>
      <c r="K321" s="1670">
        <f t="shared" si="24"/>
        <v>0</v>
      </c>
      <c r="L321" s="467"/>
      <c r="M321" s="665"/>
      <c r="N321" s="665"/>
    </row>
    <row r="322" spans="1:14" s="674" customFormat="1" x14ac:dyDescent="0.2">
      <c r="A322" s="1518" t="s">
        <v>238</v>
      </c>
      <c r="B322" s="697" t="s">
        <v>284</v>
      </c>
      <c r="C322" s="467"/>
      <c r="D322" s="467"/>
      <c r="E322" s="467"/>
      <c r="F322" s="467"/>
      <c r="G322" s="467"/>
      <c r="H322" s="467"/>
      <c r="I322" s="467"/>
      <c r="J322" s="467"/>
      <c r="K322" s="1670">
        <f t="shared" si="24"/>
        <v>0</v>
      </c>
      <c r="L322" s="467"/>
      <c r="M322" s="665"/>
      <c r="N322" s="665"/>
    </row>
    <row r="323" spans="1:14" s="674" customFormat="1" x14ac:dyDescent="0.2">
      <c r="A323" s="1518" t="s">
        <v>702</v>
      </c>
      <c r="B323" s="697" t="s">
        <v>285</v>
      </c>
      <c r="C323" s="467"/>
      <c r="D323" s="467"/>
      <c r="E323" s="467"/>
      <c r="F323" s="467"/>
      <c r="G323" s="467"/>
      <c r="H323" s="467"/>
      <c r="I323" s="467"/>
      <c r="J323" s="467"/>
      <c r="K323" s="1670">
        <f t="shared" si="24"/>
        <v>0</v>
      </c>
      <c r="L323" s="467"/>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8" t="s">
        <v>1029</v>
      </c>
      <c r="B325" s="698" t="s">
        <v>287</v>
      </c>
      <c r="C325" s="467"/>
      <c r="D325" s="467"/>
      <c r="E325" s="467"/>
      <c r="F325" s="467"/>
      <c r="G325" s="467"/>
      <c r="H325" s="467"/>
      <c r="I325" s="467"/>
      <c r="J325" s="467"/>
      <c r="K325" s="1670">
        <f t="shared" si="24"/>
        <v>0</v>
      </c>
      <c r="L325" s="467"/>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8" t="s">
        <v>971</v>
      </c>
      <c r="B327" s="697" t="s">
        <v>289</v>
      </c>
      <c r="C327" s="467"/>
      <c r="D327" s="467"/>
      <c r="E327" s="467"/>
      <c r="F327" s="467"/>
      <c r="G327" s="467"/>
      <c r="H327" s="467"/>
      <c r="I327" s="467"/>
      <c r="J327" s="467"/>
      <c r="K327" s="1670">
        <f t="shared" si="24"/>
        <v>0</v>
      </c>
      <c r="L327" s="467"/>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0</v>
      </c>
      <c r="F330" s="1669">
        <f t="shared" si="25"/>
        <v>0</v>
      </c>
      <c r="G330" s="1669">
        <f t="shared" si="25"/>
        <v>0</v>
      </c>
      <c r="H330" s="1669">
        <f t="shared" si="25"/>
        <v>0</v>
      </c>
      <c r="I330" s="1669">
        <f t="shared" si="25"/>
        <v>0</v>
      </c>
      <c r="J330" s="1669">
        <f t="shared" si="25"/>
        <v>0</v>
      </c>
      <c r="K330" s="1669">
        <f>SUM(K319:K329)</f>
        <v>0</v>
      </c>
      <c r="L330" s="1669">
        <f>SUM(L319:L329)</f>
        <v>0</v>
      </c>
      <c r="M330" s="665"/>
      <c r="N330" s="665"/>
    </row>
    <row r="331" spans="1:14" s="674" customFormat="1" ht="12.75" customHeight="1" thickTop="1" x14ac:dyDescent="0.2">
      <c r="A331" s="1830" t="s">
        <v>1847</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1841</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1843</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1848</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row>
    <row r="338" spans="1:14" ht="12.75" customHeight="1" x14ac:dyDescent="0.2">
      <c r="A338" s="1517" t="s">
        <v>1170</v>
      </c>
      <c r="B338" s="690" t="s">
        <v>617</v>
      </c>
      <c r="C338" s="638"/>
      <c r="D338" s="638"/>
      <c r="E338" s="638"/>
      <c r="F338" s="638"/>
      <c r="G338" s="638"/>
      <c r="H338" s="478"/>
      <c r="I338" s="638"/>
      <c r="J338" s="638"/>
      <c r="K338" s="1670">
        <f>H338</f>
        <v>0</v>
      </c>
      <c r="L338" s="478"/>
    </row>
    <row r="339" spans="1:14" x14ac:dyDescent="0.2">
      <c r="A339" s="1503"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0</v>
      </c>
      <c r="D342" s="1669">
        <f>SUM(D330)</f>
        <v>0</v>
      </c>
      <c r="E342" s="1669">
        <f>SUM(E330)</f>
        <v>0</v>
      </c>
      <c r="F342" s="1669">
        <f>SUM(F330)</f>
        <v>0</v>
      </c>
      <c r="G342" s="1669">
        <f>SUM(G330)</f>
        <v>0</v>
      </c>
      <c r="H342" s="1669">
        <f>SUM(H330,H334,H340)</f>
        <v>0</v>
      </c>
      <c r="I342" s="1669">
        <f>SUM(I330)</f>
        <v>0</v>
      </c>
      <c r="J342" s="1669">
        <f>SUM(J330)</f>
        <v>0</v>
      </c>
      <c r="K342" s="1669">
        <f>SUM(K330,K334,K340)</f>
        <v>0</v>
      </c>
      <c r="L342" s="1676">
        <f>SUM(L330,L340,L341)</f>
        <v>0</v>
      </c>
    </row>
    <row r="343" spans="1:14" ht="12.75" customHeight="1" thickTop="1" x14ac:dyDescent="0.2">
      <c r="A343" s="2181" t="s">
        <v>996</v>
      </c>
      <c r="B343" s="2182"/>
      <c r="C343" s="616"/>
      <c r="D343" s="616"/>
      <c r="E343" s="616"/>
      <c r="F343" s="616"/>
      <c r="G343" s="616"/>
      <c r="H343" s="616"/>
      <c r="I343" s="616"/>
      <c r="J343" s="616"/>
      <c r="K343" s="1683">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1" t="s">
        <v>966</v>
      </c>
      <c r="B345" s="2172"/>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row>
    <row r="349" spans="1:14" x14ac:dyDescent="0.2">
      <c r="A349" s="1503"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1849</v>
      </c>
      <c r="B354" s="683" t="s">
        <v>1841</v>
      </c>
      <c r="C354" s="616"/>
      <c r="D354" s="616"/>
      <c r="E354" s="616"/>
      <c r="F354" s="616"/>
      <c r="G354" s="616"/>
      <c r="H354" s="474"/>
      <c r="I354" s="701"/>
      <c r="J354" s="616"/>
      <c r="K354" s="1698">
        <f>H354</f>
        <v>0</v>
      </c>
      <c r="L354" s="471"/>
    </row>
    <row r="355" spans="1:14" ht="12.75" customHeight="1" x14ac:dyDescent="0.2">
      <c r="A355" s="1512" t="s">
        <v>1850</v>
      </c>
      <c r="B355" s="690" t="s">
        <v>1843</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95" t="s">
        <v>996</v>
      </c>
      <c r="B368" s="2196"/>
      <c r="C368" s="654"/>
      <c r="D368" s="654"/>
      <c r="E368" s="626"/>
      <c r="F368" s="626"/>
      <c r="G368" s="626"/>
      <c r="H368" s="626"/>
      <c r="I368" s="626"/>
      <c r="J368" s="623"/>
      <c r="K368" s="1670">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www.w3.org/XML/1998/namespace"/>
    <ds:schemaRef ds:uri="6ce3111e-7420-4802-b50a-75d4e9a0b980"/>
    <ds:schemaRef ds:uri="http://purl.org/dc/terms/"/>
    <ds:schemaRef ds:uri="d21dc803-237d-4c68-8692-8d731fd29118"/>
    <ds:schemaRef ds:uri="http://schemas.openxmlformats.org/package/2006/metadata/core-properties"/>
    <ds:schemaRef ds:uri="4d435f69-8686-490b-bd6d-b153bf22ab50"/>
    <ds:schemaRef ds:uri="http://schemas.microsoft.com/sharepoint/v3"/>
    <ds:schemaRef ds:uri="http://schemas.microsoft.com/office/2006/metadata/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 (1)</vt:lpstr>
      <vt:lpstr>SF&amp;QC Sec-3 (2)</vt:lpstr>
      <vt:lpstr>SF&amp;QC Sec-3 (3)</vt:lpstr>
      <vt:lpstr>SSPAF</vt:lpstr>
      <vt:lpstr>' SEFA'!Print_Area</vt:lpstr>
      <vt:lpstr>' SEFA (2)'!Print_Area</vt:lpstr>
      <vt:lpstr>'SEFA NOTES'!Print_Area</vt:lpstr>
      <vt:lpstr>'SEFA Reconcile'!Print_Area</vt:lpstr>
      <vt:lpstr>'SF&amp;QC Sec-1'!Print_Area</vt:lpstr>
      <vt:lpstr>'SF&amp;QC Sec-3 (2)'!Print_Area</vt:lpstr>
      <vt:lpstr>'SF&amp;QC Sec-3 (3)'!Print_Area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BAXTER CHRISTOPHER</cp:lastModifiedBy>
  <cp:lastPrinted>2019-10-30T16:33:56Z</cp:lastPrinted>
  <dcterms:created xsi:type="dcterms:W3CDTF">2003-10-29T19:06:34Z</dcterms:created>
  <dcterms:modified xsi:type="dcterms:W3CDTF">2019-12-16T22:04:48Z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