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05A8907-18D7-4CDF-ADD6-05EB7EA9465F}" xr6:coauthVersionLast="36" xr6:coauthVersionMax="36" xr10:uidLastSave="{00000000-0000-0000-0000-000000000000}"/>
  <bookViews>
    <workbookView xWindow="0" yWindow="0" windowWidth="21570" windowHeight="841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8" i="3"/>
  <c r="M17" i="3"/>
  <c r="I40" i="179"/>
  <c r="I47" i="179"/>
  <c r="I49" i="179" s="1"/>
  <c r="G47" i="179"/>
  <c r="G49" i="179" s="1"/>
  <c r="F47" i="179"/>
  <c r="E47" i="179"/>
  <c r="L35" i="179"/>
  <c r="G40" i="179"/>
  <c r="F40" i="179"/>
  <c r="E40" i="179"/>
  <c r="I39" i="179"/>
  <c r="G39" i="179"/>
  <c r="F39" i="179"/>
  <c r="E39" i="179"/>
  <c r="L25" i="179"/>
  <c r="L33" i="179"/>
  <c r="L31" i="179"/>
  <c r="L32" i="179"/>
  <c r="L30" i="179"/>
  <c r="L29" i="179"/>
  <c r="L28" i="179"/>
  <c r="L27" i="179"/>
  <c r="L26" i="179"/>
  <c r="L24" i="179"/>
  <c r="L22" i="179"/>
  <c r="L23" i="179"/>
  <c r="I17" i="179"/>
  <c r="F17" i="179"/>
  <c r="L16" i="179"/>
  <c r="L15" i="179"/>
  <c r="L14" i="179"/>
  <c r="G17" i="179"/>
  <c r="E17" i="179"/>
  <c r="E49" i="179" l="1"/>
  <c r="F49" i="179"/>
  <c r="D35" i="171" s="1"/>
  <c r="I12" i="11"/>
  <c r="C12" i="11" l="1"/>
  <c r="J34" i="8" l="1"/>
  <c r="E8" i="7"/>
  <c r="E16" i="7"/>
  <c r="E13" i="7"/>
  <c r="E5" i="7"/>
  <c r="E14" i="7"/>
  <c r="E7" i="7"/>
  <c r="E4" i="7"/>
  <c r="C32" i="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49" i="179" l="1"/>
  <c r="L46" i="179"/>
  <c r="L45" i="179"/>
  <c r="L38" i="179"/>
  <c r="L37" i="179"/>
  <c r="L3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G28" i="108"/>
  <c r="G29" i="108"/>
  <c r="G30" i="108"/>
  <c r="E31" i="108"/>
  <c r="G31" i="108"/>
  <c r="E33"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B5752" i="106"/>
  <c r="D5752" i="106" s="1"/>
  <c r="H28" i="118" l="1"/>
  <c r="L342" i="29"/>
  <c r="G26" i="108"/>
  <c r="E26" i="108"/>
  <c r="J210" i="29"/>
  <c r="B7072" i="106" s="1"/>
  <c r="D7072" i="106" s="1"/>
  <c r="C352" i="29"/>
  <c r="B3621" i="106" s="1"/>
  <c r="D3621" i="106" s="1"/>
  <c r="K184" i="29"/>
  <c r="F13" i="4" s="1"/>
  <c r="B2596" i="106" s="1"/>
  <c r="D2596" i="106" s="1"/>
  <c r="F38" i="34"/>
  <c r="B7047" i="106"/>
  <c r="D7047" i="106" s="1"/>
  <c r="F67" i="34"/>
  <c r="F34" i="34"/>
  <c r="L5" i="11"/>
  <c r="B2056" i="106" s="1"/>
  <c r="D2056" i="106" s="1"/>
  <c r="D24" i="37"/>
  <c r="B4270" i="106" s="1"/>
  <c r="D4270" i="106" s="1"/>
  <c r="E34" i="108"/>
  <c r="B3647" i="106"/>
  <c r="D3647" i="106" s="1"/>
  <c r="D7245" i="106"/>
  <c r="H365" i="29"/>
  <c r="B7242" i="106" s="1"/>
  <c r="D7242" i="106" s="1"/>
  <c r="L22" i="37"/>
  <c r="C342" i="29"/>
  <c r="B7216" i="106" s="1"/>
  <c r="D7216" i="106" s="1"/>
  <c r="I129" i="29"/>
  <c r="B7037" i="106" s="1"/>
  <c r="D7037" i="106" s="1"/>
  <c r="C129" i="29"/>
  <c r="F46" i="34"/>
  <c r="F36" i="34"/>
  <c r="G15" i="145"/>
  <c r="B1274" i="106"/>
  <c r="D1274" i="106" s="1"/>
  <c r="D54" i="36"/>
  <c r="L13" i="11"/>
  <c r="B2060" i="106" s="1"/>
  <c r="D2060" i="106" s="1"/>
  <c r="D69" i="36"/>
  <c r="D68" i="36"/>
  <c r="F19" i="7"/>
  <c r="B1807" i="106" s="1"/>
  <c r="D1807" i="106" s="1"/>
  <c r="D36" i="108"/>
  <c r="F36" i="108"/>
  <c r="E35" i="108"/>
  <c r="F28" i="108"/>
  <c r="B2724" i="106"/>
  <c r="D2724" i="106" s="1"/>
  <c r="F77" i="4"/>
  <c r="B3255" i="106" s="1"/>
  <c r="D3255" i="106" s="1"/>
  <c r="E29" i="108"/>
  <c r="G14" i="4"/>
  <c r="B2609" i="106" s="1"/>
  <c r="D2609" i="106" s="1"/>
  <c r="F71" i="34"/>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J16" i="4"/>
  <c r="B6226" i="106" s="1"/>
  <c r="D6226" i="106" s="1"/>
  <c r="B7215" i="106"/>
  <c r="D7215" i="106" s="1"/>
  <c r="H151" i="29"/>
  <c r="B1273" i="106" s="1"/>
  <c r="D1273" i="106" s="1"/>
  <c r="K365" i="29"/>
  <c r="L16" i="11"/>
  <c r="B2061" i="106" s="1"/>
  <c r="D2061" i="106" s="1"/>
  <c r="B2031" i="106"/>
  <c r="D2031" i="106" s="1"/>
  <c r="N23" i="3"/>
  <c r="B284" i="106" s="1"/>
  <c r="D284" i="106" s="1"/>
  <c r="L114" i="29"/>
  <c r="F41" i="108"/>
  <c r="G43" i="108" s="1"/>
  <c r="D41" i="108"/>
  <c r="E43" i="108" s="1"/>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<sst xmlns="http://schemas.openxmlformats.org/spreadsheetml/2006/main" count="5226" uniqueCount="2175">
  <si>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</si>
  <si>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</si>
  <si>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</si>
  <si>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</si>
  <si>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</si>
  <si>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</si>
  <si>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</si>
  <si>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</si>
  <si>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</si>
  <si>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</si>
  <si>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</si>
  <si>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</si>
  <si>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</si>
  <si>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</si>
  <si>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</si>
  <si>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</si>
  <si>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</si>
  <si>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</si>
  <si>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</si>
  <si>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</si>
  <si>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</si>
  <si>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</si>
  <si>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</si>
  <si>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</si>
  <si>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</si>
  <si>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</si>
  <si>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</si>
  <si>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</si>
  <si>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</si>
  <si>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</si>
  <si>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</si>
  <si>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</si>
  <si>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</si>
  <si>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</si>
  <si>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</si>
  <si>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</si>
  <si>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</si>
  <si>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</si>
  <si>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</si>
  <si>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</si>
  <si>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</si>
  <si>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</si>
  <si>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</si>
  <si>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</si>
  <si>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</si>
  <si>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</si>
  <si>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</si>
  <si>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</si>
  <si>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</si>
  <si>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</si>
  <si>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</si>
  <si>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</si>
  <si>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</si>
  <si>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</si>
  <si>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</si>
  <si>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</si>
  <si>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</si>
  <si>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</si>
  <si>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</si>
  <si>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</si>
  <si>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</si>
  <si>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</si>
  <si>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</si>
  <si>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</si>
  <si>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</si>
  <si>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</si>
  <si>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</si>
  <si>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</si>
  <si>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</si>
  <si>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</si>
  <si>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</si>
  <si>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</si>
  <si>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</si>
  <si>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</si>
  <si>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</si>
  <si>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</si>
  <si>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</si>
  <si>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</si>
  <si>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</si>
  <si>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</si>
  <si>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</si>
  <si>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</si>
  <si>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</si>
  <si>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</si>
  <si>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</si>
  <si>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</si>
  <si>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</si>
  <si>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</si>
  <si>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</si>
  <si>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</si>
  <si>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</si>
  <si>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</si>
  <si>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</si>
  <si>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</si>
  <si>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</si>
  <si>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</si>
  <si>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</si>
  <si>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</si>
  <si>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</si>
  <si>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</si>
  <si>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</si>
  <si>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</si>
  <si>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</si>
  <si>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</si>
  <si>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</si>
  <si>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</si>
  <si>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</si>
  <si>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</si>
  <si>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</si>
  <si>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</si>
  <si>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</si>
  <si>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</si>
  <si>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</si>
  <si>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</si>
  <si>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</si>
  <si>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</si>
  <si>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</si>
  <si>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</si>
  <si>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</si>
  <si>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</si>
  <si>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</si>
  <si>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</si>
  <si>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</si>
  <si>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</si>
  <si>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</si>
  <si>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</si>
  <si>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</si>
  <si>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</si>
  <si>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</si>
  <si>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</si>
  <si>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</si>
  <si>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</si>
  <si>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</si>
  <si>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</si>
  <si>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</si>
  <si>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</si>
  <si>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</si>
  <si>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</si>
  <si>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</si>
  <si>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</si>
  <si>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</si>
  <si>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</si>
  <si>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</si>
  <si>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</si>
  <si>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</si>
  <si>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</si>
  <si>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</si>
  <si>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</si>
  <si>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</si>
  <si>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</si>
  <si>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</si>
  <si>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</si>
  <si>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</si>
  <si>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</si>
  <si>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</si>
  <si>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</si>
  <si>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</si>
  <si>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</si>
  <si>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</si>
  <si>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</si>
  <si>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</si>
  <si>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</si>
  <si>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</si>
  <si>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</si>
  <si>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</si>
  <si>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</si>
  <si>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</si>
  <si>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</si>
  <si>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</si>
  <si>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</si>
  <si>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</si>
  <si>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</si>
  <si>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</si>
  <si>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</si>
  <si>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</si>
  <si>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</si>
  <si>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</si>
  <si>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</si>
  <si>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</si>
  <si>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</si>
  <si>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</si>
  <si>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</si>
  <si>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</si>
  <si>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</si>
  <si>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</si>
  <si>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</si>
  <si>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</si>
  <si>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</si>
  <si>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</si>
  <si>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</si>
  <si>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</si>
  <si>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</si>
  <si>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</si>
  <si>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</si>
  <si>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</si>
  <si>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</si>
  <si>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</si>
  <si>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</si>
  <si>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</si>
  <si>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</si>
  <si>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</si>
  <si>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</si>
  <si>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</si>
  <si>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</si>
  <si>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</si>
  <si>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</si>
  <si>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</si>
  <si>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</si>
  <si>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</si>
  <si>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</si>
  <si>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</si>
  <si>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</si>
  <si>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</si>
  <si>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</si>
  <si>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</si>
  <si>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</si>
  <si>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</si>
  <si>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</si>
  <si>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</si>
  <si>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</si>
  <si>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</si>
  <si>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</si>
  <si>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</si>
  <si>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</si>
  <si>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</si>
  <si>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</si>
  <si>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</si>
  <si>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</si>
  <si>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</si>
  <si>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</si>
  <si>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</si>
  <si>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</si>
  <si>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</si>
  <si>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</si>
  <si>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</si>
  <si>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</si>
  <si>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</si>
  <si>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</si>
  <si>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</si>
  <si>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</si>
  <si>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</si>
  <si>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</si>
  <si>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</si>
  <si>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</si>
  <si>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</si>
  <si>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</si>
  <si>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</si>
  <si>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</si>
  <si>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</si>
  <si>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</si>
  <si>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</si>
  <si>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</si>
  <si>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</si>
  <si>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</si>
  <si>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</si>
  <si>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</si>
  <si>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</si>
  <si>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</si>
  <si>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</si>
  <si>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</si>
  <si>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</si>
  <si>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</si>
  <si>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</si>
  <si>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</si>
  <si>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</si>
  <si>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</si>
  <si>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</si>
  <si>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</si>
  <si>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</si>
  <si>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</si>
  <si>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</si>
  <si>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</si>
  <si>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</si>
  <si>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</si>
  <si>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</si>
  <si>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</si>
  <si>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</si>
  <si>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</si>
  <si>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</si>
  <si>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</si>
  <si>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</si>
  <si>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</si>
  <si>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</si>
  <si>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</si>
  <si>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</si>
  <si>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</si>
  <si>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</si>
  <si>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</si>
  <si>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</si>
  <si>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</si>
  <si>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</si>
  <si>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</si>
  <si>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</si>
  <si>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</si>
  <si>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</si>
  <si>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</si>
  <si>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</si>
  <si>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</si>
  <si>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</si>
  <si>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</si>
  <si>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</si>
  <si>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</si>
  <si>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</si>
  <si>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</si>
  <si>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</si>
  <si>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</si>
  <si>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</si>
  <si>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</si>
  <si>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</si>
  <si>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</si>
  <si>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</si>
  <si>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</si>
  <si>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</si>
  <si>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</si>
  <si>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</si>
  <si>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</si>
  <si>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</si>
  <si>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</si>
  <si>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</si>
  <si>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</si>
  <si>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</si>
  <si>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</si>
  <si>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</si>
  <si>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</si>
  <si>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</si>
  <si>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</si>
  <si>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</si>
  <si>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</si>
  <si>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</si>
  <si>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</si>
  <si>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</si>
  <si>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</si>
  <si>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</si>
  <si>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</si>
  <si>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</si>
  <si>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</si>
  <si>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</si>
  <si>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</si>
  <si>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</si>
  <si>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</si>
  <si>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</si>
  <si>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</si>
  <si>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</si>
  <si>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</si>
  <si>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</si>
  <si>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</si>
  <si>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</si>
  <si>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</si>
  <si>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</si>
  <si>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</si>
  <si>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</si>
  <si>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</si>
  <si>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</si>
  <si>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</si>
  <si>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</si>
  <si>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</si>
  <si>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</si>
  <si>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</si>
  <si>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</si>
  <si>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</si>
  <si>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</si>
  <si>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</si>
  <si>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</si>
  <si>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</si>
  <si>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</si>
  <si>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</si>
  <si>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</si>
  <si>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</si>
  <si>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</si>
  <si>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</si>
  <si>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</si>
  <si>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</si>
  <si>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</si>
  <si>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</si>
  <si>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</si>
  <si>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</si>
  <si>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</si>
  <si>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</si>
  <si>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</si>
  <si>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</si>
  <si>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</si>
  <si>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</si>
  <si>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</si>
  <si>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</si>
  <si>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</si>
  <si>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</si>
  <si>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</si>
  <si>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</si>
  <si>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</si>
  <si>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</si>
  <si>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</si>
  <si>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</si>
  <si>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</si>
  <si>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</si>
  <si>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</si>
  <si>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</si>
  <si>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</si>
  <si>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</si>
  <si>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</si>
  <si>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</si>
  <si>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</si>
  <si>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</si>
  <si>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</si>
  <si>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</si>
  <si>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</si>
  <si>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</si>
  <si>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</si>
  <si>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</si>
  <si>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</si>
  <si>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</si>
  <si>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</si>
  <si>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</si>
  <si>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</si>
  <si>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</si>
  <si>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</si>
  <si>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</si>
  <si>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</si>
  <si>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</si>
  <si>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</si>
  <si>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</si>
  <si>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</si>
  <si>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</si>
  <si>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</si>
  <si>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</si>
  <si>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</si>
  <si>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</si>
  <si>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</si>
  <si>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</si>
  <si>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</si>
  <si>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</si>
  <si>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</si>
  <si>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</si>
  <si>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</si>
  <si>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</si>
  <si>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</si>
  <si>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</si>
  <si>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</si>
  <si>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</si>
  <si>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</si>
  <si>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</si>
  <si>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</si>
  <si>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</si>
  <si>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</si>
  <si>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</si>
  <si>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</si>
  <si>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</si>
  <si>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</si>
  <si>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</si>
  <si>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</si>
  <si>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</si>
  <si>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</si>
  <si>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</si>
  <si>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</si>
  <si>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</si>
  <si>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</si>
  <si>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</si>
  <si>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</si>
  <si>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</si>
  <si>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</si>
  <si>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</si>
  <si>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</si>
  <si>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</si>
  <si>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</si>
  <si>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</si>
  <si>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</si>
  <si>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</si>
  <si>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</si>
  <si>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</si>
  <si>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</si>
  <si>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</si>
  <si>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</si>
  <si>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</si>
  <si>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</si>
  <si>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</si>
  <si>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</si>
  <si>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</si>
  <si>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</si>
  <si>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</si>
  <si>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</si>
  <si>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</si>
  <si>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</si>
  <si>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</si>
  <si>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</si>
  <si>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</si>
  <si>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</si>
  <si>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</si>
  <si>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</si>
  <si>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</si>
  <si>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</si>
  <si>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</si>
  <si>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</si>
  <si>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</si>
  <si>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</si>
  <si>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</si>
  <si>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</si>
  <si>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</si>
  <si>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</si>
  <si>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</si>
  <si>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</si>
  <si>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</si>
  <si>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</si>
  <si>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</si>
  <si>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</si>
  <si>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</si>
  <si>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</si>
  <si>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</si>
  <si>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</si>
  <si>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</si>
  <si>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</si>
  <si>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</si>
  <si>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</si>
  <si>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</si>
  <si>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</si>
  <si>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</si>
  <si>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</si>
  <si>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</si>
  <si>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</si>
  <si>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</si>
  <si>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</si>
  <si>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</si>
  <si>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</si>
  <si>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</si>
  <si>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</si>
  <si>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</si>
  <si>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</si>
  <si>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</si>
  <si>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</si>
  <si>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</si>
  <si>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</si>
  <si>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</si>
  <si>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</si>
  <si>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</si>
  <si>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</si>
  <si>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</si>
  <si>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</si>
  <si>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</si>
  <si>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</si>
  <si>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</si>
  <si>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</si>
  <si>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</si>
  <si>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</si>
  <si>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</si>
  <si>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</si>
  <si>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</si>
  <si>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</si>
  <si>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</si>
  <si>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</si>
  <si>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</si>
  <si>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</si>
  <si>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</si>
  <si>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</si>
  <si>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</si>
  <si>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</si>
  <si>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</si>
  <si>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</si>
  <si>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</si>
  <si>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</si>
  <si>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</si>
  <si>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</si>
  <si>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</si>
  <si>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</si>
  <si>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</si>
  <si>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</si>
  <si>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</si>
  <si>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</si>
  <si>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</si>
  <si>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</si>
  <si>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</si>
  <si>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</si>
  <si>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</si>
  <si>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</si>
  <si>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</si>
  <si>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</si>
  <si>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</si>
  <si>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</si>
  <si>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</si>
  <si>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</si>
  <si>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</si>
  <si>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</si>
  <si>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</si>
  <si>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</si>
  <si>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</si>
  <si>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</si>
  <si>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</si>
  <si>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</si>
  <si>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</si>
  <si>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</si>
  <si>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</si>
  <si>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</si>
  <si>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</si>
  <si>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</si>
  <si>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</si>
  <si>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</si>
  <si>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</si>
  <si>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</si>
  <si>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</si>
  <si>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</si>
  <si>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</si>
  <si>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</si>
  <si>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</si>
  <si>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</si>
  <si>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</si>
  <si>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</si>
  <si>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</si>
  <si>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</si>
  <si>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</si>
  <si>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</si>
  <si>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</si>
  <si>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</si>
  <si>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</si>
  <si>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</si>
  <si>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</si>
  <si>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</si>
  <si>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</si>
  <si>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</si>
  <si>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</si>
  <si>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</si>
  <si>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</si>
  <si>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</si>
  <si>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</si>
  <si>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</si>
  <si>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</si>
  <si>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</si>
  <si>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</si>
  <si>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</si>
  <si>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</si>
  <si>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</si>
  <si>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</si>
  <si>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</si>
  <si>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</si>
  <si>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</si>
  <si>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</si>
  <si>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</si>
  <si>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</si>
  <si>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</si>
  <si>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</si>
  <si>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</si>
  <si>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</si>
  <si>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</si>
  <si>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</si>
  <si>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</si>
  <si>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</si>
  <si>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</si>
  <si>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</si>
  <si>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</si>
  <si>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</si>
  <si>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</si>
  <si>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</si>
  <si>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</si>
  <si>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</si>
  <si>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</si>
  <si>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</si>
  <si>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</si>
  <si>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</si>
  <si>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</si>
  <si>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</si>
  <si>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</si>
  <si>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</si>
  <si>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</si>
  <si>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</si>
  <si>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</si>
  <si>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</si>
  <si>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</si>
  <si>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</si>
  <si>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</si>
  <si>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</si>
  <si>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</si>
  <si>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</si>
  <si>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</si>
  <si>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</si>
  <si>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</si>
  <si>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</si>
  <si>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</si>
  <si>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</si>
  <si>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</si>
  <si>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</si>
  <si>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</si>
  <si>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</si>
  <si>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</si>
  <si>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</si>
  <si>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</si>
  <si>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</si>
  <si>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</si>
  <si>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</si>
  <si>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</si>
  <si>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</si>
  <si>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</si>
  <si>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</si>
  <si>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</si>
  <si>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</si>
  <si>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</si>
  <si>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</si>
  <si>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</si>
  <si>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</si>
  <si>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</si>
  <si>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</si>
  <si>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</si>
  <si>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</si>
  <si>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</si>
  <si>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</si>
  <si>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</si>
  <si>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</si>
  <si>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</si>
  <si>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</si>
  <si>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</si>
  <si>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</si>
  <si>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</si>
  <si>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</si>
  <si>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</si>
  <si>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</si>
  <si>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</si>
  <si>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</si>
  <si>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</si>
  <si>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</si>
  <si>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</si>
  <si>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</si>
  <si>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</si>
  <si>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</si>
  <si>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</si>
  <si>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</si>
  <si>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</si>
  <si>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</si>
  <si>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</si>
  <si>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</si>
  <si>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</si>
  <si>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</si>
  <si>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</si>
  <si>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</si>
  <si>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</si>
  <si>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</si>
  <si>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</si>
  <si>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</si>
  <si>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</si>
  <si>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</si>
  <si>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</si>
  <si>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</si>
  <si>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</si>
  <si>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</si>
  <si>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</si>
  <si>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</si>
  <si>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</si>
  <si>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</si>
  <si>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</si>
  <si>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</si>
  <si>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</si>
  <si>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</si>
  <si>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</si>
  <si>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</si>
  <si>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</si>
  <si>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</si>
  <si>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</si>
  <si>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</si>
  <si>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</si>
  <si>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</si>
  <si>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</si>
  <si>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</si>
  <si>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</si>
  <si>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</si>
  <si>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</si>
  <si>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</si>
  <si>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</si>
  <si>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</si>
  <si>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</si>
  <si>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</si>
  <si>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</si>
  <si>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</si>
  <si>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</si>
  <si>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</si>
  <si>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</si>
  <si>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</si>
  <si>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</si>
  <si>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</si>
  <si>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</si>
  <si>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</si>
  <si>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</si>
  <si>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</si>
  <si>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</si>
  <si>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</si>
  <si>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</si>
  <si>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</si>
  <si>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</si>
  <si>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</si>
  <si>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</si>
  <si>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</si>
  <si>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</si>
  <si>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</si>
  <si>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</si>
  <si>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</si>
  <si>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</si>
  <si>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</si>
  <si>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</si>
  <si>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</si>
  <si>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</si>
  <si>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</si>
  <si>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</si>
  <si>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</si>
  <si>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</si>
  <si>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</si>
  <si>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</si>
  <si>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</si>
  <si>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</si>
  <si>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</si>
  <si>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</si>
  <si>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</si>
  <si>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</si>
  <si>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</si>
  <si>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</si>
  <si>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</si>
  <si>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</si>
  <si>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</si>
  <si>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</si>
  <si>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</si>
  <si>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</si>
  <si>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</si>
  <si>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</si>
  <si>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</si>
  <si>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</si>
  <si>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</si>
  <si>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</si>
  <si>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</si>
  <si>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</si>
  <si>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</si>
  <si>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</si>
  <si>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</si>
  <si>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</si>
  <si>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</si>
  <si>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</si>
  <si>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</si>
  <si>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</si>
  <si>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</si>
  <si>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</si>
  <si>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</si>
  <si>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</si>
  <si>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</si>
  <si>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</si>
  <si>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</si>
  <si>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</si>
  <si>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</si>
  <si>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</si>
  <si>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</si>
  <si>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</si>
  <si>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</si>
  <si>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</si>
  <si>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</si>
  <si>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</si>
  <si>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</si>
  <si>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</si>
  <si>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</si>
  <si>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</si>
  <si>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</si>
  <si>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</si>
  <si>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</si>
  <si>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</si>
  <si>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</si>
  <si>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</si>
  <si>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</si>
  <si>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</si>
  <si>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</si>
  <si>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</si>
  <si>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</si>
  <si>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</si>
  <si>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</si>
  <si>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</si>
  <si>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</si>
  <si>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</si>
  <si>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</si>
  <si>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</si>
  <si>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</si>
  <si>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</si>
  <si>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</si>
  <si>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</si>
  <si>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</si>
  <si>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</si>
  <si>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</si>
  <si>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</si>
  <si>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</si>
  <si>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</si>
  <si>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</si>
  <si>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</si>
  <si>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</si>
  <si>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</si>
  <si>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</si>
  <si>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</si>
  <si>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</si>
  <si>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</si>
  <si>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</si>
  <si>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</si>
  <si>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</si>
  <si>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</si>
  <si>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</si>
  <si>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</si>
  <si>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</si>
  <si>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</si>
  <si>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</si>
  <si>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</si>
  <si>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</si>
  <si>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</si>
  <si>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</si>
  <si>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</si>
  <si>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</si>
  <si>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</si>
  <si>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</si>
  <si>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</si>
  <si>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</si>
  <si>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</si>
  <si>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</si>
  <si>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</si>
  <si>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</si>
  <si>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</si>
  <si>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</si>
  <si>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</si>
  <si>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</si>
  <si>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</si>
  <si>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</si>
  <si>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</si>
  <si>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</si>
  <si>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</si>
  <si>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</si>
  <si>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</si>
  <si>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</si>
  <si>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</si>
  <si>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</si>
  <si>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</si>
  <si>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</si>
  <si>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</si>
  <si>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</si>
  <si>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</si>
  <si>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</si>
  <si>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</si>
  <si>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</si>
  <si>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</si>
  <si>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</si>
  <si>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</si>
  <si>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</si>
  <si>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</si>
  <si>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</si>
  <si>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</si>
  <si>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</si>
  <si>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</si>
  <si>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</si>
  <si>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</si>
  <si>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</si>
  <si>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</si>
  <si>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</si>
  <si>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</si>
  <si>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</si>
  <si>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</si>
  <si>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</si>
  <si>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</si>
  <si>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</si>
  <si>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</si>
  <si>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</si>
  <si>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</si>
  <si>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</si>
  <si>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</si>
  <si>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</si>
  <si>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</si>
  <si>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</si>
  <si>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</si>
  <si>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</si>
  <si>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</si>
  <si>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</si>
  <si>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</si>
  <si>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</si>
  <si>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</si>
  <si>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</si>
  <si>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</si>
  <si>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</si>
  <si>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</si>
  <si>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</si>
  <si>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</si>
  <si>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</si>
  <si>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</si>
  <si>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</si>
  <si>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</si>
  <si>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</si>
  <si>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</si>
  <si>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</si>
  <si>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</si>
  <si>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</si>
  <si>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</si>
  <si>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</si>
  <si>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</si>
  <si>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</si>
  <si>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</si>
  <si>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</si>
  <si>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</si>
  <si>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</si>
  <si>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</si>
  <si>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</si>
  <si>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</si>
  <si>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</si>
  <si>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</si>
  <si>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</si>
  <si>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</si>
  <si>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</si>
  <si>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</si>
  <si>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</si>
  <si>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</si>
  <si>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</si>
  <si>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</si>
  <si>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</si>
  <si>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</si>
  <si>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</si>
  <si>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</si>
  <si>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</si>
  <si>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</si>
  <si>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</si>
  <si>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</si>
  <si>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</si>
  <si>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</si>
  <si>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</si>
  <si>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</si>
  <si>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</si>
  <si>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</si>
  <si>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</si>
  <si>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</si>
  <si>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</si>
  <si>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</si>
  <si>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</si>
  <si>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</si>
  <si>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</si>
  <si>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</si>
  <si>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</si>
  <si>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</si>
  <si>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</si>
  <si>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</si>
  <si>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</si>
  <si>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</si>
  <si>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</si>
  <si>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</si>
  <si>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</si>
  <si>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</si>
  <si>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</si>
  <si>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</si>
  <si>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</si>
  <si>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</si>
  <si>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</si>
  <si>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</si>
  <si>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</si>
  <si>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</si>
  <si>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</si>
  <si>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</si>
  <si>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</si>
  <si>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</si>
  <si>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</si>
  <si>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</si>
  <si>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</si>
  <si>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</si>
  <si>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</si>
  <si>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</si>
  <si>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</si>
  <si>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</si>
  <si>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</si>
  <si>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</si>
  <si>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</si>
  <si>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</si>
  <si>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</si>
  <si>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</si>
  <si>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</si>
  <si>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</si>
  <si>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</si>
  <si>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</si>
  <si>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</si>
  <si>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</si>
  <si>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</si>
  <si>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</si>
  <si>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</si>
  <si>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</si>
  <si>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</si>
  <si>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</si>
  <si>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</si>
  <si>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</si>
  <si>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</si>
  <si>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</si>
  <si>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</si>
  <si>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</si>
  <si>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</si>
  <si>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</si>
  <si>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</si>
  <si>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</si>
  <si>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</si>
  <si>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</si>
  <si>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</si>
  <si>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</si>
  <si>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</si>
  <si>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</si>
  <si>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</si>
  <si>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</si>
  <si>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</si>
  <si>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</si>
  <si>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</si>
  <si>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</si>
  <si>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</si>
  <si>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</si>
  <si>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</si>
  <si>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</si>
  <si>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</si>
  <si>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</si>
  <si>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</si>
  <si>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</si>
  <si>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</si>
  <si>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</si>
  <si>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</si>
  <si>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</si>
  <si>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</si>
  <si>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</si>
  <si>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</si>
  <si>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</si>
  <si>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</si>
  <si>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</si>
  <si>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</si>
  <si>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</si>
  <si>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</si>
  <si>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</si>
  <si>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</si>
  <si>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</si>
  <si>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</si>
  <si>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</si>
  <si>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</si>
  <si>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</si>
  <si>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</si>
  <si>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</si>
  <si>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</si>
  <si>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</si>
  <si>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</si>
  <si>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</si>
  <si>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</si>
  <si>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</si>
  <si>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</si>
  <si>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</si>
  <si>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</si>
  <si>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</si>
  <si>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</si>
  <si>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</si>
  <si>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</si>
  <si>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</si>
  <si>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</si>
  <si>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</si>
  <si>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</si>
  <si>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</si>
  <si>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</si>
  <si>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</si>
  <si>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</si>
  <si>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</si>
  <si>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</si>
  <si>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</si>
  <si>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</si>
  <si>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</si>
  <si>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</si>
  <si>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</si>
  <si>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</si>
  <si>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</si>
  <si>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</si>
  <si>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</si>
  <si>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</si>
  <si>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</si>
  <si>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</si>
  <si>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</si>
  <si>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</si>
  <si>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</si>
  <si>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</si>
  <si>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</si>
  <si>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</si>
  <si>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</si>
  <si>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</si>
  <si>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</si>
  <si>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</si>
  <si>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</si>
  <si>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</si>
  <si>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</si>
  <si>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</si>
  <si>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</si>
  <si>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</si>
  <si>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</si>
  <si>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</si>
  <si>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</si>
  <si>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</si>
  <si>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</si>
  <si>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</si>
  <si>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</si>
  <si>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</si>
  <si>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</si>
  <si>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</si>
  <si>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</si>
  <si>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</si>
  <si>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</si>
  <si>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</si>
  <si>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</si>
  <si>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</si>
  <si>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</si>
  <si>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</si>
  <si>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</si>
  <si>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</si>
  <si>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</si>
  <si>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</si>
  <si>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</si>
  <si>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</si>
  <si>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</si>
  <si>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</si>
  <si>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</si>
  <si>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</si>
  <si>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</si>
  <si>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</si>
  <si>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</si>
  <si>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</si>
  <si>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</si>
  <si>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</si>
  <si>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</si>
  <si>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</si>
  <si>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</si>
  <si>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</si>
  <si>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</si>
  <si>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</si>
  <si>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</si>
  <si>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</si>
  <si>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</si>
  <si>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</si>
  <si>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</si>
  <si>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</si>
  <si>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</si>
  <si>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</si>
  <si>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</si>
  <si>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</si>
  <si>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</si>
  <si>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</si>
  <si>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</si>
  <si>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</si>
  <si>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</si>
  <si>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</si>
  <si>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</si>
  <si>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</si>
  <si>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</si>
  <si>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</si>
  <si>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</si>
  <si>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</si>
  <si>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</si>
  <si>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</si>
  <si>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</si>
  <si>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</si>
  <si>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</si>
  <si>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</si>
  <si>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</si>
  <si>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</si>
  <si>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</si>
  <si>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</si>
  <si>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</si>
  <si>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</si>
  <si>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</si>
  <si>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</si>
  <si>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</si>
  <si>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</si>
  <si>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</si>
  <si>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</si>
  <si>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</si>
  <si>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</si>
  <si>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</si>
  <si>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</si>
  <si>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</si>
  <si>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</si>
  <si>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</si>
  <si>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</si>
  <si>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</si>
  <si>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</si>
  <si>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</si>
  <si>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</si>
  <si>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</si>
  <si>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</si>
  <si>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</si>
  <si>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</si>
  <si>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</si>
  <si>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</si>
  <si>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</si>
  <si>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</si>
  <si>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</si>
  <si>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</si>
  <si>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</si>
  <si>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</si>
  <si>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</si>
  <si>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</si>
  <si>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</si>
  <si>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</si>
  <si>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</si>
  <si>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</si>
  <si>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</si>
  <si>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</si>
  <si>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</si>
  <si>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</si>
  <si>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</si>
  <si>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</si>
  <si>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</si>
  <si>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</si>
  <si>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</si>
  <si>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</si>
  <si>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</si>
  <si>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</si>
  <si>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</si>
  <si>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</si>
  <si>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</si>
  <si>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</si>
  <si>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</si>
  <si>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</si>
  <si>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</si>
  <si>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</si>
  <si>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</si>
  <si>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</si>
  <si>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</si>
  <si>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</si>
  <si>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</si>
  <si>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</si>
  <si>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</si>
  <si>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</si>
  <si>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</si>
  <si>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</si>
  <si>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</si>
  <si>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</si>
  <si>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</si>
  <si>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</si>
  <si>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</si>
  <si>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</si>
  <si>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</si>
  <si>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</si>
  <si>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</si>
  <si>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</si>
  <si>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</si>
  <si>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</si>
  <si>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</si>
  <si>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</si>
  <si>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</si>
  <si>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</si>
  <si>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</si>
  <si>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</si>
  <si>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</si>
  <si>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</si>
  <si>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</si>
  <si>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</si>
  <si>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</si>
  <si>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</si>
  <si>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</si>
  <si>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</si>
  <si>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</si>
  <si>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</si>
  <si>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</si>
  <si>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</si>
  <si>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</si>
  <si>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</si>
  <si>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</si>
  <si>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</si>
  <si>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</si>
  <si>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</si>
  <si>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</si>
  <si>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</si>
  <si>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</si>
  <si>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</si>
  <si>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</si>
  <si>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</si>
  <si>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</si>
  <si>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</si>
  <si>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</si>
  <si>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</si>
  <si>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</si>
  <si>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</si>
  <si>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</si>
  <si>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</si>
  <si>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</si>
  <si>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</si>
  <si>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</si>
  <si>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</si>
  <si>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</si>
  <si>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</si>
  <si>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</si>
  <si>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</si>
  <si>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</si>
  <si>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</si>
  <si>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</si>
  <si>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</si>
  <si>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</si>
  <si>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</si>
  <si>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</si>
  <si>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</si>
  <si>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</si>
  <si>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</si>
  <si>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</si>
  <si>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</si>
  <si>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</si>
  <si>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</si>
  <si>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</si>
  <si>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</si>
  <si>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</si>
  <si>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</si>
  <si>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</si>
  <si>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</si>
  <si>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</si>
  <si>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</si>
  <si>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</si>
  <si>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</si>
  <si>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</si>
  <si>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</si>
  <si>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</si>
  <si>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</si>
  <si>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</si>
  <si>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</si>
  <si>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</si>
  <si>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</si>
  <si>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</si>
  <si>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</si>
  <si>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</si>
  <si>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</si>
  <si>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</si>
  <si>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</si>
  <si>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</si>
  <si>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</si>
  <si>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</si>
  <si>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</si>
  <si>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</si>
  <si>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</si>
  <si>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</si>
  <si>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</si>
  <si>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</si>
  <si>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</si>
  <si>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</si>
  <si>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</si>
  <si>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</si>
  <si>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</si>
  <si>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</si>
  <si>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</si>
  <si>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</si>
  <si>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</si>
  <si>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</si>
  <si>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</si>
  <si>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</si>
  <si>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</si>
  <si>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</si>
  <si>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</si>
  <si>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</si>
  <si>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</si>
  <si>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</si>
  <si>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</si>
  <si>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</si>
  <si>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</si>
  <si>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</si>
  <si>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</si>
  <si>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</si>
  <si>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</si>
  <si>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</si>
  <si>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</si>
  <si>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</si>
  <si>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</si>
  <si>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</si>
  <si>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</si>
  <si>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</si>
  <si>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</si>
  <si>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</si>
  <si>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</si>
  <si>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</si>
  <si>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</si>
  <si>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</si>
  <si>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</si>
  <si>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</si>
  <si>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</si>
  <si>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</si>
  <si>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</si>
  <si>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</si>
  <si>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</si>
  <si>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</si>
  <si>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</si>
  <si>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</si>
  <si>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</si>
  <si>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</si>
  <si>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</si>
  <si>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</si>
  <si>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</si>
  <si>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</si>
  <si>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</si>
  <si>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</si>
  <si>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</si>
  <si>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</si>
  <si>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</si>
  <si>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</si>
  <si>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</si>
  <si>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</si>
  <si>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</si>
  <si>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</si>
  <si>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</si>
  <si>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</si>
  <si>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</si>
  <si>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</si>
  <si>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</si>
  <si>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</si>
  <si>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</si>
  <si>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</si>
  <si>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</si>
  <si>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</si>
  <si>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</si>
  <si>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</si>
  <si>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</si>
  <si>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</si>
  <si>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</si>
  <si>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</si>
  <si>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</si>
  <si>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</si>
  <si>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</si>
  <si>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</si>
  <si>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</si>
  <si>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</si>
  <si>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</si>
  <si>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</si>
  <si>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</si>
  <si>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</si>
  <si>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</si>
  <si>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</si>
  <si>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</si>
  <si>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</si>
  <si>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</si>
  <si>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</si>
  <si>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</si>
  <si>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</si>
  <si>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</si>
  <si>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</si>
  <si>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</si>
  <si>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</si>
  <si>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</si>
  <si>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</si>
  <si>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</si>
  <si>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</si>
  <si>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</si>
  <si>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</si>
  <si>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</si>
  <si>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</si>
  <si>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</si>
  <si>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</si>
  <si>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</si>
  <si>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</si>
  <si>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</si>
  <si>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</si>
  <si>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</si>
  <si>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</si>
  <si>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</si>
  <si>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</si>
  <si>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</si>
  <si>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</si>
  <si>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</si>
  <si>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</si>
  <si>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</si>
  <si>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</si>
  <si>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</si>
  <si>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</si>
  <si>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</si>
  <si>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</si>
  <si>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</si>
  <si>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</si>
  <si>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</si>
  <si>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</si>
  <si>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</si>
  <si>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</si>
  <si>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</si>
  <si>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</si>
  <si>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</si>
  <si>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</si>
  <si>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</si>
  <si>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</si>
  <si>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</si>
  <si>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</si>
  <si>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</si>
  <si>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</si>
  <si>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</si>
  <si>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</si>
  <si>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</si>
  <si>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</si>
  <si>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</si>
  <si>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</si>
  <si>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</si>
  <si>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</si>
  <si>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</si>
  <si>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</si>
  <si>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</si>
  <si>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</si>
  <si>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</si>
  <si>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</si>
  <si>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</si>
  <si>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</si>
  <si>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</si>
  <si>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</si>
  <si>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</si>
  <si>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</si>
  <si>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</si>
  <si>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</si>
  <si>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</si>
  <si>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</si>
  <si>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</si>
  <si>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</si>
  <si>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</si>
  <si>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</si>
  <si>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</si>
  <si>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</si>
  <si>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</si>
  <si>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</si>
  <si>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</si>
  <si>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</si>
  <si>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</si>
  <si>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</si>
  <si>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</si>
  <si>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</si>
  <si>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</si>
  <si>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</si>
  <si>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</si>
  <si>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</si>
  <si>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</si>
  <si>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</si>
  <si>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</si>
  <si>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</si>
  <si>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</si>
  <si>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</si>
  <si>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</si>
  <si>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</si>
  <si>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</si>
  <si>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</si>
  <si>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</si>
  <si>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</si>
  <si>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</si>
  <si>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</si>
  <si>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</si>
  <si>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</si>
  <si>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</si>
  <si>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</si>
  <si>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</si>
  <si>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</si>
  <si>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</si>
  <si>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</si>
  <si>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</si>
  <si>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</si>
  <si>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</si>
  <si>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</si>
  <si>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</si>
  <si>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</si>
  <si>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</si>
  <si>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</si>
  <si>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</si>
  <si>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</si>
  <si>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</si>
  <si>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</si>
  <si>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</si>
  <si>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</si>
  <si>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</si>
  <si>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</si>
  <si>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</si>
  <si>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</si>
  <si>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</si>
  <si>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</si>
  <si>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</si>
  <si>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</si>
  <si>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</si>
  <si>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</si>
  <si>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</si>
  <si>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</si>
  <si>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</si>
  <si>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</si>
  <si>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</si>
  <si>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</si>
  <si>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</si>
  <si>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</si>
  <si>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</si>
  <si>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</si>
  <si>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</si>
  <si>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</si>
  <si>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</si>
  <si>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</si>
  <si>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</si>
  <si>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</si>
  <si>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</si>
  <si>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</si>
  <si>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</si>
  <si>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</si>
  <si>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</si>
  <si>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</si>
  <si>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</si>
  <si>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</si>
  <si>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</si>
  <si>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</si>
  <si>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</si>
  <si>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</si>
  <si>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</si>
  <si>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</si>
  <si>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</si>
  <si>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</si>
  <si>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</si>
  <si>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</si>
  <si>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</si>
  <si>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</si>
  <si>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</si>
  <si>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</si>
  <si>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</si>
  <si>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</si>
  <si>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</si>
  <si>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</si>
  <si>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</si>
  <si>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</si>
  <si>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</si>
  <si>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</si>
  <si>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</si>
  <si>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</si>
  <si>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</si>
  <si>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</si>
  <si>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</si>
  <si>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</si>
  <si>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</si>
  <si>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</si>
  <si>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</si>
  <si>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</si>
  <si>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</si>
  <si>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</si>
  <si>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</si>
  <si>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</si>
  <si>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</si>
  <si>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</si>
  <si>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</si>
  <si>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</si>
  <si>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</si>
  <si>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</si>
  <si>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</si>
  <si>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</si>
  <si>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</si>
  <si>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</si>
  <si>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</si>
  <si>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</si>
  <si>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</si>
  <si>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</si>
  <si>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</si>
  <si>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</si>
  <si>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</si>
  <si>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</si>
  <si>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</si>
  <si>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</si>
  <si>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</si>
  <si>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</si>
  <si>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</si>
  <si>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</si>
  <si>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</si>
  <si>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</si>
  <si>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</si>
  <si>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</si>
  <si>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</si>
  <si>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</si>
  <si>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</si>
  <si>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</si>
  <si>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</si>
  <si>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</si>
  <si>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</si>
  <si>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</si>
  <si>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</si>
  <si>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</si>
  <si>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</si>
  <si>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</si>
  <si>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</si>
  <si>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</si>
  <si>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</si>
  <si>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</si>
  <si>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</si>
  <si>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</si>
  <si>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</si>
  <si>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</si>
  <si>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</si>
  <si>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</si>
  <si>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</si>
  <si>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</si>
  <si>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</si>
  <si>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</si>
  <si>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</si>
  <si>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</si>
  <si>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</si>
  <si>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</si>
  <si>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</si>
  <si>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</si>
  <si>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</si>
  <si>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</si>
  <si>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</si>
  <si>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</si>
  <si>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</si>
  <si>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</si>
  <si>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</si>
  <si>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</si>
  <si>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</si>
  <si>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</si>
  <si>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</si>
  <si>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</si>
  <si>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</si>
  <si>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</si>
  <si>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</si>
  <si>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</si>
  <si>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</si>
  <si>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</si>
  <si>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</si>
  <si>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</si>
  <si>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</si>
  <si>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</si>
  <si>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</si>
  <si>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</si>
  <si>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</si>
  <si>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</si>
  <si>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</si>
  <si>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</si>
  <si>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</si>
  <si>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</si>
  <si>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</si>
  <si>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</si>
  <si>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</si>
  <si>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</si>
  <si>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</si>
  <si>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</si>
  <si>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</si>
  <si>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</si>
  <si>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</si>
  <si>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</si>
  <si>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</si>
  <si>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</si>
  <si>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</si>
  <si>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</si>
  <si>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</si>
  <si>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</si>
  <si>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</si>
  <si>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</si>
  <si>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</si>
  <si>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</si>
  <si>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</si>
  <si>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</si>
  <si>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</si>
  <si>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</si>
  <si>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</si>
  <si>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</si>
  <si>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</si>
  <si>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</si>
  <si>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</si>
  <si>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</si>
  <si>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</si>
  <si>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</si>
  <si>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</si>
  <si>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</si>
  <si>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</si>
  <si>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</si>
  <si>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</si>
  <si>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</si>
  <si>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</si>
  <si>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</si>
  <si>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</si>
  <si>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</si>
  <si>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</si>
  <si>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</si>
  <si>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</si>
  <si>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</si>
  <si>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</si>
  <si>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</si>
  <si>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</si>
  <si>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</si>
  <si>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</si>
  <si>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</si>
  <si>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</si>
  <si>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</si>
  <si>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</si>
  <si>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</si>
  <si>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</si>
  <si>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</si>
  <si>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</si>
  <si>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</si>
  <si>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</si>
  <si>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</si>
  <si>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</si>
  <si>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</si>
  <si>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</si>
  <si>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</si>
  <si>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</si>
  <si>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</si>
  <si>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</si>
  <si>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</si>
  <si>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</si>
  <si>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</si>
  <si>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</si>
  <si>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</si>
  <si>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</si>
  <si>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</si>
  <si>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</si>
  <si>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</si>
  <si>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</si>
  <si>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</si>
  <si>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</si>
  <si>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</si>
  <si>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</si>
  <si>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</si>
  <si>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</si>
  <si>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</si>
  <si>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</si>
  <si>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</si>
  <si>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</si>
  <si>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</si>
  <si>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</si>
  <si>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</si>
  <si>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</si>
  <si>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</si>
  <si>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</si>
  <si>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</si>
  <si>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</si>
  <si>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</si>
  <si>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</si>
  <si>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</si>
  <si>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</si>
  <si>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</si>
  <si>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</si>
  <si>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</si>
  <si>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</si>
  <si>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</si>
  <si>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</si>
  <si>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</si>
  <si>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</si>
  <si>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</si>
  <si>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</si>
  <si>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</si>
  <si>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</si>
  <si>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</si>
  <si>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</si>
  <si>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</si>
  <si>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</si>
  <si>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</si>
  <si>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</si>
  <si>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</si>
  <si>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</si>
  <si>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</si>
  <si>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</si>
  <si>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</si>
  <si>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</si>
  <si>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</si>
  <si>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</si>
  <si>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</si>
  <si>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</si>
  <si>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</si>
  <si>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</si>
  <si>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</si>
  <si>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</si>
  <si>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</si>
  <si>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</si>
  <si>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</si>
  <si>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</si>
  <si>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</si>
  <si>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</si>
  <si>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</si>
  <si>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</si>
  <si>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</si>
  <si>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</si>
  <si>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</si>
  <si>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</si>
  <si>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</si>
  <si>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</si>
  <si>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</si>
  <si>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</si>
  <si>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</si>
  <si>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</si>
  <si>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</si>
  <si>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</si>
  <si>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</si>
  <si>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</si>
  <si>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</si>
  <si>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</si>
  <si>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</si>
  <si>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</si>
  <si>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</si>
  <si>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</si>
  <si>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</si>
  <si>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</si>
  <si>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</si>
  <si>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</si>
  <si>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</si>
  <si>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</si>
  <si>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</si>
  <si>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</si>
  <si>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</si>
  <si>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</si>
  <si>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</si>
  <si>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</si>
  <si>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</si>
  <si>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</si>
  <si>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</si>
  <si>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</si>
  <si>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</si>
  <si>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</si>
  <si>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</si>
  <si>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</si>
  <si>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</si>
  <si>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</si>
  <si>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</si>
  <si>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</si>
  <si>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</si>
  <si>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</si>
  <si>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</si>
  <si>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</si>
  <si>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</si>
  <si>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</si>
  <si>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</si>
  <si>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</si>
  <si>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</si>
  <si>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</si>
  <si>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</si>
  <si>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</si>
  <si>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</si>
  <si>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</si>
  <si>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</si>
  <si>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</si>
  <si>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</si>
  <si>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</si>
  <si>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</si>
  <si>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</si>
  <si>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</si>
  <si>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</si>
  <si>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</si>
  <si>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</si>
  <si>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</si>
  <si>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</si>
  <si>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</si>
  <si>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</si>
  <si>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</si>
  <si>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</si>
  <si>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</si>
  <si>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</si>
  <si>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</si>
  <si>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</si>
  <si>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</si>
  <si>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</si>
  <si>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</si>
  <si>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</si>
  <si>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</si>
  <si>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</si>
  <si>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</si>
  <si>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</si>
  <si>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</si>
  <si>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</si>
  <si>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</si>
  <si>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</si>
  <si>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</si>
  <si>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</si>
  <si>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</si>
  <si>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</si>
  <si>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</si>
  <si>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</si>
  <si>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</si>
  <si>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</si>
  <si>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</si>
  <si>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</si>
  <si>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</si>
  <si>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</si>
  <si>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</si>
  <si>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</si>
  <si>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</si>
  <si>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</si>
  <si>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</si>
  <si>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</si>
  <si>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</si>
  <si>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</si>
  <si>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</si>
  <si>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</si>
  <si>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</si>
  <si>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</si>
  <si>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</si>
  <si>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</si>
  <si>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</si>
  <si>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</si>
  <si>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</si>
  <si>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</si>
  <si>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 xml:space="preserve">15100 SOUTH 94TH AVENUE </t>
  </si>
  <si>
    <t>ORLAND PARK</t>
  </si>
  <si>
    <t>JBRYK@ORLAND135.ORG</t>
  </si>
  <si>
    <t>708-364-3312</t>
  </si>
  <si>
    <t>SIKICH LLP</t>
  </si>
  <si>
    <t>ANTHONY CERVINI</t>
  </si>
  <si>
    <t>1415 W DIEHL ROAD, SUITE 400</t>
  </si>
  <si>
    <t>NAPERVILLE</t>
  </si>
  <si>
    <t>IL</t>
  </si>
  <si>
    <t>630-566-8400</t>
  </si>
  <si>
    <t>630-566-8401</t>
  </si>
  <si>
    <t>066-003284</t>
  </si>
  <si>
    <t>anthony.cervini@sikich.com</t>
  </si>
  <si>
    <t>DR. VANESSA KINDER</t>
  </si>
  <si>
    <t>V-KINDER@S-COOK.ORG</t>
  </si>
  <si>
    <t>708-754-6660</t>
  </si>
  <si>
    <t>708-754-8687</t>
  </si>
  <si>
    <t xml:space="preserve">MR. JOHN BRYK </t>
  </si>
  <si>
    <t>Sikich LLP</t>
  </si>
  <si>
    <t>Debt Certificates</t>
  </si>
  <si>
    <t>Capital Leases</t>
  </si>
  <si>
    <t>General Obligation Bonds, Series 2019A</t>
  </si>
  <si>
    <t>General Obligation Bonds, Series 2019B</t>
  </si>
  <si>
    <r>
      <t xml:space="preserve">Of the federal expenditures presented in the schedule, </t>
    </r>
    <r>
      <rPr>
        <b/>
        <sz val="9"/>
        <rFont val="Calibri"/>
        <family val="2"/>
        <scheme val="minor"/>
      </rPr>
      <t>Orland School District #135</t>
    </r>
    <r>
      <rPr>
        <sz val="9"/>
        <rFont val="Calibri"/>
        <family val="2"/>
        <scheme val="minor"/>
      </rPr>
      <t xml:space="preserve"> provided federal awards to subrecipients as follows:</t>
    </r>
  </si>
  <si>
    <t>NONE</t>
  </si>
  <si>
    <r>
      <t xml:space="preserve">The following amounts were expended in the form of non-cash assistance by Orland School District #135 and </t>
    </r>
    <r>
      <rPr>
        <b/>
        <sz val="9"/>
        <rFont val="Calibri"/>
        <family val="2"/>
        <scheme val="minor"/>
      </rPr>
      <t>should be</t>
    </r>
    <r>
      <rPr>
        <sz val="9"/>
        <rFont val="Calibri"/>
        <family val="2"/>
        <scheme val="minor"/>
      </rPr>
      <t xml:space="preserve"> included in the Schedule of Expenditures of Federal Awards:</t>
    </r>
  </si>
  <si>
    <t xml:space="preserve">Unmodified </t>
  </si>
  <si>
    <t>84.010A</t>
  </si>
  <si>
    <t xml:space="preserve">Title I Grants to Local Educational Agencies </t>
  </si>
  <si>
    <t>N/A</t>
  </si>
  <si>
    <t xml:space="preserve">US DEPARTMENT OF AGRICULTURE </t>
  </si>
  <si>
    <t xml:space="preserve">Passed Through the Illinois State Board of Education </t>
  </si>
  <si>
    <t xml:space="preserve">Child Nutrition Cluster </t>
  </si>
  <si>
    <t>4215-2017</t>
  </si>
  <si>
    <t>4215-2018</t>
  </si>
  <si>
    <t>4215-2019</t>
  </si>
  <si>
    <t xml:space="preserve">TOTAL US DEPARTMENT OF AGRICULTURE </t>
  </si>
  <si>
    <t xml:space="preserve">US DEPARTMENT OF EDUCATION </t>
  </si>
  <si>
    <t>84.367A</t>
  </si>
  <si>
    <t>4300-2017</t>
  </si>
  <si>
    <t>4300-2018</t>
  </si>
  <si>
    <t>4300-2019</t>
  </si>
  <si>
    <t>4932-2017</t>
  </si>
  <si>
    <t>4932-2018</t>
  </si>
  <si>
    <t>4932-2019</t>
  </si>
  <si>
    <t>Title III - Language Instruction Program - Limited English (LIPLEP)</t>
  </si>
  <si>
    <t xml:space="preserve">Title IVA - Student Support &amp; Academic Enrichment </t>
  </si>
  <si>
    <t>84.365A</t>
  </si>
  <si>
    <t>84.424A</t>
  </si>
  <si>
    <t>4909-2017</t>
  </si>
  <si>
    <t>4909-2018</t>
  </si>
  <si>
    <t>4909-2019</t>
  </si>
  <si>
    <t>4400-2018</t>
  </si>
  <si>
    <t>4400-2019</t>
  </si>
  <si>
    <t>Title I - School Improvement and Accountability</t>
  </si>
  <si>
    <t>4331-2019</t>
  </si>
  <si>
    <t>Special Education Cluster (IDEA)</t>
  </si>
  <si>
    <t>Title I - Low Income (M)</t>
  </si>
  <si>
    <t>Special Education - IDEA Preschool Flow-Through</t>
  </si>
  <si>
    <t>Special Education - IDEA Flow-Through</t>
  </si>
  <si>
    <t>84.173A</t>
  </si>
  <si>
    <t>84.027A</t>
  </si>
  <si>
    <t>4600-2018</t>
  </si>
  <si>
    <t>4600-2019</t>
  </si>
  <si>
    <t>4620-2018</t>
  </si>
  <si>
    <t>4620-2019</t>
  </si>
  <si>
    <r>
      <t xml:space="preserve">The accompanying Schedule of Expenditures of Federal Awards includes the federal grant activity of </t>
    </r>
    <r>
      <rPr>
        <b/>
        <sz val="9"/>
        <rFont val="Calibri"/>
        <family val="2"/>
        <scheme val="minor"/>
      </rPr>
      <t>Orland School District #135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</si>
  <si>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 xml:space="preserve">Total Special Education Cluster </t>
  </si>
  <si>
    <t xml:space="preserve">TOTAL US DEPARTMENT OF EDUCATION </t>
  </si>
  <si>
    <t xml:space="preserve">US DEPARTMENT OF HEALTH AND HUMAN SERVICES </t>
  </si>
  <si>
    <t xml:space="preserve">Passed Through the Illinois Department of Healthcare and Family Services </t>
  </si>
  <si>
    <t xml:space="preserve">Medicaid Cluster </t>
  </si>
  <si>
    <t>Medicaid Assistance Program</t>
  </si>
  <si>
    <t xml:space="preserve">TOTAL US DEPARTMENT OF HEALTH AND HUMAN SERVICES </t>
  </si>
  <si>
    <t xml:space="preserve">TOTAL FEDERAL FINANCIAL ASSISTANCE </t>
  </si>
  <si>
    <t>4991-2018</t>
  </si>
  <si>
    <t>4991-2019</t>
  </si>
  <si>
    <t>but reported gross on SEFA</t>
  </si>
  <si>
    <t xml:space="preserve">Medical Assistance Program reported net on Federal Revenues </t>
  </si>
  <si>
    <t>District Office only - share with CHSD 230</t>
  </si>
  <si>
    <t>Joint efforts in defending PTABS with CHSD 230 and OPFD</t>
  </si>
  <si>
    <t>CCSD 146</t>
  </si>
  <si>
    <t>Special Milk Program for Children</t>
  </si>
  <si>
    <t>PDF in Opinion Page with Signature and date</t>
  </si>
  <si>
    <t xml:space="preserve">Debt Certificates </t>
  </si>
  <si>
    <t xml:space="preserve">Capital Leases </t>
  </si>
  <si>
    <t xml:space="preserve">1690 - Food sales to other Districts </t>
  </si>
  <si>
    <t xml:space="preserve">1993 - Health insurance premiums received from retirees. </t>
  </si>
  <si>
    <t xml:space="preserve">1999 - Technology repair fees and other. </t>
  </si>
  <si>
    <t xml:space="preserve">5400 - Debt service fees. </t>
  </si>
  <si>
    <t xml:space="preserve">1790 - Other school revenue. </t>
  </si>
  <si>
    <t xml:space="preserve">ED - O&amp;M - Purchased Services </t>
  </si>
  <si>
    <t>ED - Food Service - Purchased Services</t>
  </si>
  <si>
    <t xml:space="preserve">ED - Board of Education - Purchased Services </t>
  </si>
  <si>
    <t xml:space="preserve">TR - Pupil Trans - Purchased Services </t>
  </si>
  <si>
    <t xml:space="preserve">ED - Support Staff - Purchased Services </t>
  </si>
  <si>
    <t xml:space="preserve">ED - Internal Services - Purchased Services </t>
  </si>
  <si>
    <t>10-2570-300</t>
  </si>
  <si>
    <t>10-2560-300</t>
  </si>
  <si>
    <t>10-2300-300</t>
  </si>
  <si>
    <t>40-2550-300</t>
  </si>
  <si>
    <t>10-2200-300</t>
  </si>
  <si>
    <t>US Bank</t>
  </si>
  <si>
    <t>Quest Food Service</t>
  </si>
  <si>
    <t>American School Bus</t>
  </si>
  <si>
    <t>Sunrise Southwest LLC</t>
  </si>
  <si>
    <t>Mesirow Insurance Service</t>
  </si>
  <si>
    <t>Proven Business System</t>
  </si>
  <si>
    <t>Martin Whalen</t>
  </si>
  <si>
    <t>Long-Term Debt Principal on Expenditures tab differs from amount presented on the debt tab by $6,450,000 due to the refunding that occurred in FY2019.</t>
  </si>
  <si>
    <t>Orland SD 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</si>
</sst>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9" t="s">
        <v>405</v>
      </c>
      <c r="J1" s="2020"/>
      <c r="K1" s="2020"/>
      <c r="L1" s="2020"/>
      <c r="M1" s="2020"/>
      <c r="N1" s="2020"/>
      <c r="O1" s="2020"/>
      <c r="P1" s="2020"/>
      <c r="Q1" s="2020"/>
      <c r="R1" s="2020"/>
      <c r="S1" s="2020"/>
    </row>
    <row r="2" spans="1:28" ht="12" customHeight="1" x14ac:dyDescent="0.2">
      <c r="A2" s="47" t="s">
        <v>1988</v>
      </c>
      <c r="D2" s="48"/>
      <c r="I2" s="2021" t="s">
        <v>979</v>
      </c>
      <c r="J2" s="2020"/>
      <c r="K2" s="2020"/>
      <c r="L2" s="2020"/>
      <c r="M2" s="2020"/>
      <c r="N2" s="2020"/>
      <c r="O2" s="2020"/>
      <c r="P2" s="2020"/>
      <c r="Q2" s="2020"/>
      <c r="R2" s="2020"/>
      <c r="S2" s="2020"/>
    </row>
    <row r="3" spans="1:28" ht="12" customHeight="1" x14ac:dyDescent="0.2">
      <c r="A3" s="155" t="s">
        <v>1940</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2062</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1989">
        <v>7016135002</v>
      </c>
      <c r="B13" s="1990"/>
      <c r="C13" s="1990"/>
      <c r="D13" s="1990"/>
      <c r="E13" s="1990"/>
      <c r="F13" s="1990"/>
      <c r="G13" s="1990"/>
      <c r="H13" s="1991"/>
      <c r="I13" s="31"/>
      <c r="J13" s="30"/>
      <c r="K13" s="28"/>
      <c r="L13" s="30"/>
      <c r="M13" s="30"/>
      <c r="N13" s="30"/>
      <c r="O13" s="30"/>
      <c r="P13" s="30"/>
      <c r="Q13" s="30"/>
      <c r="R13" s="30"/>
      <c r="S13" s="30"/>
      <c r="T13" s="1994" t="s">
        <v>2068</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2063</v>
      </c>
      <c r="B15" s="1992"/>
      <c r="C15" s="1992"/>
      <c r="D15" s="1992"/>
      <c r="E15" s="1992"/>
      <c r="F15" s="1992"/>
      <c r="G15" s="1992"/>
      <c r="H15" s="1993"/>
      <c r="T15" s="1955" t="s">
        <v>2069</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2174</v>
      </c>
      <c r="B17" s="2017"/>
      <c r="C17" s="2017"/>
      <c r="D17" s="2017"/>
      <c r="E17" s="2017"/>
      <c r="F17" s="2017"/>
      <c r="G17" s="2017"/>
      <c r="H17" s="2018"/>
      <c r="T17" s="2004" t="s">
        <v>2070</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2064</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60563</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2065</v>
      </c>
      <c r="B21" s="1985"/>
      <c r="C21" s="1985"/>
      <c r="D21" s="1985"/>
      <c r="E21" s="1985"/>
      <c r="F21" s="1985"/>
      <c r="G21" s="1985"/>
      <c r="H21" s="1986"/>
      <c r="I21" s="2010" t="s">
        <v>678</v>
      </c>
      <c r="J21" s="1973"/>
      <c r="K21" s="1973"/>
      <c r="L21" s="1973"/>
      <c r="M21" s="1973"/>
      <c r="N21" s="1973"/>
      <c r="O21" s="1973"/>
      <c r="P21" s="1973"/>
      <c r="Q21" s="1973"/>
      <c r="R21" s="1973"/>
      <c r="S21" s="1974"/>
      <c r="T21" s="1952" t="s">
        <v>2073</v>
      </c>
      <c r="U21" s="1953"/>
      <c r="V21" s="1953"/>
      <c r="W21" s="1953"/>
      <c r="X21" s="1966" t="s">
        <v>2074</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2066</v>
      </c>
      <c r="B23" s="2008"/>
      <c r="C23" s="2008"/>
      <c r="D23" s="2008"/>
      <c r="E23" s="2008"/>
      <c r="F23" s="2008"/>
      <c r="G23" s="2008"/>
      <c r="H23" s="2009"/>
      <c r="T23" s="1947" t="s">
        <v>2075</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60462</v>
      </c>
      <c r="B25" s="1985"/>
      <c r="C25" s="1985"/>
      <c r="D25" s="1985"/>
      <c r="E25" s="1985"/>
      <c r="F25" s="1985"/>
      <c r="G25" s="1985"/>
      <c r="H25" s="1986"/>
      <c r="I25" s="113"/>
      <c r="J25" s="2051"/>
      <c r="K25" s="2051"/>
      <c r="L25" s="2051"/>
      <c r="M25" s="2051"/>
      <c r="N25" s="2051"/>
      <c r="O25" s="2051"/>
      <c r="P25" s="2051"/>
      <c r="Q25" s="2051"/>
      <c r="R25" s="2051"/>
      <c r="S25" s="2052"/>
      <c r="T25" s="1944" t="s">
        <v>2076</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2081</v>
      </c>
      <c r="B38" s="2017"/>
      <c r="C38" s="2017"/>
      <c r="D38" s="2017"/>
      <c r="E38" s="2017"/>
      <c r="F38" s="1985"/>
      <c r="G38" s="1985"/>
      <c r="H38" s="1986"/>
      <c r="I38" s="2036"/>
      <c r="J38" s="1956"/>
      <c r="K38" s="1956"/>
      <c r="L38" s="1956"/>
      <c r="M38" s="1956"/>
      <c r="N38" s="1956"/>
      <c r="O38" s="1956"/>
      <c r="P38" s="1957"/>
      <c r="Q38" s="1957"/>
      <c r="R38" s="1957"/>
      <c r="S38" s="1958"/>
      <c r="T38" s="1955" t="s">
        <v>2077</v>
      </c>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2066</v>
      </c>
      <c r="B40" s="2044"/>
      <c r="C40" s="2045"/>
      <c r="D40" s="2045"/>
      <c r="E40" s="2045"/>
      <c r="F40" s="2046"/>
      <c r="G40" s="2046"/>
      <c r="H40" s="2047"/>
      <c r="I40" s="1959"/>
      <c r="J40" s="1961"/>
      <c r="K40" s="1961"/>
      <c r="L40" s="1961"/>
      <c r="M40" s="1961"/>
      <c r="N40" s="1961"/>
      <c r="O40" s="1961"/>
      <c r="P40" s="1961"/>
      <c r="Q40" s="1961"/>
      <c r="R40" s="1961"/>
      <c r="S40" s="1962"/>
      <c r="T40" s="1959" t="s">
        <v>2078</v>
      </c>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2067</v>
      </c>
      <c r="B42" s="2034"/>
      <c r="C42" s="2035"/>
      <c r="D42" s="2048"/>
      <c r="E42" s="2034"/>
      <c r="F42" s="2034"/>
      <c r="G42" s="2034"/>
      <c r="H42" s="2035"/>
      <c r="I42" s="1954"/>
      <c r="J42" s="1950"/>
      <c r="K42" s="1950"/>
      <c r="L42" s="1950"/>
      <c r="M42" s="1950"/>
      <c r="N42" s="1950"/>
      <c r="O42" s="1951"/>
      <c r="P42" s="1949"/>
      <c r="Q42" s="1950"/>
      <c r="R42" s="1950"/>
      <c r="S42" s="1951"/>
      <c r="T42" s="1954" t="s">
        <v>2079</v>
      </c>
      <c r="U42" s="1950"/>
      <c r="V42" s="1950"/>
      <c r="W42" s="1951"/>
      <c r="X42" s="1949" t="s">
        <v>2080</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13" colorId="8" zoomScale="110" zoomScaleNormal="110" workbookViewId="0">
      <selection activeCell="A24" sqref="A2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1799</v>
      </c>
      <c r="B2" s="1528" t="s">
        <v>1946</v>
      </c>
      <c r="C2" s="714" t="s">
        <v>1947</v>
      </c>
      <c r="D2" s="714" t="s">
        <v>1948</v>
      </c>
      <c r="E2" s="714" t="s">
        <v>1949</v>
      </c>
      <c r="F2" s="714" t="s">
        <v>1950</v>
      </c>
    </row>
    <row r="3" spans="1:6" ht="12" customHeight="1" x14ac:dyDescent="0.2">
      <c r="A3" s="2187"/>
      <c r="B3" s="1525"/>
      <c r="C3" s="1526"/>
      <c r="D3" s="1527" t="s">
        <v>256</v>
      </c>
      <c r="E3" s="1526"/>
      <c r="F3" s="1527" t="s">
        <v>257</v>
      </c>
    </row>
    <row r="4" spans="1:6" ht="13.7" customHeight="1" x14ac:dyDescent="0.2">
      <c r="A4" s="715" t="s">
        <v>1155</v>
      </c>
      <c r="B4" s="1749">
        <f>'Revenues 9-14'!C5</f>
        <v>50878360</v>
      </c>
      <c r="C4" s="1524">
        <v>27916860</v>
      </c>
      <c r="D4" s="1752">
        <f>B4-C4</f>
        <v>22961500</v>
      </c>
      <c r="E4" s="1524">
        <f>58607000-1758210</f>
        <v>56848790</v>
      </c>
      <c r="F4" s="1752">
        <f>E4-C4</f>
        <v>28931930</v>
      </c>
    </row>
    <row r="5" spans="1:6" ht="13.7" customHeight="1" x14ac:dyDescent="0.2">
      <c r="A5" s="715" t="s">
        <v>870</v>
      </c>
      <c r="B5" s="1750">
        <f>'Revenues 9-14'!D5</f>
        <v>5289202</v>
      </c>
      <c r="C5" s="585">
        <v>2698698</v>
      </c>
      <c r="D5" s="1753">
        <f t="shared" ref="D5:D18" si="0">B5-C5</f>
        <v>2590504</v>
      </c>
      <c r="E5" s="585">
        <f>5665000-169950</f>
        <v>5495050</v>
      </c>
      <c r="F5" s="1753">
        <f>E5-C5</f>
        <v>2796352</v>
      </c>
    </row>
    <row r="6" spans="1:6" ht="13.7" customHeight="1" x14ac:dyDescent="0.2">
      <c r="A6" s="715" t="s">
        <v>411</v>
      </c>
      <c r="B6" s="1750">
        <f>'Revenues 9-14'!E5</f>
        <v>-108563</v>
      </c>
      <c r="C6" s="585">
        <v>0</v>
      </c>
      <c r="D6" s="1753">
        <f t="shared" si="0"/>
        <v>-108563</v>
      </c>
      <c r="E6" s="585"/>
      <c r="F6" s="1753">
        <f t="shared" ref="F6:F18" si="1">E6-C6</f>
        <v>0</v>
      </c>
    </row>
    <row r="7" spans="1:6" ht="13.7" customHeight="1" x14ac:dyDescent="0.2">
      <c r="A7" s="715" t="s">
        <v>155</v>
      </c>
      <c r="B7" s="1750">
        <f>'Revenues 9-14'!F5</f>
        <v>3041976</v>
      </c>
      <c r="C7" s="585">
        <v>1569640</v>
      </c>
      <c r="D7" s="1753">
        <f t="shared" si="0"/>
        <v>1472336</v>
      </c>
      <c r="E7" s="585">
        <f>3296000-98880</f>
        <v>3197120</v>
      </c>
      <c r="F7" s="1753">
        <f t="shared" si="1"/>
        <v>1627480</v>
      </c>
    </row>
    <row r="8" spans="1:6" ht="13.7" customHeight="1" x14ac:dyDescent="0.2">
      <c r="A8" s="715" t="s">
        <v>1179</v>
      </c>
      <c r="B8" s="1750">
        <f>'Revenues 9-14'!G5</f>
        <v>1536277</v>
      </c>
      <c r="C8" s="585">
        <v>883238</v>
      </c>
      <c r="D8" s="1753">
        <f t="shared" si="0"/>
        <v>653039</v>
      </c>
      <c r="E8" s="585">
        <f>1854000-55620-90</f>
        <v>1798290</v>
      </c>
      <c r="F8" s="1753">
        <f t="shared" si="1"/>
        <v>915052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4646</v>
      </c>
      <c r="C10" s="585">
        <v>0</v>
      </c>
      <c r="D10" s="1753">
        <f t="shared" si="0"/>
        <v>4646</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367686</v>
      </c>
      <c r="C13" s="585">
        <v>195934</v>
      </c>
      <c r="D13" s="1753">
        <f t="shared" si="0"/>
        <v>171752</v>
      </c>
      <c r="E13" s="585">
        <f>412000-12360</f>
        <v>399640</v>
      </c>
      <c r="F13" s="1753">
        <f t="shared" si="1"/>
        <v>203706</v>
      </c>
    </row>
    <row r="14" spans="1:6" ht="13.7" customHeight="1" x14ac:dyDescent="0.2">
      <c r="A14" s="715" t="s">
        <v>410</v>
      </c>
      <c r="B14" s="1750">
        <f>SUM('Revenues 9-14'!C7:D7,'Revenues 9-14'!F7:H7)</f>
        <v>409766</v>
      </c>
      <c r="C14" s="585">
        <v>220832</v>
      </c>
      <c r="D14" s="1753">
        <f t="shared" si="0"/>
        <v>188934</v>
      </c>
      <c r="E14" s="585">
        <f>463500-13905</f>
        <v>449595</v>
      </c>
      <c r="F14" s="1753">
        <f t="shared" si="1"/>
        <v>228763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1255959</v>
      </c>
      <c r="C16" s="585">
        <v>662496</v>
      </c>
      <c r="D16" s="1753">
        <f t="shared" si="0"/>
        <v>593463</v>
      </c>
      <c r="E16" s="585">
        <f>1390500-41715</f>
        <v>1348785</v>
      </c>
      <c r="F16" s="1753">
        <f t="shared" si="1"/>
        <v>686289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62675309</v>
      </c>
      <c r="C19" s="1751">
        <f>SUM(C4:C18)</f>
        <v>34147698</v>
      </c>
      <c r="D19" s="1751">
        <f>SUM(D4:D18)</f>
        <v>28527611</v>
      </c>
      <c r="E19" s="1751">
        <f>SUM(E4:E18)</f>
        <v>69537270</v>
      </c>
      <c r="F19" s="1751">
        <f>SUM(F4:F18)</f>
        <v>35389572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33" colorId="8" zoomScale="90" zoomScaleNormal="90" workbookViewId="0">
      <selection activeCell="F54" sqref="F54:G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1799</v>
      </c>
      <c r="B2" s="2202"/>
      <c r="C2" s="1884" t="s">
        <v>1951</v>
      </c>
      <c r="D2" s="723" t="s">
        <v>1952</v>
      </c>
      <c r="E2" s="723" t="s">
        <v>1953</v>
      </c>
      <c r="F2" s="1884" t="s">
        <v>1954</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2083</v>
      </c>
      <c r="B31" s="733">
        <v>42066</v>
      </c>
      <c r="C31" s="734">
        <v>3115000</v>
      </c>
      <c r="D31" s="735">
        <v>7</v>
      </c>
      <c r="E31" s="734">
        <v>760000</v>
      </c>
      <c r="F31" s="734"/>
      <c r="G31" s="734"/>
      <c r="H31" s="734">
        <v>760000</v>
      </c>
      <c r="I31" s="1756">
        <f>((E31+F31)-H31)+G31</f>
        <v>0</v>
      </c>
      <c r="J31" s="734"/>
      <c r="K31" s="736"/>
    </row>
    <row r="32" spans="1:11" ht="12" customHeight="1" x14ac:dyDescent="0.2">
      <c r="A32" s="732" t="s">
        <v>2083</v>
      </c>
      <c r="B32" s="733">
        <v>41059</v>
      </c>
      <c r="C32" s="734">
        <v>6930000</v>
      </c>
      <c r="D32" s="735">
        <v>7</v>
      </c>
      <c r="E32" s="734">
        <v>6585000</v>
      </c>
      <c r="F32" s="734"/>
      <c r="G32" s="734"/>
      <c r="H32" s="734">
        <v>6585000</v>
      </c>
      <c r="I32" s="1756">
        <f>((E32+F32)-H32)+G32</f>
        <v>0</v>
      </c>
      <c r="J32" s="734"/>
      <c r="K32" s="736"/>
    </row>
    <row r="33" spans="1:11" ht="12" customHeight="1" x14ac:dyDescent="0.2">
      <c r="A33" s="732" t="s">
        <v>2084</v>
      </c>
      <c r="B33" s="733">
        <v>41958</v>
      </c>
      <c r="C33" s="734">
        <v>358898</v>
      </c>
      <c r="D33" s="735">
        <v>8</v>
      </c>
      <c r="E33" s="734">
        <v>104971</v>
      </c>
      <c r="F33" s="734"/>
      <c r="G33" s="734"/>
      <c r="H33" s="734">
        <v>78045</v>
      </c>
      <c r="I33" s="1756">
        <f t="shared" ref="I33:I48" si="1">((E33+F33)-H33)+G33</f>
        <v>26926</v>
      </c>
      <c r="J33" s="734">
        <v>26926</v>
      </c>
      <c r="K33" s="736"/>
    </row>
    <row r="34" spans="1:11" ht="12" customHeight="1" x14ac:dyDescent="0.2">
      <c r="A34" s="732" t="s">
        <v>2085</v>
      </c>
      <c r="B34" s="733">
        <v>43643</v>
      </c>
      <c r="C34" s="734">
        <v>6800000</v>
      </c>
      <c r="D34" s="735">
        <v>3</v>
      </c>
      <c r="E34" s="734"/>
      <c r="F34" s="734">
        <v>6800000</v>
      </c>
      <c r="G34" s="734"/>
      <c r="H34" s="734"/>
      <c r="I34" s="1756">
        <f t="shared" si="1"/>
        <v>6800000</v>
      </c>
      <c r="J34" s="734">
        <f>6800000-434469</f>
        <v>6365531</v>
      </c>
      <c r="K34" s="737"/>
    </row>
    <row r="35" spans="1:11" ht="12" customHeight="1" x14ac:dyDescent="0.2">
      <c r="A35" s="732" t="s">
        <v>2086</v>
      </c>
      <c r="B35" s="733">
        <v>43643</v>
      </c>
      <c r="C35" s="738">
        <v>3060000</v>
      </c>
      <c r="D35" s="735">
        <v>1</v>
      </c>
      <c r="E35" s="738"/>
      <c r="F35" s="738">
        <v>3060000</v>
      </c>
      <c r="G35" s="738"/>
      <c r="H35" s="738"/>
      <c r="I35" s="1756">
        <f t="shared" si="1"/>
        <v>3060000</v>
      </c>
      <c r="J35" s="738">
        <v>3060000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20263898</v>
      </c>
      <c r="D49" s="745"/>
      <c r="E49" s="1756">
        <f t="shared" ref="E49:J49" si="2">SUM(E31:E48)</f>
        <v>7449971</v>
      </c>
      <c r="F49" s="1756">
        <f t="shared" si="2"/>
        <v>9860000</v>
      </c>
      <c r="G49" s="1756">
        <f t="shared" si="2"/>
        <v>0</v>
      </c>
      <c r="H49" s="1756">
        <f t="shared" si="2"/>
        <v>7423045</v>
      </c>
      <c r="I49" s="1756">
        <f t="shared" si="2"/>
        <v>9886926</v>
      </c>
      <c r="J49" s="1756">
        <f t="shared" si="2"/>
        <v>9452457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t="s">
        <v>2148</v>
      </c>
      <c r="G52" s="2210"/>
      <c r="H52" s="736"/>
      <c r="I52" s="736"/>
      <c r="J52" s="746"/>
    </row>
    <row r="53" spans="1:11" ht="11.25" customHeight="1" x14ac:dyDescent="0.2">
      <c r="A53" s="750" t="s">
        <v>913</v>
      </c>
      <c r="B53" s="751" t="s">
        <v>951</v>
      </c>
      <c r="C53" s="746"/>
      <c r="D53" s="737"/>
      <c r="E53" s="749" t="s">
        <v>497</v>
      </c>
      <c r="F53" s="2211" t="s">
        <v>2149</v>
      </c>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80" zoomScaleNormal="8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1809</v>
      </c>
      <c r="K2" s="762" t="s">
        <v>138</v>
      </c>
    </row>
    <row r="3" spans="1:11" x14ac:dyDescent="0.2">
      <c r="A3" s="2223" t="s">
        <v>1959</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409766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1810</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409766</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409766</v>
      </c>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1806</v>
      </c>
      <c r="B19" s="2252"/>
      <c r="C19" s="2252"/>
      <c r="D19" s="2252"/>
      <c r="E19" s="2253"/>
      <c r="F19" s="789" t="s">
        <v>933</v>
      </c>
      <c r="G19" s="782"/>
      <c r="H19" s="782"/>
      <c r="I19" s="782"/>
      <c r="J19" s="765"/>
      <c r="K19" s="795"/>
    </row>
    <row r="20" spans="1:11" x14ac:dyDescent="0.2">
      <c r="A20" s="2231" t="s">
        <v>1811</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1812</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409766</v>
      </c>
      <c r="I23" s="1758">
        <f>SUM(I14:I16,I21,I22)</f>
        <v>0</v>
      </c>
      <c r="J23" s="1758">
        <f>SUM(J14:J16,J21,J22)</f>
        <v>0</v>
      </c>
      <c r="K23" s="1758">
        <f>SUM(K14:K16,K21,K22)</f>
        <v>0</v>
      </c>
    </row>
    <row r="24" spans="1:11" ht="14.25" thickTop="1" thickBot="1" x14ac:dyDescent="0.25">
      <c r="A24" s="2238" t="s">
        <v>1960</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1905</v>
      </c>
      <c r="B1" s="2257"/>
      <c r="C1" s="2258"/>
      <c r="D1" s="826"/>
      <c r="E1" s="827"/>
      <c r="F1" s="827"/>
      <c r="G1" s="828"/>
      <c r="H1" s="829"/>
      <c r="I1" s="830"/>
      <c r="J1" s="2254"/>
      <c r="K1" s="2255"/>
      <c r="L1" s="2255"/>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458880</v>
      </c>
      <c r="D5" s="841"/>
      <c r="E5" s="841"/>
      <c r="F5" s="1760">
        <f>(C5+D5)-E5</f>
        <v>458880</v>
      </c>
      <c r="G5" s="837"/>
      <c r="H5" s="842"/>
      <c r="I5" s="842"/>
      <c r="J5" s="842"/>
      <c r="K5" s="793"/>
      <c r="L5" s="1769">
        <f>F5-K5</f>
        <v>458880</v>
      </c>
    </row>
    <row r="6" spans="1:14" ht="14.25" thickTop="1" thickBot="1" x14ac:dyDescent="0.25">
      <c r="A6" s="778" t="s">
        <v>1117</v>
      </c>
      <c r="B6" s="840">
        <v>222</v>
      </c>
      <c r="C6" s="765">
        <v>3830898</v>
      </c>
      <c r="D6" s="765"/>
      <c r="E6" s="765"/>
      <c r="F6" s="1760">
        <f>(C6+D6)-E6</f>
        <v>3830898</v>
      </c>
      <c r="G6" s="837">
        <v>50</v>
      </c>
      <c r="H6" s="765">
        <v>2263598</v>
      </c>
      <c r="I6" s="765"/>
      <c r="J6" s="765"/>
      <c r="K6" s="1769">
        <f>(H6+I6)-J6</f>
        <v>2263598</v>
      </c>
      <c r="L6" s="1769">
        <f>F6-K6</f>
        <v>1567300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72487777</v>
      </c>
      <c r="D8" s="844"/>
      <c r="E8" s="844"/>
      <c r="F8" s="1760">
        <f>(C8+D8)-E8</f>
        <v>72487777</v>
      </c>
      <c r="G8" s="843">
        <v>50</v>
      </c>
      <c r="H8" s="765">
        <v>42383357</v>
      </c>
      <c r="I8" s="765">
        <v>1759442</v>
      </c>
      <c r="J8" s="765"/>
      <c r="K8" s="1769">
        <f>(H8+I8)-J8</f>
        <v>44142799</v>
      </c>
      <c r="L8" s="1769">
        <f>F8-K8</f>
        <v>28344978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f>4900817-1995049</f>
        <v>2905768</v>
      </c>
      <c r="D12" s="844">
        <v>33261</v>
      </c>
      <c r="E12" s="844">
        <v>24617</v>
      </c>
      <c r="F12" s="1760">
        <f>(C12+D12)-E12</f>
        <v>2914412</v>
      </c>
      <c r="G12" s="843">
        <v>10</v>
      </c>
      <c r="H12" s="765">
        <v>2006997</v>
      </c>
      <c r="I12" s="765">
        <f>143975+233221-158844</f>
        <v>218352</v>
      </c>
      <c r="J12" s="765">
        <v>22155</v>
      </c>
      <c r="K12" s="1769">
        <f>(H12+I12)-J12</f>
        <v>2203194</v>
      </c>
      <c r="L12" s="1769">
        <f>F12-K12</f>
        <v>711218</v>
      </c>
    </row>
    <row r="13" spans="1:14" ht="14.25" thickTop="1" thickBot="1" x14ac:dyDescent="0.25">
      <c r="A13" s="848" t="s">
        <v>1122</v>
      </c>
      <c r="B13" s="840">
        <v>252</v>
      </c>
      <c r="C13" s="844">
        <v>1995049</v>
      </c>
      <c r="D13" s="844"/>
      <c r="E13" s="844"/>
      <c r="F13" s="1760">
        <f>(C13+D13)-E13</f>
        <v>1995049</v>
      </c>
      <c r="G13" s="843">
        <v>5</v>
      </c>
      <c r="H13" s="765">
        <v>1573117</v>
      </c>
      <c r="I13" s="765">
        <v>158844</v>
      </c>
      <c r="J13" s="765"/>
      <c r="K13" s="1769">
        <f>(H13+I13)-J13</f>
        <v>1731961</v>
      </c>
      <c r="L13" s="1769">
        <f>F13-K13</f>
        <v>263088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81678372</v>
      </c>
      <c r="D16" s="1760">
        <f>SUM(D3,D5:D6,D8:D10,D12:D15)</f>
        <v>33261</v>
      </c>
      <c r="E16" s="1760">
        <f>SUM(E3,E5:E6,E8:E10,E12:E15)</f>
        <v>24617</v>
      </c>
      <c r="F16" s="1760">
        <f>SUM(F3,F5:F6,F8:F10,F12:F15)</f>
        <v>81687016</v>
      </c>
      <c r="G16" s="843"/>
      <c r="H16" s="1760">
        <f>SUM(H3,H6,H8:H10,H12:H14,)</f>
        <v>48227069</v>
      </c>
      <c r="I16" s="1760">
        <f>SUM(I3,I6,I8:I10,I12:I14,)</f>
        <v>2136638</v>
      </c>
      <c r="J16" s="1760">
        <f>SUM(J3,J6,J8:J10,J12:J14,)</f>
        <v>22155</v>
      </c>
      <c r="K16" s="1760">
        <f>(H16+I16)-J16</f>
        <v>50341552</v>
      </c>
      <c r="L16" s="1760">
        <f>F16-K16</f>
        <v>31345464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910789</v>
      </c>
      <c r="G17" s="837">
        <v>10</v>
      </c>
      <c r="H17" s="769"/>
      <c r="I17" s="1769">
        <f>F17/G17</f>
        <v>91078.9</v>
      </c>
      <c r="J17" s="769"/>
      <c r="K17" s="795"/>
      <c r="L17" s="795"/>
    </row>
    <row r="18" spans="1:12" ht="14.25" thickTop="1" thickBot="1" x14ac:dyDescent="0.25">
      <c r="A18" s="1767" t="s">
        <v>685</v>
      </c>
      <c r="B18" s="1768"/>
      <c r="C18" s="771"/>
      <c r="D18" s="771"/>
      <c r="E18" s="771"/>
      <c r="F18" s="850"/>
      <c r="G18" s="851"/>
      <c r="H18" s="773"/>
      <c r="I18" s="1760">
        <f>SUM(I16,I17)</f>
        <v>2227716.9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9" activePane="bottomLeft" state="frozen"/>
      <selection activeCell="A24" sqref="A24"/>
      <selection pane="bottomLeft" activeCell="A24" sqref="A2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1970</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64764708</v>
      </c>
      <c r="G8" s="865"/>
    </row>
    <row r="9" spans="1:7" x14ac:dyDescent="0.2">
      <c r="A9" s="869" t="s">
        <v>460</v>
      </c>
      <c r="B9" s="870" t="s">
        <v>1873</v>
      </c>
      <c r="C9" s="871"/>
      <c r="D9" s="869" t="s">
        <v>501</v>
      </c>
      <c r="E9" s="868"/>
      <c r="F9" s="1909">
        <f>'Expenditures 15-22'!K151</f>
        <v>5467074</v>
      </c>
      <c r="G9" s="872"/>
    </row>
    <row r="10" spans="1:7" x14ac:dyDescent="0.2">
      <c r="A10" s="869" t="s">
        <v>499</v>
      </c>
      <c r="B10" s="870" t="s">
        <v>1874</v>
      </c>
      <c r="C10" s="871"/>
      <c r="D10" s="869" t="s">
        <v>501</v>
      </c>
      <c r="E10" s="868"/>
      <c r="F10" s="1909">
        <f>'Expenditures 15-22'!K174</f>
        <v>1373840</v>
      </c>
      <c r="G10" s="872"/>
    </row>
    <row r="11" spans="1:7" x14ac:dyDescent="0.2">
      <c r="A11" s="869" t="s">
        <v>461</v>
      </c>
      <c r="B11" s="870" t="s">
        <v>1875</v>
      </c>
      <c r="C11" s="871"/>
      <c r="D11" s="869" t="s">
        <v>501</v>
      </c>
      <c r="E11" s="868"/>
      <c r="F11" s="1909">
        <f>'Expenditures 15-22'!K210</f>
        <v>7106928</v>
      </c>
      <c r="G11" s="872"/>
    </row>
    <row r="12" spans="1:7" x14ac:dyDescent="0.2">
      <c r="A12" s="869" t="s">
        <v>462</v>
      </c>
      <c r="B12" s="870" t="s">
        <v>1876</v>
      </c>
      <c r="C12" s="871"/>
      <c r="D12" s="869" t="s">
        <v>501</v>
      </c>
      <c r="E12" s="868"/>
      <c r="F12" s="1909">
        <f>'Expenditures 15-22'!K295</f>
        <v>2758674</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81471224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76032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211607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1292396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106468</v>
      </c>
      <c r="G52" s="865"/>
    </row>
    <row r="53" spans="1:7" x14ac:dyDescent="0.2">
      <c r="A53" s="869" t="s">
        <v>459</v>
      </c>
      <c r="B53" s="869" t="s">
        <v>1475</v>
      </c>
      <c r="C53" s="889">
        <f>'Expenditures 15-22'!B102</f>
        <v>4000</v>
      </c>
      <c r="D53" s="888" t="str">
        <f>'Expenditures 15-22'!A102</f>
        <v>Total Payments to Other Govt Units</v>
      </c>
      <c r="E53" s="868"/>
      <c r="F53" s="1913">
        <f>'Expenditures 15-22'!K102</f>
        <v>254705</v>
      </c>
      <c r="G53" s="865"/>
    </row>
    <row r="54" spans="1:7" x14ac:dyDescent="0.2">
      <c r="A54" s="869" t="s">
        <v>459</v>
      </c>
      <c r="B54" s="869" t="s">
        <v>1476</v>
      </c>
      <c r="C54" s="889" t="s">
        <v>982</v>
      </c>
      <c r="D54" s="885" t="s">
        <v>1095</v>
      </c>
      <c r="E54" s="868"/>
      <c r="F54" s="1913">
        <f>'Expenditures 15-22'!G114</f>
        <v>89670</v>
      </c>
      <c r="G54" s="865"/>
    </row>
    <row r="55" spans="1:7" x14ac:dyDescent="0.2">
      <c r="A55" s="869" t="s">
        <v>459</v>
      </c>
      <c r="B55" s="869" t="s">
        <v>1477</v>
      </c>
      <c r="C55" s="889" t="s">
        <v>982</v>
      </c>
      <c r="D55" s="885" t="s">
        <v>291</v>
      </c>
      <c r="E55" s="868"/>
      <c r="F55" s="1913">
        <f>'Expenditures 15-22'!I114</f>
        <v>640623</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973045</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12628</v>
      </c>
      <c r="G71" s="865"/>
    </row>
    <row r="72" spans="1:8" x14ac:dyDescent="0.2">
      <c r="A72" s="869" t="s">
        <v>462</v>
      </c>
      <c r="B72" s="869" t="s">
        <v>1892</v>
      </c>
      <c r="C72" s="886">
        <f>'Expenditures 15-22'!B280</f>
        <v>3000</v>
      </c>
      <c r="D72" s="876" t="s">
        <v>449</v>
      </c>
      <c r="E72" s="868"/>
      <c r="F72" s="1913">
        <f>'Expenditures 15-22'!K280</f>
        <v>781</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3657955</v>
      </c>
      <c r="G76" s="865"/>
    </row>
    <row r="77" spans="1:8" s="893" customFormat="1" ht="12" customHeight="1" thickTop="1" thickBot="1" x14ac:dyDescent="0.25">
      <c r="A77" s="1779"/>
      <c r="B77" s="1776"/>
      <c r="C77" s="1772"/>
      <c r="D77" s="1777" t="s">
        <v>1896</v>
      </c>
      <c r="E77" s="1774"/>
      <c r="F77" s="1780">
        <f>(F14-F76)</f>
        <v>77813269</v>
      </c>
      <c r="G77" s="869"/>
    </row>
    <row r="78" spans="1:8" s="893" customFormat="1" ht="12" customHeight="1" thickTop="1" x14ac:dyDescent="0.2">
      <c r="A78" s="1781"/>
      <c r="B78" s="1776"/>
      <c r="C78" s="1772"/>
      <c r="D78" s="1777" t="s">
        <v>2057</v>
      </c>
      <c r="E78" s="1774"/>
      <c r="F78" s="898">
        <v>4912.8999999999996</v>
      </c>
      <c r="G78" s="899"/>
      <c r="H78" s="869"/>
    </row>
    <row r="79" spans="1:8" s="893" customFormat="1" ht="12" customHeight="1" thickBot="1" x14ac:dyDescent="0.25">
      <c r="A79" s="1782"/>
      <c r="B79" s="1776"/>
      <c r="C79" s="1772"/>
      <c r="D79" s="1777" t="s">
        <v>1897</v>
      </c>
      <c r="E79" s="1774" t="s">
        <v>958</v>
      </c>
      <c r="F79" s="1783">
        <f>IF(F78&gt;0,F77/F78," Complete Line 78")</f>
        <v>15838.561542062735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66550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1429173</v>
      </c>
      <c r="G94" s="912"/>
    </row>
    <row r="95" spans="1:7" x14ac:dyDescent="0.2">
      <c r="A95" s="908" t="s">
        <v>140</v>
      </c>
      <c r="B95" s="908" t="s">
        <v>175</v>
      </c>
      <c r="C95" s="910">
        <v>1700</v>
      </c>
      <c r="D95" s="918" t="str">
        <f>'Revenues 9-14'!A82</f>
        <v>Total District/School Activity Income</v>
      </c>
      <c r="E95" s="906"/>
      <c r="F95" s="1789">
        <f>SUM('Revenues 9-14'!C82,'Revenues 9-14'!D82)</f>
        <v>530922</v>
      </c>
      <c r="G95" s="912"/>
    </row>
    <row r="96" spans="1:7" x14ac:dyDescent="0.2">
      <c r="A96" s="908" t="s">
        <v>459</v>
      </c>
      <c r="B96" s="908" t="s">
        <v>176</v>
      </c>
      <c r="C96" s="910">
        <f>'Revenues 9-14'!B84</f>
        <v>1811</v>
      </c>
      <c r="D96" s="911" t="str">
        <f>'Revenues 9-14'!A84</f>
        <v>Rentals - Regular Textbooks</v>
      </c>
      <c r="E96" s="906"/>
      <c r="F96" s="1789">
        <f>'Revenues 9-14'!C84</f>
        <v>500727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239506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236713</v>
      </c>
      <c r="G104" s="912"/>
    </row>
    <row r="105" spans="1:7" x14ac:dyDescent="0.2">
      <c r="A105" s="908" t="s">
        <v>503</v>
      </c>
      <c r="B105" s="908" t="s">
        <v>1998</v>
      </c>
      <c r="C105" s="913">
        <v>3100</v>
      </c>
      <c r="D105" s="919" t="str">
        <f>'Revenues 9-14'!A132</f>
        <v>Total Special Education</v>
      </c>
      <c r="E105" s="906"/>
      <c r="F105" s="1789">
        <f>SUM('Revenues 9-14'!C132:D132,'Revenues 9-14'!F132)</f>
        <v>603243</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4968</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4868307</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49248</v>
      </c>
      <c r="G125" s="930"/>
    </row>
    <row r="126" spans="1:7" x14ac:dyDescent="0.2">
      <c r="A126" s="927" t="s">
        <v>668</v>
      </c>
      <c r="B126" s="927" t="s">
        <v>2019</v>
      </c>
      <c r="C126" s="932">
        <v>4300</v>
      </c>
      <c r="D126" s="933" t="str">
        <f>'Revenues 9-14'!A204</f>
        <v>Total Title I</v>
      </c>
      <c r="E126" s="906"/>
      <c r="F126" s="1789">
        <f>SUM('Revenues 9-14'!C204,'Revenues 9-14'!D204,'Revenues 9-14'!F204,'Revenues 9-14'!G204)</f>
        <v>764200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41071</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1096978</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79460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122689</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97821</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224011</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1893725</v>
      </c>
      <c r="G171" s="927"/>
    </row>
    <row r="172" spans="1:7" x14ac:dyDescent="0.2">
      <c r="A172" s="1918" t="s">
        <v>664</v>
      </c>
      <c r="B172" s="1919" t="s">
        <v>1916</v>
      </c>
      <c r="C172" s="1920">
        <v>3300</v>
      </c>
      <c r="D172" s="1921" t="s">
        <v>1919</v>
      </c>
      <c r="E172" s="906"/>
      <c r="F172" s="1906">
        <v>140386</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12989698</v>
      </c>
    </row>
    <row r="175" spans="1:7" ht="12" customHeight="1" x14ac:dyDescent="0.2">
      <c r="A175" s="1770"/>
      <c r="B175" s="1784"/>
      <c r="C175" s="1785"/>
      <c r="D175" s="1786" t="s">
        <v>2052</v>
      </c>
      <c r="E175" s="1787"/>
      <c r="F175" s="1789">
        <f>'PCTC-OEPP 27-28'!F77-F174</f>
        <v>64823571</v>
      </c>
    </row>
    <row r="176" spans="1:7" ht="12" customHeight="1" x14ac:dyDescent="0.2">
      <c r="A176" s="1770"/>
      <c r="B176" s="1784"/>
      <c r="C176" s="1785"/>
      <c r="D176" s="1786" t="s">
        <v>1814</v>
      </c>
      <c r="E176" s="1787"/>
      <c r="F176" s="1789">
        <f>'Cap Outlay Deprec 26'!I18</f>
        <v>2227716.9</v>
      </c>
    </row>
    <row r="177" spans="1:7" ht="12" customHeight="1" x14ac:dyDescent="0.2">
      <c r="A177" s="1770"/>
      <c r="B177" s="1784"/>
      <c r="C177" s="1785"/>
      <c r="D177" s="1786" t="s">
        <v>2053</v>
      </c>
      <c r="E177" s="1787"/>
      <c r="F177" s="1789">
        <f>F175+F176</f>
        <v>67051287.899999999</v>
      </c>
    </row>
    <row r="178" spans="1:7" ht="12" customHeight="1" x14ac:dyDescent="0.2">
      <c r="A178" s="1770"/>
      <c r="B178" s="1790"/>
      <c r="C178" s="1785"/>
      <c r="D178" s="1786" t="str">
        <f>D78</f>
        <v>9 Month ADA from District Average Daily Attendance/Prior General State Aid Inquiry 2018-2019</v>
      </c>
      <c r="E178" s="1787"/>
      <c r="F178" s="1791">
        <f>'PCTC-OEPP 27-28'!F78</f>
        <v>4912.8999999999996</v>
      </c>
      <c r="G178" s="930"/>
    </row>
    <row r="179" spans="1:7" ht="12" customHeight="1" thickBot="1" x14ac:dyDescent="0.25">
      <c r="A179" s="1770"/>
      <c r="B179" s="1790"/>
      <c r="C179" s="1785"/>
      <c r="D179" s="1786" t="s">
        <v>2054</v>
      </c>
      <c r="E179" s="1787" t="s">
        <v>1545</v>
      </c>
      <c r="F179" s="1792">
        <f>F177/F178</f>
        <v>13648.005841763521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topLeftCell="A13" zoomScaleNormal="100" workbookViewId="0">
      <selection activeCell="D26" sqref="D2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1815</v>
      </c>
      <c r="B4" s="2274"/>
      <c r="C4" s="2274"/>
      <c r="D4" s="2274"/>
      <c r="E4" s="2274"/>
      <c r="F4" s="2274"/>
      <c r="G4" s="2275"/>
    </row>
    <row r="5" spans="1:7" x14ac:dyDescent="0.25">
      <c r="A5" s="2276"/>
      <c r="B5" s="2277"/>
      <c r="C5" s="2277"/>
      <c r="D5" s="2277"/>
      <c r="E5" s="2277"/>
      <c r="F5" s="2277"/>
      <c r="G5" s="2278"/>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279" t="s">
        <v>1928</v>
      </c>
      <c r="B8" s="2280"/>
      <c r="C8" s="2280"/>
      <c r="D8" s="2280"/>
      <c r="E8" s="2280"/>
      <c r="F8" s="2280"/>
      <c r="G8" s="2281"/>
    </row>
    <row r="9" spans="1:7" ht="15.75" customHeight="1" x14ac:dyDescent="0.25">
      <c r="A9" s="2282" t="s">
        <v>1903</v>
      </c>
      <c r="B9" s="2283"/>
      <c r="C9" s="2283"/>
      <c r="D9" s="2283"/>
      <c r="E9" s="2283"/>
      <c r="F9" s="2283"/>
      <c r="G9" s="2284"/>
    </row>
    <row r="10" spans="1:7" ht="35.25" customHeight="1" x14ac:dyDescent="0.25">
      <c r="A10" s="2279" t="s">
        <v>2060</v>
      </c>
      <c r="B10" s="2280"/>
      <c r="C10" s="2280"/>
      <c r="D10" s="2280"/>
      <c r="E10" s="2280"/>
      <c r="F10" s="2280"/>
      <c r="G10" s="2281"/>
    </row>
    <row r="11" spans="1:7" ht="15" customHeight="1" x14ac:dyDescent="0.25">
      <c r="A11" s="1537" t="s">
        <v>1817</v>
      </c>
      <c r="B11" s="1538"/>
      <c r="C11" s="1538"/>
      <c r="D11" s="1538"/>
      <c r="E11" s="1538"/>
      <c r="F11" s="1538"/>
      <c r="G11" s="1539"/>
    </row>
    <row r="12" spans="1:7" ht="17.25" customHeight="1" x14ac:dyDescent="0.25">
      <c r="A12" s="2279" t="s">
        <v>1930</v>
      </c>
      <c r="B12" s="2280"/>
      <c r="C12" s="2280"/>
      <c r="D12" s="2280"/>
      <c r="E12" s="2280"/>
      <c r="F12" s="2280"/>
      <c r="G12" s="2281"/>
    </row>
    <row r="13" spans="1:7" ht="15" customHeight="1" x14ac:dyDescent="0.25">
      <c r="A13" s="1537" t="s">
        <v>1822</v>
      </c>
      <c r="B13" s="1538"/>
      <c r="C13" s="1538"/>
      <c r="D13" s="1538"/>
      <c r="E13" s="1538"/>
      <c r="F13" s="1538"/>
      <c r="G13" s="1539"/>
    </row>
    <row r="14" spans="1:7" ht="32.25" customHeight="1" x14ac:dyDescent="0.25">
      <c r="A14" s="2270" t="s">
        <v>1971</v>
      </c>
      <c r="B14" s="2271"/>
      <c r="C14" s="2271"/>
      <c r="D14" s="2271"/>
      <c r="E14" s="2271"/>
      <c r="F14" s="2271"/>
      <c r="G14" s="2272"/>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2155</v>
      </c>
      <c r="B18" s="1942" t="s">
        <v>2161</v>
      </c>
      <c r="C18" s="1943" t="s">
        <v>2166</v>
      </c>
      <c r="D18" s="1844">
        <v>81656</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56656</v>
      </c>
      <c r="H18" s="1647"/>
    </row>
    <row r="19" spans="1:8" x14ac:dyDescent="0.25">
      <c r="A19" s="1941" t="s">
        <v>2156</v>
      </c>
      <c r="B19" s="1942" t="s">
        <v>2162</v>
      </c>
      <c r="C19" s="1943" t="s">
        <v>2167</v>
      </c>
      <c r="D19" s="1844">
        <v>40000</v>
      </c>
      <c r="E19" s="1540">
        <f t="shared" ref="E19:E141" si="2">IF(D19&lt;=25000,D19,IF(D19&gt;25000,25000,0))</f>
        <v>25000</v>
      </c>
      <c r="F19" s="1936">
        <f t="shared" si="1"/>
        <v>25000</v>
      </c>
      <c r="G19" s="1793">
        <f t="shared" ref="G19:G141" si="3">IF(F19=0,0,D19-F19)</f>
        <v>15000</v>
      </c>
    </row>
    <row r="20" spans="1:8" x14ac:dyDescent="0.25">
      <c r="A20" s="1941" t="s">
        <v>2157</v>
      </c>
      <c r="B20" s="1942" t="s">
        <v>2163</v>
      </c>
      <c r="C20" s="1943" t="s">
        <v>2082</v>
      </c>
      <c r="D20" s="1844">
        <v>30050</v>
      </c>
      <c r="E20" s="1540">
        <f t="shared" si="2"/>
        <v>25000</v>
      </c>
      <c r="F20" s="1936">
        <f t="shared" si="1"/>
        <v>25000</v>
      </c>
      <c r="G20" s="1793">
        <f t="shared" si="3"/>
        <v>5050</v>
      </c>
    </row>
    <row r="21" spans="1:8" x14ac:dyDescent="0.25">
      <c r="A21" s="1941" t="s">
        <v>2158</v>
      </c>
      <c r="B21" s="1942" t="s">
        <v>2164</v>
      </c>
      <c r="C21" s="1943" t="s">
        <v>2168</v>
      </c>
      <c r="D21" s="1844">
        <v>5041013</v>
      </c>
      <c r="E21" s="1540">
        <f t="shared" si="2"/>
        <v>25000</v>
      </c>
      <c r="F21" s="1936">
        <f t="shared" si="1"/>
        <v>25000</v>
      </c>
      <c r="G21" s="1793">
        <f t="shared" si="3"/>
        <v>5016013</v>
      </c>
    </row>
    <row r="22" spans="1:8" x14ac:dyDescent="0.25">
      <c r="A22" s="1941" t="s">
        <v>2158</v>
      </c>
      <c r="B22" s="1942" t="s">
        <v>2164</v>
      </c>
      <c r="C22" s="1943" t="s">
        <v>2169</v>
      </c>
      <c r="D22" s="1844">
        <v>1771985</v>
      </c>
      <c r="E22" s="1540">
        <f t="shared" si="2"/>
        <v>25000</v>
      </c>
      <c r="F22" s="1936">
        <f t="shared" si="1"/>
        <v>25000</v>
      </c>
      <c r="G22" s="1793">
        <f t="shared" si="3"/>
        <v>1746985</v>
      </c>
    </row>
    <row r="23" spans="1:8" x14ac:dyDescent="0.25">
      <c r="A23" s="1941" t="s">
        <v>2157</v>
      </c>
      <c r="B23" s="1942" t="s">
        <v>2163</v>
      </c>
      <c r="C23" s="1943" t="s">
        <v>2170</v>
      </c>
      <c r="D23" s="1844">
        <v>175959</v>
      </c>
      <c r="E23" s="1540">
        <f t="shared" si="2"/>
        <v>25000</v>
      </c>
      <c r="F23" s="1936">
        <f t="shared" si="1"/>
        <v>25000</v>
      </c>
      <c r="G23" s="1793">
        <f t="shared" si="3"/>
        <v>150959</v>
      </c>
    </row>
    <row r="24" spans="1:8" x14ac:dyDescent="0.25">
      <c r="A24" s="1941" t="s">
        <v>2159</v>
      </c>
      <c r="B24" s="1942" t="s">
        <v>2165</v>
      </c>
      <c r="C24" s="1943" t="s">
        <v>2171</v>
      </c>
      <c r="D24" s="1844">
        <v>78600</v>
      </c>
      <c r="E24" s="1540">
        <f t="shared" si="2"/>
        <v>25000</v>
      </c>
      <c r="F24" s="1936">
        <f t="shared" si="1"/>
        <v>25000</v>
      </c>
      <c r="G24" s="1793">
        <f t="shared" si="3"/>
        <v>53600</v>
      </c>
    </row>
    <row r="25" spans="1:8" x14ac:dyDescent="0.25">
      <c r="A25" s="1941" t="s">
        <v>2160</v>
      </c>
      <c r="B25" s="1942" t="s">
        <v>2161</v>
      </c>
      <c r="C25" s="1943" t="s">
        <v>2172</v>
      </c>
      <c r="D25" s="1844">
        <v>49644</v>
      </c>
      <c r="E25" s="1540">
        <f t="shared" si="2"/>
        <v>25000</v>
      </c>
      <c r="F25" s="1936">
        <f t="shared" si="1"/>
        <v>25000</v>
      </c>
      <c r="G25" s="1793">
        <f t="shared" si="3"/>
        <v>24644</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7268907</v>
      </c>
      <c r="E142" s="1541">
        <f t="shared" si="0"/>
        <v>25000</v>
      </c>
      <c r="F142" s="1932">
        <f>SUM(F18:F141)</f>
        <v>200000</v>
      </c>
      <c r="G142" s="1795">
        <f>SUM(G18:G141)</f>
        <v>7068907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8" colorId="8" zoomScale="110" zoomScaleNormal="110" workbookViewId="0">
      <selection activeCell="A24" sqref="A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90" t="s">
        <v>1972</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46868616</v>
      </c>
      <c r="F19" s="1799"/>
      <c r="G19" s="1801">
        <f>'Expenditures 15-22'!K33-SUM('Expenditures 15-22'!G33,'Expenditures 15-22'!I33)+'Expenditures 15-22'!D229</f>
        <v>46868616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5361402</v>
      </c>
      <c r="F21" s="1802"/>
      <c r="G21" s="1805">
        <f>'Expenditures 15-22'!K42-SUM('Expenditures 15-22'!G42,'Expenditures 15-22'!I42)+'Expenditures 15-22'!K120-SUM('Expenditures 15-22'!G120,'Expenditures 15-22'!I120)+'Expenditures 15-22'!K180-SUM('Expenditures 15-22'!G180,'Expenditures 15-22'!I180)+'Expenditures 15-22'!D238</f>
        <v>5361402</v>
      </c>
      <c r="H21" s="987"/>
      <c r="I21" s="162"/>
    </row>
    <row r="22" spans="1:9" s="668" customFormat="1" ht="12" customHeight="1" x14ac:dyDescent="0.2">
      <c r="A22" s="994" t="s">
        <v>564</v>
      </c>
      <c r="B22" s="995"/>
      <c r="C22" s="993">
        <v>2200</v>
      </c>
      <c r="D22" s="1802"/>
      <c r="E22" s="1804">
        <f>'Expenditures 15-22'!K47-SUM('Expenditures 15-22'!G47,'Expenditures 15-22'!I47)+'Expenditures 15-22'!D243</f>
        <v>4384170</v>
      </c>
      <c r="F22" s="1802"/>
      <c r="G22" s="1805">
        <f>'Expenditures 15-22'!K47-SUM('Expenditures 15-22'!G47,'Expenditures 15-22'!I47)+'Expenditures 15-22'!D243</f>
        <v>4384170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2009338</v>
      </c>
      <c r="F23" s="1802"/>
      <c r="G23" s="1804">
        <f>'Expenditures 15-22'!K53-SUM('Expenditures 15-22'!G53,'Expenditures 15-22'!I53)+'Expenditures 15-22'!D257+'Expenditures 15-22'!K330-SUM('Expenditures 15-22'!G330,'Expenditures 15-22'!I330)</f>
        <v>2009338</v>
      </c>
      <c r="H23" s="987"/>
      <c r="I23" s="162"/>
    </row>
    <row r="24" spans="1:9" s="668" customFormat="1" ht="12" customHeight="1" x14ac:dyDescent="0.2">
      <c r="A24" s="994" t="s">
        <v>566</v>
      </c>
      <c r="B24" s="995"/>
      <c r="C24" s="993">
        <v>2400</v>
      </c>
      <c r="D24" s="1802"/>
      <c r="E24" s="1804">
        <f>'Expenditures 15-22'!K57-SUM('Expenditures 15-22'!G57,'Expenditures 15-22'!I57)+'Expenditures 15-22'!D261</f>
        <v>3535581</v>
      </c>
      <c r="F24" s="1802"/>
      <c r="G24" s="1805">
        <f>'Expenditures 15-22'!K57-SUM('Expenditures 15-22'!G57,'Expenditures 15-22'!I57)+'Expenditures 15-22'!D261</f>
        <v>3535581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644790</v>
      </c>
      <c r="E27" s="1804">
        <f>E8</f>
        <v>0</v>
      </c>
      <c r="F27" s="1804">
        <f>'Expenditures 15-22'!K60-SUM('Expenditures 15-22'!G60,'Expenditures 15-22'!I60)+'Expenditures 15-22'!D264-E8</f>
        <v>644790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6494125</v>
      </c>
      <c r="F28" s="1806">
        <f>'Expenditures 15-22'!K61-SUM('Expenditures 15-22'!G61,'Expenditures 15-22'!I61)+'Expenditures 15-22'!K124-SUM('Expenditures 15-22'!G124,'Expenditures 15-22'!I124)+'Expenditures 15-22'!D266-E9</f>
        <v>6494125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7120079</v>
      </c>
      <c r="F29" s="1802"/>
      <c r="G29" s="1805">
        <f>'Expenditures 15-22'!K62-SUM('Expenditures 15-22'!G62,'Expenditures 15-22'!I62)+'Expenditures 15-22'!K125-SUM('Expenditures 15-22'!G125,'Expenditures 15-22'!I125)+'Expenditures 15-22'!K182-SUM('Expenditures 15-22'!G182,'Expenditures 15-22'!I182)+'Expenditures 15-22'!D267</f>
        <v>7120079</v>
      </c>
      <c r="H29" s="985"/>
    </row>
    <row r="30" spans="1:9" ht="12" customHeight="1" x14ac:dyDescent="0.2">
      <c r="A30" s="994" t="s">
        <v>100</v>
      </c>
      <c r="B30" s="997"/>
      <c r="C30" s="993">
        <v>2560</v>
      </c>
      <c r="D30" s="1802"/>
      <c r="E30" s="1804">
        <f>'Expenditures 15-22'!K63-SUM('Expenditures 15-22'!G63,'Expenditures 15-22'!I63)+'Expenditures 15-22'!D268-E10</f>
        <v>1826777</v>
      </c>
      <c r="F30" s="1802"/>
      <c r="G30" s="1804">
        <f>'Expenditures 15-22'!K63-SUM('Expenditures 15-22'!G63,'Expenditures 15-22'!I63)+'Expenditures 15-22'!D268-E10</f>
        <v>1826777</v>
      </c>
    </row>
    <row r="31" spans="1:9" ht="12" customHeight="1" x14ac:dyDescent="0.2">
      <c r="A31" s="994" t="s">
        <v>101</v>
      </c>
      <c r="B31" s="997"/>
      <c r="C31" s="993">
        <v>2570</v>
      </c>
      <c r="D31" s="1804">
        <f>'Expenditures 15-22'!K64-SUM('Expenditures 15-22'!G64,'Expenditures 15-22'!I64)+'Expenditures 15-22'!D269-E12</f>
        <v>100822</v>
      </c>
      <c r="E31" s="1804">
        <f>E12</f>
        <v>0</v>
      </c>
      <c r="F31" s="1804">
        <f>'Expenditures 15-22'!K64-SUM('Expenditures 15-22'!G64,'Expenditures 15-22'!I64)+'Expenditures 15-22'!D269-E12</f>
        <v>100822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127284</v>
      </c>
      <c r="F35" s="1802"/>
      <c r="G35" s="1804">
        <f>'Expenditures 15-22'!K69-SUM('Expenditures 15-22'!G69,'Expenditures 15-22'!I69)+'Expenditures 15-22'!D274</f>
        <v>127284</v>
      </c>
    </row>
    <row r="36" spans="1:7" ht="12" customHeight="1" x14ac:dyDescent="0.2">
      <c r="A36" s="994" t="s">
        <v>403</v>
      </c>
      <c r="B36" s="997"/>
      <c r="C36" s="993">
        <v>2640</v>
      </c>
      <c r="D36" s="1804">
        <f>'Expenditures 15-22'!K70-SUM('Expenditures 15-22'!G70,'Expenditures 15-22'!I70)+'Expenditures 15-22'!D275-E13</f>
        <v>523673</v>
      </c>
      <c r="E36" s="1804">
        <f>E13</f>
        <v>0</v>
      </c>
      <c r="F36" s="1804">
        <f>'Expenditures 15-22'!K70-SUM('Expenditures 15-22'!G70,'Expenditures 15-22'!I70)+'Expenditures 15-22'!D275-E13</f>
        <v>523673</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8480</v>
      </c>
      <c r="F38" s="1802"/>
      <c r="G38" s="1804">
        <f>'Expenditures 15-22'!K73-SUM('Expenditures 15-22'!G73,'Expenditures 15-22'!I73)+'Expenditures 15-22'!K128-SUM('Expenditures 15-22'!G128,'Expenditures 15-22'!I128)+'Expenditures 15-22'!K183-SUM('Expenditures 15-22'!G183,'Expenditures 15-22'!I183)+'Expenditures 15-22'!D278</f>
        <v>8480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107249</v>
      </c>
      <c r="F39" s="1802"/>
      <c r="G39" s="1804">
        <f>'Expenditures 15-22'!K75-SUM('Expenditures 15-22'!G75,'Expenditures 15-22'!I75)+'Expenditures 15-22'!K130-SUM('Expenditures 15-22'!G130,'Expenditures 15-22'!I130)+'Expenditures 15-22'!K185-SUM('Expenditures 15-22'!G185,'Expenditures 15-22'!I185)+'Expenditures 15-22'!D280</f>
        <v>107249</v>
      </c>
    </row>
    <row r="40" spans="1:7" ht="12" customHeight="1" x14ac:dyDescent="0.2">
      <c r="A40" s="990" t="s">
        <v>1820</v>
      </c>
      <c r="B40" s="991"/>
      <c r="C40" s="993"/>
      <c r="D40" s="1802"/>
      <c r="E40" s="1806">
        <f>-'Contracts Paid in CY 29'!G142</f>
        <v>-7068907</v>
      </c>
      <c r="F40" s="1802"/>
      <c r="G40" s="1806">
        <f>-'Contracts Paid in CY 29'!G142</f>
        <v>-7068907</v>
      </c>
    </row>
    <row r="41" spans="1:7" ht="12" customHeight="1" x14ac:dyDescent="0.2">
      <c r="A41" s="998" t="s">
        <v>156</v>
      </c>
      <c r="B41" s="999"/>
      <c r="C41" s="1000"/>
      <c r="D41" s="1806">
        <f>SUM(D19:D39)</f>
        <v>1269285</v>
      </c>
      <c r="E41" s="1806">
        <f>SUM(E19:E40)</f>
        <v>70774194</v>
      </c>
      <c r="F41" s="1806">
        <f>SUM(F19:F39)</f>
        <v>7763410</v>
      </c>
      <c r="G41" s="1806">
        <f>SUM(G19:G40)</f>
        <v>64280069</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1269285</v>
      </c>
      <c r="F43" s="1807" t="s">
        <v>473</v>
      </c>
      <c r="G43" s="1808">
        <f>F41</f>
        <v>7763410</v>
      </c>
    </row>
    <row r="44" spans="1:7" ht="12" customHeight="1" x14ac:dyDescent="0.2">
      <c r="A44" s="987"/>
      <c r="B44" s="162"/>
      <c r="C44" s="1001"/>
      <c r="D44" s="1807" t="s">
        <v>474</v>
      </c>
      <c r="E44" s="1808">
        <f>E41</f>
        <v>70774194</v>
      </c>
      <c r="F44" s="1807" t="s">
        <v>474</v>
      </c>
      <c r="G44" s="1808">
        <f>G41</f>
        <v>64280069</v>
      </c>
    </row>
    <row r="45" spans="1:7" ht="12" customHeight="1" x14ac:dyDescent="0.2">
      <c r="A45" s="987"/>
      <c r="B45" s="162"/>
      <c r="C45" s="162"/>
      <c r="D45" s="1809" t="s">
        <v>1006</v>
      </c>
      <c r="E45" s="1810">
        <f>(E43/E44)</f>
        <v>1.7934291134421115E-2</v>
      </c>
      <c r="F45" s="1809" t="s">
        <v>1006</v>
      </c>
      <c r="G45" s="1810">
        <f>(G43/G44)</f>
        <v>0.1207747614583301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A24" sqref="A24"/>
      <selection pane="bottomLeft" activeCell="A24" sqref="A2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Orland SD 135</v>
      </c>
      <c r="D6" s="2300"/>
      <c r="E6" s="2300"/>
      <c r="F6" s="1852"/>
    </row>
    <row r="7" spans="1:10" ht="11.25" customHeight="1" thickBot="1" x14ac:dyDescent="0.3">
      <c r="A7" s="1850"/>
      <c r="B7" s="1851"/>
      <c r="C7" s="2301">
        <f>COVER!A13</f>
        <v>7016135002</v>
      </c>
      <c r="D7" s="2301"/>
      <c r="E7" s="2301"/>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2062</v>
      </c>
      <c r="D12" s="1865" t="s">
        <v>2062</v>
      </c>
      <c r="E12" s="1868" t="s">
        <v>2093</v>
      </c>
      <c r="F12" s="1867" t="s">
        <v>2143</v>
      </c>
      <c r="H12" s="1878">
        <f t="shared" ref="H12:H33" si="0">IF(C12="X",5,0)</f>
        <v>5</v>
      </c>
      <c r="I12" s="1878">
        <f t="shared" ref="I12:I33" si="1">IF(D12="X",5,0)</f>
        <v>5</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2062</v>
      </c>
      <c r="D16" s="1865" t="s">
        <v>2062</v>
      </c>
      <c r="E16" s="1868" t="s">
        <v>2093</v>
      </c>
      <c r="F16" s="1867" t="s">
        <v>2145</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2062</v>
      </c>
      <c r="D18" s="1865" t="s">
        <v>2062</v>
      </c>
      <c r="E18" s="1868" t="s">
        <v>2093</v>
      </c>
      <c r="F18" s="1867" t="s">
        <v>2143</v>
      </c>
      <c r="H18" s="1878">
        <f t="shared" si="0"/>
        <v>5</v>
      </c>
      <c r="I18" s="1878">
        <f t="shared" si="1"/>
        <v>5</v>
      </c>
      <c r="J18" s="1878">
        <f t="shared" si="2"/>
        <v>0</v>
      </c>
    </row>
    <row r="19" spans="1:12" ht="12" customHeight="1" x14ac:dyDescent="0.2">
      <c r="A19" s="1863" t="s">
        <v>1527</v>
      </c>
      <c r="B19" s="1864"/>
      <c r="C19" s="1865" t="s">
        <v>2062</v>
      </c>
      <c r="D19" s="1865" t="s">
        <v>2062</v>
      </c>
      <c r="E19" s="1868" t="s">
        <v>2093</v>
      </c>
      <c r="F19" s="1867" t="s">
        <v>2143</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2062</v>
      </c>
      <c r="D21" s="1865" t="s">
        <v>2062</v>
      </c>
      <c r="E21" s="1868" t="s">
        <v>2093</v>
      </c>
      <c r="F21" s="1867" t="s">
        <v>2144</v>
      </c>
      <c r="H21" s="1878">
        <f t="shared" si="0"/>
        <v>5</v>
      </c>
      <c r="I21" s="1878">
        <f t="shared" si="1"/>
        <v>5</v>
      </c>
      <c r="J21" s="1878">
        <f t="shared" si="2"/>
        <v>0</v>
      </c>
    </row>
    <row r="22" spans="1:12" ht="12" customHeight="1" x14ac:dyDescent="0.2">
      <c r="A22" s="1863" t="s">
        <v>1530</v>
      </c>
      <c r="B22" s="1864"/>
      <c r="C22" s="1865" t="s">
        <v>2062</v>
      </c>
      <c r="D22" s="1865" t="s">
        <v>2062</v>
      </c>
      <c r="E22" s="1868" t="s">
        <v>2093</v>
      </c>
      <c r="F22" s="1867" t="s">
        <v>2143</v>
      </c>
      <c r="H22" s="1878">
        <f t="shared" si="0"/>
        <v>5</v>
      </c>
      <c r="I22" s="1878">
        <f t="shared" si="1"/>
        <v>5</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2062</v>
      </c>
      <c r="D25" s="1865" t="s">
        <v>2062</v>
      </c>
      <c r="E25" s="1868" t="s">
        <v>2093</v>
      </c>
      <c r="F25" s="1867" t="s">
        <v>2143</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2062</v>
      </c>
      <c r="D28" s="1865" t="s">
        <v>2062</v>
      </c>
      <c r="E28" s="1868" t="s">
        <v>2093</v>
      </c>
      <c r="F28" s="1867" t="s">
        <v>2143</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A24" sqref="A2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Orland SD 135</v>
      </c>
      <c r="J6" s="2321"/>
      <c r="Q6" s="1664"/>
    </row>
    <row r="7" spans="1:17" x14ac:dyDescent="0.2">
      <c r="A7" s="2322" t="s">
        <v>869</v>
      </c>
      <c r="B7" s="2323"/>
      <c r="C7" s="2323"/>
      <c r="D7" s="2323"/>
      <c r="E7" s="2324"/>
      <c r="F7" s="1017"/>
      <c r="G7" s="1009"/>
      <c r="H7" s="1016" t="s">
        <v>372</v>
      </c>
      <c r="I7" s="2325">
        <f>COVER!A13</f>
        <v>7016135002</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428326</v>
      </c>
      <c r="F12" s="1039"/>
      <c r="G12" s="1811">
        <f t="shared" ref="G12:G18" si="0">SUM(E12:F12)</f>
        <v>428326</v>
      </c>
      <c r="H12" s="1040">
        <v>335450</v>
      </c>
      <c r="I12" s="1039"/>
      <c r="J12" s="1811">
        <f t="shared" ref="J12:J18" si="1">SUM(H12:I12)</f>
        <v>335450</v>
      </c>
    </row>
    <row r="13" spans="1:17" ht="15" customHeight="1" x14ac:dyDescent="0.2">
      <c r="A13" s="1035">
        <v>2</v>
      </c>
      <c r="B13" s="1036" t="s">
        <v>42</v>
      </c>
      <c r="C13" s="1037"/>
      <c r="D13" s="1038">
        <v>2330</v>
      </c>
      <c r="E13" s="1811">
        <f>'Expenditures 15-22'!K51</f>
        <v>366380</v>
      </c>
      <c r="F13" s="1039"/>
      <c r="G13" s="1811">
        <f t="shared" si="0"/>
        <v>366380</v>
      </c>
      <c r="H13" s="1040">
        <v>380270</v>
      </c>
      <c r="I13" s="1039"/>
      <c r="J13" s="1811">
        <f t="shared" si="1"/>
        <v>380270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100822</v>
      </c>
      <c r="F16" s="1039"/>
      <c r="G16" s="1811">
        <f t="shared" si="0"/>
        <v>100822</v>
      </c>
      <c r="H16" s="1040">
        <v>12000</v>
      </c>
      <c r="I16" s="1039"/>
      <c r="J16" s="1811">
        <f t="shared" si="1"/>
        <v>12000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895528</v>
      </c>
      <c r="F19" s="1813">
        <f t="shared" si="2"/>
        <v>0</v>
      </c>
      <c r="G19" s="1813">
        <f t="shared" si="2"/>
        <v>895528</v>
      </c>
      <c r="H19" s="1813">
        <f t="shared" si="2"/>
        <v>727720</v>
      </c>
      <c r="I19" s="1813">
        <f t="shared" si="2"/>
        <v>0</v>
      </c>
      <c r="J19" s="1813">
        <f t="shared" si="2"/>
        <v>727720</v>
      </c>
    </row>
    <row r="20" spans="1:10" ht="13.5" thickTop="1" x14ac:dyDescent="0.2">
      <c r="A20" s="1035">
        <v>9</v>
      </c>
      <c r="B20" s="2332" t="s">
        <v>1976</v>
      </c>
      <c r="C20" s="2332"/>
      <c r="D20" s="2333"/>
      <c r="E20" s="1046"/>
      <c r="F20" s="1046"/>
      <c r="G20" s="1046"/>
      <c r="H20" s="1046"/>
      <c r="I20" s="1046"/>
      <c r="J20" s="1814">
        <f>IF(AND(G19&gt;0,J19&gt;0),(((J19-G19)/G19)),"Enter Budget Data")</f>
        <v>-0.18738442572426547</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1978</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2150</v>
      </c>
    </row>
    <row r="6" spans="1:2" x14ac:dyDescent="0.2">
      <c r="A6" s="1068">
        <v>2</v>
      </c>
      <c r="B6" s="329" t="s">
        <v>2154</v>
      </c>
    </row>
    <row r="7" spans="1:2" x14ac:dyDescent="0.2">
      <c r="A7" s="1068">
        <v>3</v>
      </c>
      <c r="B7" s="329" t="s">
        <v>2151</v>
      </c>
    </row>
    <row r="8" spans="1:2" x14ac:dyDescent="0.2">
      <c r="A8" s="1068">
        <v>4</v>
      </c>
      <c r="B8" s="329" t="s">
        <v>2152</v>
      </c>
    </row>
    <row r="9" spans="1:2" x14ac:dyDescent="0.2">
      <c r="A9" s="1068">
        <v>5</v>
      </c>
      <c r="B9" s="329" t="s">
        <v>2153</v>
      </c>
    </row>
    <row r="10" spans="1:2" x14ac:dyDescent="0.2">
      <c r="A10" s="1068">
        <v>6</v>
      </c>
      <c r="B10" s="329" t="s">
        <v>2173</v>
      </c>
    </row>
    <row r="11" spans="1:2" x14ac:dyDescent="0.2">
      <c r="A11" s="1068">
        <v>7</v>
      </c>
    </row>
    <row r="12" spans="1:2" x14ac:dyDescent="0.2">
      <c r="A12" s="1068">
        <v>8</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Orland SD 135</v>
      </c>
    </row>
    <row r="65" spans="2:2" x14ac:dyDescent="0.2">
      <c r="B65" s="1070">
        <f>COVER!A13</f>
        <v>7016135002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A24" sqref="A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4" sqref="A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24" sqref="A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1982</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1983</v>
      </c>
      <c r="B4" s="2360"/>
      <c r="C4" s="2360"/>
      <c r="D4" s="2360"/>
      <c r="E4" s="2360"/>
      <c r="F4" s="2361"/>
      <c r="G4" s="1074"/>
      <c r="H4" s="1074"/>
    </row>
    <row r="5" spans="1:8" ht="14.25" customHeight="1" x14ac:dyDescent="0.2">
      <c r="A5" s="2362" t="s">
        <v>1979</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61382810</v>
      </c>
      <c r="C8" s="1815">
        <f>'Acct Summary 7-8'!D8</f>
        <v>5593434</v>
      </c>
      <c r="D8" s="1815">
        <f>'Acct Summary 7-8'!F8</f>
        <v>8081791</v>
      </c>
      <c r="E8" s="1815">
        <f>'Acct Summary 7-8'!I8</f>
        <v>322761</v>
      </c>
      <c r="F8" s="1815">
        <f>SUM(B8:E8)</f>
        <v>75380796</v>
      </c>
    </row>
    <row r="9" spans="1:8" s="1079" customFormat="1" ht="14.25" customHeight="1" thickBot="1" x14ac:dyDescent="0.25">
      <c r="A9" s="1078" t="s">
        <v>1369</v>
      </c>
      <c r="B9" s="1816">
        <f>'Acct Summary 7-8'!C17</f>
        <v>64764708</v>
      </c>
      <c r="C9" s="1816">
        <f>'Acct Summary 7-8'!D17</f>
        <v>5467074</v>
      </c>
      <c r="D9" s="1816">
        <f>'Acct Summary 7-8'!F17</f>
        <v>7106928</v>
      </c>
      <c r="E9" s="1815"/>
      <c r="F9" s="1815">
        <f>SUM(B9:E9)</f>
        <v>77338710</v>
      </c>
    </row>
    <row r="10" spans="1:8" s="1079" customFormat="1" ht="14.25" thickTop="1" thickBot="1" x14ac:dyDescent="0.25">
      <c r="A10" s="1080" t="s">
        <v>1370</v>
      </c>
      <c r="B10" s="1817">
        <f>(B8-B9)</f>
        <v>-3381898</v>
      </c>
      <c r="C10" s="1817">
        <f>(C8-C9)</f>
        <v>126360</v>
      </c>
      <c r="D10" s="1817">
        <f>(D8-D9)</f>
        <v>974863</v>
      </c>
      <c r="E10" s="1816">
        <f>(E8-E9)</f>
        <v>322761</v>
      </c>
      <c r="F10" s="1818">
        <f>SUM(F8-F9)</f>
        <v>-1957914</v>
      </c>
    </row>
    <row r="11" spans="1:8" s="1079" customFormat="1" ht="14.25" thickTop="1" thickBot="1" x14ac:dyDescent="0.25">
      <c r="A11" s="1081" t="s">
        <v>1980</v>
      </c>
      <c r="B11" s="1819">
        <f>'Acct Summary 7-8'!C81</f>
        <v>17955562</v>
      </c>
      <c r="C11" s="1819">
        <f>'Acct Summary 7-8'!D81</f>
        <v>2612927</v>
      </c>
      <c r="D11" s="1819">
        <f>'Acct Summary 7-8'!F81</f>
        <v>872089</v>
      </c>
      <c r="E11" s="1819">
        <f>'Acct Summary 7-8'!I81</f>
        <v>17504049</v>
      </c>
      <c r="F11" s="1820">
        <f>SUM(B11:E11)</f>
        <v>38944627</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7016135002</v>
      </c>
    </row>
    <row r="3" spans="1:2" x14ac:dyDescent="0.2">
      <c r="A3" t="s">
        <v>956</v>
      </c>
      <c r="B3" s="138" t="str">
        <f>COVER!A15</f>
        <v>COOK</v>
      </c>
    </row>
    <row r="4" spans="1:2" x14ac:dyDescent="0.2">
      <c r="A4" t="s">
        <v>1007</v>
      </c>
      <c r="B4" s="138" t="str">
        <f>COVER!A17</f>
        <v>Orland SD 135</v>
      </c>
    </row>
    <row r="5" spans="1:2" x14ac:dyDescent="0.2">
      <c r="A5" t="s">
        <v>704</v>
      </c>
      <c r="B5" s="138" t="str">
        <f>COVER!A38</f>
        <v xml:space="preserve">MR. JOHN BRYK </v>
      </c>
    </row>
    <row r="6" spans="1:2" x14ac:dyDescent="0.2">
      <c r="A6" t="s">
        <v>709</v>
      </c>
      <c r="B6" s="138">
        <f>COVER!P35</f>
        <v>0</v>
      </c>
    </row>
    <row r="7" spans="1:2" x14ac:dyDescent="0.2">
      <c r="A7" t="s">
        <v>705</v>
      </c>
      <c r="B7" s="138">
        <f>COVER!I38</f>
        <v>0</v>
      </c>
    </row>
    <row r="8" spans="1:2" x14ac:dyDescent="0.2">
      <c r="A8" t="s">
        <v>706</v>
      </c>
      <c r="B8" s="138" t="str">
        <f>COVER!T38</f>
        <v>DR. VANESSA KINDER</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W DIEHL ROAD, SUITE 400</v>
      </c>
    </row>
    <row r="19" spans="1:2" x14ac:dyDescent="0.2">
      <c r="A19" t="s">
        <v>886</v>
      </c>
      <c r="B19" s="138" t="str">
        <f>COVER!T25</f>
        <v>anthony.cervini@sikich.com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29364399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52384305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30103055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34428743</v>
      </c>
      <c r="C91" s="2" t="s">
        <v>573</v>
      </c>
      <c r="D91" s="2" t="str">
        <f t="shared" si="0"/>
        <v>Error?</v>
      </c>
    </row>
    <row r="92" spans="1:4" x14ac:dyDescent="0.2">
      <c r="A92" s="5">
        <v>31</v>
      </c>
      <c r="B92" s="138">
        <f>'Assets-Liab 5-6'!C39</f>
        <v>17765268</v>
      </c>
      <c r="D92" s="2" t="str">
        <f t="shared" si="0"/>
        <v>Error?</v>
      </c>
    </row>
    <row r="93" spans="1:4" x14ac:dyDescent="0.2">
      <c r="A93" s="5">
        <v>32</v>
      </c>
      <c r="B93" s="138">
        <f>'Assets-Liab 5-6'!C41</f>
        <v>52384305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2796352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5453706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2796352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2840779</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5453706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434469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434469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1627480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2587463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1627480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1715374</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2587463</v>
      </c>
      <c r="C171" s="2" t="s">
        <v>573</v>
      </c>
      <c r="D171" s="2" t="str">
        <f t="shared" si="1"/>
        <v>Error?</v>
      </c>
    </row>
    <row r="172" spans="1:4" x14ac:dyDescent="0.2">
      <c r="A172" s="10">
        <v>111</v>
      </c>
      <c r="D172" s="2" t="str">
        <f t="shared" si="1"/>
        <v>OK</v>
      </c>
    </row>
    <row r="173" spans="1:4" x14ac:dyDescent="0.2">
      <c r="A173" s="5">
        <v>112</v>
      </c>
      <c r="B173" s="138">
        <f>'Assets-Liab 5-6'!G6</f>
        <v>1601341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1860271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1601341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1601625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1860271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205197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455230</v>
      </c>
      <c r="C211" s="2" t="s">
        <v>573</v>
      </c>
      <c r="D211" s="2" t="str">
        <f t="shared" si="2"/>
        <v>Error?</v>
      </c>
    </row>
    <row r="212" spans="1:4" x14ac:dyDescent="0.2">
      <c r="A212" s="5">
        <v>151</v>
      </c>
      <c r="B212" s="138">
        <f>'Assets-Liab 5-6'!H39</f>
        <v>-250033</v>
      </c>
      <c r="D212" s="2" t="str">
        <f t="shared" si="2"/>
        <v>Error?</v>
      </c>
    </row>
    <row r="213" spans="1:4" x14ac:dyDescent="0.2">
      <c r="A213" s="12">
        <v>152</v>
      </c>
      <c r="B213" s="138">
        <f>'Assets-Liab 5-6'!H41</f>
        <v>205197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458880</v>
      </c>
      <c r="D273" s="2" t="str">
        <f t="shared" si="3"/>
        <v>Error?</v>
      </c>
    </row>
    <row r="274" spans="1:4" x14ac:dyDescent="0.2">
      <c r="A274" s="5">
        <v>213</v>
      </c>
      <c r="B274" s="138">
        <f>'Assets-Liab 5-6'!M17</f>
        <v>28344978</v>
      </c>
      <c r="D274" s="2" t="str">
        <f t="shared" si="3"/>
        <v>Error?</v>
      </c>
    </row>
    <row r="275" spans="1:4" x14ac:dyDescent="0.2">
      <c r="A275" s="5">
        <v>214</v>
      </c>
      <c r="B275" s="138">
        <f>'Assets-Liab 5-6'!M18</f>
        <v>1423325</v>
      </c>
      <c r="D275" s="2" t="str">
        <f t="shared" si="3"/>
        <v>Error?</v>
      </c>
    </row>
    <row r="276" spans="1:4" x14ac:dyDescent="0.2">
      <c r="A276" s="5">
        <v>215</v>
      </c>
      <c r="B276" s="138">
        <f>'Assets-Liab 5-6'!M19</f>
        <v>1118281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31345464</v>
      </c>
      <c r="C279" s="2" t="s">
        <v>573</v>
      </c>
      <c r="D279" s="2" t="str">
        <f t="shared" si="3"/>
        <v>Error?</v>
      </c>
    </row>
    <row r="280" spans="1:4" x14ac:dyDescent="0.2">
      <c r="A280" s="5">
        <v>219</v>
      </c>
      <c r="B280" s="138">
        <f>'Assets-Liab 5-6'!M40</f>
        <v>31345464</v>
      </c>
      <c r="D280" s="2" t="str">
        <f t="shared" si="3"/>
        <v>Error?</v>
      </c>
    </row>
    <row r="281" spans="1:4" x14ac:dyDescent="0.2">
      <c r="A281" s="5">
        <v>220</v>
      </c>
      <c r="B281" s="138">
        <f>'Assets-Liab 5-6'!M41</f>
        <v>31345464</v>
      </c>
      <c r="C281" s="2" t="s">
        <v>573</v>
      </c>
      <c r="D281" s="2" t="str">
        <f t="shared" si="3"/>
        <v>Error?</v>
      </c>
    </row>
    <row r="282" spans="1:4" x14ac:dyDescent="0.2">
      <c r="A282" s="5">
        <v>221</v>
      </c>
      <c r="B282" s="138">
        <f>'Assets-Liab 5-6'!N21</f>
        <v>434469</v>
      </c>
      <c r="D282" s="2" t="str">
        <f t="shared" si="3"/>
        <v>Error?</v>
      </c>
    </row>
    <row r="283" spans="1:4" x14ac:dyDescent="0.2">
      <c r="A283" s="5">
        <v>222</v>
      </c>
      <c r="B283" s="138">
        <f>'Assets-Liab 5-6'!N22</f>
        <v>9452457</v>
      </c>
      <c r="D283" s="2" t="str">
        <f t="shared" si="3"/>
        <v>Error?</v>
      </c>
    </row>
    <row r="284" spans="1:4" x14ac:dyDescent="0.2">
      <c r="A284" s="5">
        <v>223</v>
      </c>
      <c r="B284" s="138">
        <f>'Assets-Liab 5-6'!N23</f>
        <v>9886926</v>
      </c>
      <c r="C284" s="2" t="s">
        <v>573</v>
      </c>
      <c r="D284" s="2" t="str">
        <f t="shared" si="3"/>
        <v>Error?</v>
      </c>
    </row>
    <row r="285" spans="1:4" x14ac:dyDescent="0.2">
      <c r="A285" s="5">
        <v>224</v>
      </c>
      <c r="B285" s="138">
        <f>'Assets-Liab 5-6'!N36</f>
        <v>9886926</v>
      </c>
      <c r="D285" s="2" t="str">
        <f t="shared" si="3"/>
        <v>Error?</v>
      </c>
    </row>
    <row r="286" spans="1:4" x14ac:dyDescent="0.2">
      <c r="A286" s="10">
        <v>225</v>
      </c>
      <c r="D286" s="2" t="str">
        <f t="shared" si="3"/>
        <v>OK</v>
      </c>
    </row>
    <row r="287" spans="1:4" x14ac:dyDescent="0.2">
      <c r="A287" s="5">
        <v>226</v>
      </c>
      <c r="B287" s="138">
        <f>'Assets-Liab 5-6'!N37</f>
        <v>9886926</v>
      </c>
      <c r="C287" s="2" t="s">
        <v>573</v>
      </c>
      <c r="D287" s="2" t="str">
        <f t="shared" si="3"/>
        <v>Error?</v>
      </c>
    </row>
    <row r="288" spans="1:4" x14ac:dyDescent="0.2">
      <c r="A288" s="5">
        <v>227</v>
      </c>
      <c r="B288" s="138">
        <f>'Assets-Liab 5-6'!N41</f>
        <v>9886926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38849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3060000</v>
      </c>
      <c r="D651" s="2" t="str">
        <f t="shared" si="9"/>
        <v>Error?</v>
      </c>
    </row>
    <row r="652" spans="1:4" x14ac:dyDescent="0.2">
      <c r="A652" s="5">
        <v>591</v>
      </c>
      <c r="B652" s="138">
        <f>'Acct Summary 7-8'!I34</f>
        <v>268530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19693305</v>
      </c>
      <c r="D705" s="2" t="str">
        <f t="shared" si="10"/>
        <v>Error?</v>
      </c>
    </row>
    <row r="706" spans="1:4" x14ac:dyDescent="0.2">
      <c r="A706" s="5">
        <v>645</v>
      </c>
      <c r="B706" s="138">
        <f>'Expenditures 15-22'!C16</f>
        <v>823066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1572050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297292</v>
      </c>
      <c r="D718" s="2" t="str">
        <f t="shared" si="10"/>
        <v>Error?</v>
      </c>
    </row>
    <row r="719" spans="1:4" x14ac:dyDescent="0.2">
      <c r="A719" s="5">
        <v>658</v>
      </c>
      <c r="B719" s="138">
        <f>'Expenditures 15-22'!C15</f>
        <v>191348</v>
      </c>
      <c r="D719" s="2" t="str">
        <f t="shared" si="10"/>
        <v>Error?</v>
      </c>
    </row>
    <row r="720" spans="1:4" x14ac:dyDescent="0.2">
      <c r="A720" s="5">
        <v>659</v>
      </c>
      <c r="B720" s="138">
        <f>'Expenditures 15-22'!C33</f>
        <v>33978270</v>
      </c>
      <c r="C720" s="2" t="s">
        <v>573</v>
      </c>
      <c r="D720" s="2" t="str">
        <f t="shared" si="10"/>
        <v>Error?</v>
      </c>
    </row>
    <row r="721" spans="1:4" x14ac:dyDescent="0.2">
      <c r="A721" s="5">
        <v>660</v>
      </c>
      <c r="B721" s="138">
        <f>'Expenditures 15-22'!C36</f>
        <v>1080740</v>
      </c>
      <c r="D721" s="2" t="str">
        <f t="shared" si="10"/>
        <v>Error?</v>
      </c>
    </row>
    <row r="722" spans="1:4" x14ac:dyDescent="0.2">
      <c r="A722" s="5">
        <v>661</v>
      </c>
      <c r="B722" s="138">
        <f>'Expenditures 15-22'!C37</f>
        <v>181614</v>
      </c>
      <c r="D722" s="2" t="str">
        <f t="shared" si="10"/>
        <v>Error?</v>
      </c>
    </row>
    <row r="723" spans="1:4" x14ac:dyDescent="0.2">
      <c r="A723" s="5">
        <v>662</v>
      </c>
      <c r="B723" s="138">
        <f>'Expenditures 15-22'!C38</f>
        <v>1214273</v>
      </c>
      <c r="D723" s="2" t="str">
        <f t="shared" si="10"/>
        <v>Error?</v>
      </c>
    </row>
    <row r="724" spans="1:4" x14ac:dyDescent="0.2">
      <c r="A724" s="5">
        <v>663</v>
      </c>
      <c r="B724" s="138">
        <f>'Expenditures 15-22'!C39</f>
        <v>484665</v>
      </c>
      <c r="D724" s="2" t="str">
        <f t="shared" si="10"/>
        <v>Error?</v>
      </c>
    </row>
    <row r="725" spans="1:4" x14ac:dyDescent="0.2">
      <c r="A725" s="5">
        <v>664</v>
      </c>
      <c r="B725" s="138">
        <f>'Expenditures 15-22'!C40</f>
        <v>1162230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4123522</v>
      </c>
      <c r="C727" s="2" t="s">
        <v>573</v>
      </c>
      <c r="D727" s="2" t="str">
        <f t="shared" si="10"/>
        <v>Error?</v>
      </c>
    </row>
    <row r="728" spans="1:4" x14ac:dyDescent="0.2">
      <c r="A728" s="5">
        <v>667</v>
      </c>
      <c r="B728" s="138">
        <f>'Expenditures 15-22'!C44</f>
        <v>548424</v>
      </c>
      <c r="D728" s="2" t="str">
        <f t="shared" si="10"/>
        <v>Error?</v>
      </c>
    </row>
    <row r="729" spans="1:4" x14ac:dyDescent="0.2">
      <c r="A729" s="5">
        <v>668</v>
      </c>
      <c r="B729" s="138">
        <f>'Expenditures 15-22'!C45</f>
        <v>1959570</v>
      </c>
      <c r="D729" s="2" t="str">
        <f t="shared" si="10"/>
        <v>Error?</v>
      </c>
    </row>
    <row r="730" spans="1:4" x14ac:dyDescent="0.2">
      <c r="A730" s="5">
        <v>669</v>
      </c>
      <c r="B730" s="138">
        <f>'Expenditures 15-22'!C46</f>
        <v>11696</v>
      </c>
      <c r="D730" s="2" t="str">
        <f t="shared" si="10"/>
        <v>Error?</v>
      </c>
    </row>
    <row r="731" spans="1:4" x14ac:dyDescent="0.2">
      <c r="A731" s="5">
        <v>670</v>
      </c>
      <c r="B731" s="138">
        <f>'Expenditures 15-22'!C47</f>
        <v>2519690</v>
      </c>
      <c r="C731" s="2" t="s">
        <v>573</v>
      </c>
      <c r="D731" s="2" t="str">
        <f t="shared" si="10"/>
        <v>Error?</v>
      </c>
    </row>
    <row r="732" spans="1:4" x14ac:dyDescent="0.2">
      <c r="A732" s="5">
        <v>671</v>
      </c>
      <c r="B732" s="138">
        <f>'Expenditures 15-22'!C49</f>
        <v>78869</v>
      </c>
      <c r="D732" s="2" t="str">
        <f t="shared" si="10"/>
        <v>Error?</v>
      </c>
    </row>
    <row r="733" spans="1:4" x14ac:dyDescent="0.2">
      <c r="A733" s="5">
        <v>672</v>
      </c>
      <c r="B733" s="138">
        <f>'Expenditures 15-22'!C50</f>
        <v>354527</v>
      </c>
      <c r="D733" s="2" t="str">
        <f t="shared" si="10"/>
        <v>Error?</v>
      </c>
    </row>
    <row r="734" spans="1:4" x14ac:dyDescent="0.2">
      <c r="A734" s="5">
        <v>673</v>
      </c>
      <c r="B734" s="138">
        <f>'Expenditures 15-22'!C53</f>
        <v>728620</v>
      </c>
      <c r="C734" s="2" t="s">
        <v>573</v>
      </c>
      <c r="D734" s="2" t="str">
        <f t="shared" si="10"/>
        <v>Error?</v>
      </c>
    </row>
    <row r="735" spans="1:4" x14ac:dyDescent="0.2">
      <c r="A735" s="5">
        <v>674</v>
      </c>
      <c r="B735" s="138">
        <f>'Expenditures 15-22'!C55</f>
        <v>2746240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2746240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268650</v>
      </c>
      <c r="D739" s="2" t="str">
        <f t="shared" si="10"/>
        <v>Error?</v>
      </c>
    </row>
    <row r="740" spans="1:4" x14ac:dyDescent="0.2">
      <c r="A740" s="5">
        <v>679</v>
      </c>
      <c r="B740" s="138">
        <f>'Expenditures 15-22'!C61</f>
        <v>143340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418198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830188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69304</v>
      </c>
      <c r="D748" s="2" t="str">
        <f t="shared" si="10"/>
        <v>Error?</v>
      </c>
    </row>
    <row r="749" spans="1:4" x14ac:dyDescent="0.2">
      <c r="A749" s="5">
        <v>688</v>
      </c>
      <c r="B749" s="138">
        <f>'Expenditures 15-22'!C70</f>
        <v>393034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462338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11410598</v>
      </c>
      <c r="C755" s="2" t="s">
        <v>573</v>
      </c>
      <c r="D755" s="2" t="str">
        <f t="shared" si="10"/>
        <v>Error?</v>
      </c>
    </row>
    <row r="756" spans="1:4" x14ac:dyDescent="0.2">
      <c r="A756" s="5">
        <v>695</v>
      </c>
      <c r="B756" s="138">
        <f>'Expenditures 15-22'!C75</f>
        <v>42780</v>
      </c>
      <c r="D756" s="2" t="str">
        <f t="shared" si="10"/>
        <v>Error?</v>
      </c>
    </row>
    <row r="757" spans="1:4" x14ac:dyDescent="0.2">
      <c r="A757" s="5">
        <v>696</v>
      </c>
      <c r="B757" s="138">
        <f>'Expenditures 15-22'!C114</f>
        <v>45431648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5836041</v>
      </c>
      <c r="D763" s="2" t="str">
        <f t="shared" si="10"/>
        <v>Error?</v>
      </c>
    </row>
    <row r="764" spans="1:4" x14ac:dyDescent="0.2">
      <c r="A764" s="5">
        <v>703</v>
      </c>
      <c r="B764" s="138">
        <f>'Expenditures 15-22'!D16</f>
        <v>159727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305593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6527</v>
      </c>
      <c r="D776" s="2" t="str">
        <f t="shared" si="11"/>
        <v>Error?</v>
      </c>
    </row>
    <row r="777" spans="1:4" x14ac:dyDescent="0.2">
      <c r="A777" s="5">
        <v>716</v>
      </c>
      <c r="B777" s="138">
        <f>'Expenditures 15-22'!D15</f>
        <v>3867</v>
      </c>
      <c r="D777" s="2" t="str">
        <f t="shared" si="11"/>
        <v>Error?</v>
      </c>
    </row>
    <row r="778" spans="1:4" x14ac:dyDescent="0.2">
      <c r="A778" s="5">
        <v>717</v>
      </c>
      <c r="B778" s="138">
        <f>'Expenditures 15-22'!D33</f>
        <v>8944862</v>
      </c>
      <c r="C778" s="2" t="s">
        <v>573</v>
      </c>
      <c r="D778" s="2" t="str">
        <f t="shared" si="11"/>
        <v>Error?</v>
      </c>
    </row>
    <row r="779" spans="1:4" x14ac:dyDescent="0.2">
      <c r="A779" s="5">
        <v>718</v>
      </c>
      <c r="B779" s="138">
        <f>'Expenditures 15-22'!D36</f>
        <v>220727</v>
      </c>
      <c r="D779" s="2" t="str">
        <f t="shared" si="11"/>
        <v>Error?</v>
      </c>
    </row>
    <row r="780" spans="1:4" x14ac:dyDescent="0.2">
      <c r="A780" s="5">
        <v>719</v>
      </c>
      <c r="B780" s="138">
        <f>'Expenditures 15-22'!D37</f>
        <v>43080</v>
      </c>
      <c r="D780" s="2" t="str">
        <f t="shared" si="11"/>
        <v>Error?</v>
      </c>
    </row>
    <row r="781" spans="1:4" x14ac:dyDescent="0.2">
      <c r="A781" s="5">
        <v>720</v>
      </c>
      <c r="B781" s="138">
        <f>'Expenditures 15-22'!D38</f>
        <v>279154</v>
      </c>
      <c r="D781" s="2" t="str">
        <f t="shared" si="11"/>
        <v>Error?</v>
      </c>
    </row>
    <row r="782" spans="1:4" x14ac:dyDescent="0.2">
      <c r="A782" s="5">
        <v>721</v>
      </c>
      <c r="B782" s="138">
        <f>'Expenditures 15-22'!D39</f>
        <v>89772</v>
      </c>
      <c r="D782" s="2" t="str">
        <f t="shared" si="11"/>
        <v>Error?</v>
      </c>
    </row>
    <row r="783" spans="1:4" x14ac:dyDescent="0.2">
      <c r="A783" s="5">
        <v>722</v>
      </c>
      <c r="B783" s="138">
        <f>'Expenditures 15-22'!D40</f>
        <v>193230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825963</v>
      </c>
      <c r="C785" s="2" t="s">
        <v>573</v>
      </c>
      <c r="D785" s="2" t="str">
        <f t="shared" si="11"/>
        <v>Error?</v>
      </c>
    </row>
    <row r="786" spans="1:4" x14ac:dyDescent="0.2">
      <c r="A786" s="5">
        <v>725</v>
      </c>
      <c r="B786" s="138">
        <f>'Expenditures 15-22'!D44</f>
        <v>99750</v>
      </c>
      <c r="D786" s="2" t="str">
        <f t="shared" si="11"/>
        <v>Error?</v>
      </c>
    </row>
    <row r="787" spans="1:4" x14ac:dyDescent="0.2">
      <c r="A787" s="5">
        <v>726</v>
      </c>
      <c r="B787" s="138">
        <f>'Expenditures 15-22'!D45</f>
        <v>331741</v>
      </c>
      <c r="D787" s="2" t="str">
        <f t="shared" si="11"/>
        <v>Error?</v>
      </c>
    </row>
    <row r="788" spans="1:4" x14ac:dyDescent="0.2">
      <c r="A788" s="5">
        <v>727</v>
      </c>
      <c r="B788" s="138">
        <f>'Expenditures 15-22'!D46</f>
        <v>1327</v>
      </c>
      <c r="D788" s="2" t="str">
        <f t="shared" si="11"/>
        <v>Error?</v>
      </c>
    </row>
    <row r="789" spans="1:4" x14ac:dyDescent="0.2">
      <c r="A789" s="5">
        <v>728</v>
      </c>
      <c r="B789" s="138">
        <f>'Expenditures 15-22'!D47</f>
        <v>432818</v>
      </c>
      <c r="C789" s="2" t="s">
        <v>573</v>
      </c>
      <c r="D789" s="2" t="str">
        <f t="shared" si="11"/>
        <v>Error?</v>
      </c>
    </row>
    <row r="790" spans="1:4" x14ac:dyDescent="0.2">
      <c r="A790" s="5">
        <v>729</v>
      </c>
      <c r="B790" s="138">
        <f>'Expenditures 15-22'!D49</f>
        <v>37610</v>
      </c>
      <c r="D790" s="2" t="str">
        <f t="shared" si="11"/>
        <v>Error?</v>
      </c>
    </row>
    <row r="791" spans="1:4" x14ac:dyDescent="0.2">
      <c r="A791" s="5">
        <v>730</v>
      </c>
      <c r="B791" s="138">
        <f>'Expenditures 15-22'!D50</f>
        <v>57645</v>
      </c>
      <c r="D791" s="2" t="str">
        <f t="shared" si="11"/>
        <v>Error?</v>
      </c>
    </row>
    <row r="792" spans="1:4" x14ac:dyDescent="0.2">
      <c r="A792" s="5">
        <v>731</v>
      </c>
      <c r="B792" s="138">
        <f>'Expenditures 15-22'!D53</f>
        <v>164131</v>
      </c>
      <c r="C792" s="2" t="s">
        <v>573</v>
      </c>
      <c r="D792" s="2" t="str">
        <f t="shared" si="11"/>
        <v>Error?</v>
      </c>
    </row>
    <row r="793" spans="1:4" x14ac:dyDescent="0.2">
      <c r="A793" s="5">
        <v>732</v>
      </c>
      <c r="B793" s="138">
        <f>'Expenditures 15-22'!D55</f>
        <v>569200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569200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46104</v>
      </c>
      <c r="D797" s="2" t="str">
        <f t="shared" si="11"/>
        <v>Error?</v>
      </c>
    </row>
    <row r="798" spans="1:4" x14ac:dyDescent="0.2">
      <c r="A798" s="5">
        <v>737</v>
      </c>
      <c r="B798" s="138">
        <f>'Expenditures 15-22'!D61</f>
        <v>8849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56988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4932</v>
      </c>
      <c r="D806" s="2" t="str">
        <f t="shared" si="11"/>
        <v>Error?</v>
      </c>
    </row>
    <row r="807" spans="1:4" x14ac:dyDescent="0.2">
      <c r="A807" s="5">
        <v>746</v>
      </c>
      <c r="B807" s="138">
        <f>'Expenditures 15-22'!D70</f>
        <v>46302</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51234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2100334</v>
      </c>
      <c r="C813" s="2" t="s">
        <v>573</v>
      </c>
      <c r="D813" s="2" t="str">
        <f t="shared" si="11"/>
        <v>Error?</v>
      </c>
    </row>
    <row r="814" spans="1:4" x14ac:dyDescent="0.2">
      <c r="A814" s="5">
        <v>753</v>
      </c>
      <c r="B814" s="138">
        <f>'Expenditures 15-22'!D75</f>
        <v>4837</v>
      </c>
      <c r="D814" s="2" t="str">
        <f t="shared" si="11"/>
        <v>Error?</v>
      </c>
    </row>
    <row r="815" spans="1:4" x14ac:dyDescent="0.2">
      <c r="A815" s="5">
        <v>754</v>
      </c>
      <c r="B815" s="138">
        <f>'Expenditures 15-22'!D114</f>
        <v>11050033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19331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62311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207784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47610</v>
      </c>
      <c r="D838" s="2" t="str">
        <f t="shared" si="12"/>
        <v>Error?</v>
      </c>
    </row>
    <row r="839" spans="1:4" x14ac:dyDescent="0.2">
      <c r="A839" s="5">
        <v>778</v>
      </c>
      <c r="B839" s="138">
        <f>'Expenditures 15-22'!E38</f>
        <v>61518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110128</v>
      </c>
      <c r="C843" s="2" t="s">
        <v>573</v>
      </c>
      <c r="D843" s="2" t="str">
        <f t="shared" si="12"/>
        <v>Error?</v>
      </c>
    </row>
    <row r="844" spans="1:4" x14ac:dyDescent="0.2">
      <c r="A844" s="5">
        <v>783</v>
      </c>
      <c r="B844" s="138">
        <f>'Expenditures 15-22'!E44</f>
        <v>303403</v>
      </c>
      <c r="D844" s="2" t="str">
        <f t="shared" si="12"/>
        <v>Error?</v>
      </c>
    </row>
    <row r="845" spans="1:4" x14ac:dyDescent="0.2">
      <c r="A845" s="5">
        <v>784</v>
      </c>
      <c r="B845" s="138">
        <f>'Expenditures 15-22'!E45</f>
        <v>454195</v>
      </c>
      <c r="D845" s="2" t="str">
        <f t="shared" si="12"/>
        <v>Error?</v>
      </c>
    </row>
    <row r="846" spans="1:4" x14ac:dyDescent="0.2">
      <c r="A846" s="5">
        <v>785</v>
      </c>
      <c r="B846" s="138">
        <f>'Expenditures 15-22'!E46</f>
        <v>239928</v>
      </c>
      <c r="D846" s="2" t="str">
        <f t="shared" si="12"/>
        <v>Error?</v>
      </c>
    </row>
    <row r="847" spans="1:4" x14ac:dyDescent="0.2">
      <c r="A847" s="5">
        <v>786</v>
      </c>
      <c r="B847" s="138">
        <f>'Expenditures 15-22'!E47</f>
        <v>997526</v>
      </c>
      <c r="C847" s="2" t="s">
        <v>573</v>
      </c>
      <c r="D847" s="2" t="str">
        <f t="shared" si="12"/>
        <v>Error?</v>
      </c>
    </row>
    <row r="848" spans="1:4" x14ac:dyDescent="0.2">
      <c r="A848" s="5">
        <v>787</v>
      </c>
      <c r="B848" s="138">
        <f>'Expenditures 15-22'!E49</f>
        <v>1059958</v>
      </c>
      <c r="D848" s="2" t="str">
        <f t="shared" si="12"/>
        <v>Error?</v>
      </c>
    </row>
    <row r="849" spans="1:4" x14ac:dyDescent="0.2">
      <c r="A849" s="5">
        <v>788</v>
      </c>
      <c r="B849" s="138">
        <f>'Expenditures 15-22'!E50</f>
        <v>1819</v>
      </c>
      <c r="D849" s="2" t="str">
        <f t="shared" si="12"/>
        <v>Error?</v>
      </c>
    </row>
    <row r="850" spans="1:4" x14ac:dyDescent="0.2">
      <c r="A850" s="5">
        <v>789</v>
      </c>
      <c r="B850" s="138">
        <f>'Expenditures 15-22'!E53</f>
        <v>1061790</v>
      </c>
      <c r="C850" s="2" t="s">
        <v>573</v>
      </c>
      <c r="D850" s="2" t="str">
        <f t="shared" si="12"/>
        <v>Error?</v>
      </c>
    </row>
    <row r="851" spans="1:4" x14ac:dyDescent="0.2">
      <c r="A851" s="5">
        <v>790</v>
      </c>
      <c r="B851" s="138">
        <f>'Expenditures 15-22'!E55</f>
        <v>13698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13698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221998</v>
      </c>
      <c r="D855" s="2" t="str">
        <f t="shared" si="12"/>
        <v>Error?</v>
      </c>
    </row>
    <row r="856" spans="1:4" x14ac:dyDescent="0.2">
      <c r="A856" s="5">
        <v>795</v>
      </c>
      <c r="B856" s="138">
        <f>'Expenditures 15-22'!E61</f>
        <v>25851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40000</v>
      </c>
      <c r="D858" s="2" t="str">
        <f t="shared" si="12"/>
        <v>Error?</v>
      </c>
    </row>
    <row r="859" spans="1:4" x14ac:dyDescent="0.2">
      <c r="A859" s="5">
        <v>798</v>
      </c>
      <c r="B859" s="138">
        <f>'Expenditures 15-22'!E64</f>
        <v>100822</v>
      </c>
      <c r="D859" s="2" t="str">
        <f t="shared" si="12"/>
        <v>Error?</v>
      </c>
    </row>
    <row r="860" spans="1:4" x14ac:dyDescent="0.2">
      <c r="A860" s="10">
        <v>799</v>
      </c>
      <c r="D860" s="2" t="str">
        <f t="shared" si="12"/>
        <v>OK</v>
      </c>
    </row>
    <row r="861" spans="1:4" x14ac:dyDescent="0.2">
      <c r="A861" s="5">
        <v>800</v>
      </c>
      <c r="B861" s="138">
        <f>'Expenditures 15-22'!E65</f>
        <v>388671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35371</v>
      </c>
      <c r="D864" s="2" t="str">
        <f t="shared" si="12"/>
        <v>Error?</v>
      </c>
    </row>
    <row r="865" spans="1:4" x14ac:dyDescent="0.2">
      <c r="A865" s="5">
        <v>804</v>
      </c>
      <c r="B865" s="138">
        <f>'Expenditures 15-22'!E70</f>
        <v>27953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63324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2635137</v>
      </c>
      <c r="C871" s="2" t="s">
        <v>573</v>
      </c>
      <c r="D871" s="2" t="str">
        <f t="shared" si="12"/>
        <v>Error?</v>
      </c>
    </row>
    <row r="872" spans="1:4" x14ac:dyDescent="0.2">
      <c r="A872" s="5">
        <v>811</v>
      </c>
      <c r="B872" s="138">
        <f>'Expenditures 15-22'!E75</f>
        <v>6558</v>
      </c>
      <c r="D872" s="2" t="str">
        <f t="shared" si="12"/>
        <v>Error?</v>
      </c>
    </row>
    <row r="873" spans="1:4" x14ac:dyDescent="0.2">
      <c r="A873" s="5">
        <v>812</v>
      </c>
      <c r="B873" s="138">
        <f>'Expenditures 15-22'!E114</f>
        <v>2849479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859270</v>
      </c>
      <c r="D879" s="2" t="str">
        <f t="shared" si="12"/>
        <v>Error?</v>
      </c>
    </row>
    <row r="880" spans="1:4" x14ac:dyDescent="0.2">
      <c r="A880" s="5">
        <v>819</v>
      </c>
      <c r="B880" s="138">
        <f>'Expenditures 15-22'!F16</f>
        <v>318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15102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3125</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16392</v>
      </c>
      <c r="D893" s="2" t="str">
        <f t="shared" si="12"/>
        <v>Error?</v>
      </c>
    </row>
    <row r="894" spans="1:4" x14ac:dyDescent="0.2">
      <c r="A894" s="5">
        <v>833</v>
      </c>
      <c r="B894" s="138">
        <f>'Expenditures 15-22'!F33</f>
        <v>972899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17632</v>
      </c>
      <c r="D896" s="2" t="str">
        <f t="shared" si="13"/>
        <v>Error?</v>
      </c>
    </row>
    <row r="897" spans="1:4" x14ac:dyDescent="0.2">
      <c r="A897" s="5">
        <v>836</v>
      </c>
      <c r="B897" s="138">
        <f>'Expenditures 15-22'!F38</f>
        <v>5594</v>
      </c>
      <c r="D897" s="2" t="str">
        <f t="shared" si="13"/>
        <v>Error?</v>
      </c>
    </row>
    <row r="898" spans="1:4" x14ac:dyDescent="0.2">
      <c r="A898" s="5">
        <v>837</v>
      </c>
      <c r="B898" s="138">
        <f>'Expenditures 15-22'!F39</f>
        <v>95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23321</v>
      </c>
      <c r="C901" s="2" t="s">
        <v>573</v>
      </c>
      <c r="D901" s="2" t="str">
        <f t="shared" si="13"/>
        <v>Error?</v>
      </c>
    </row>
    <row r="902" spans="1:4" x14ac:dyDescent="0.2">
      <c r="A902" s="5">
        <v>841</v>
      </c>
      <c r="B902" s="138">
        <f>'Expenditures 15-22'!F44</f>
        <v>72099</v>
      </c>
      <c r="D902" s="2" t="str">
        <f t="shared" si="13"/>
        <v>Error?</v>
      </c>
    </row>
    <row r="903" spans="1:4" x14ac:dyDescent="0.2">
      <c r="A903" s="5">
        <v>842</v>
      </c>
      <c r="B903" s="138">
        <f>'Expenditures 15-22'!F45</f>
        <v>72976</v>
      </c>
      <c r="D903" s="2" t="str">
        <f t="shared" si="13"/>
        <v>Error?</v>
      </c>
    </row>
    <row r="904" spans="1:4" x14ac:dyDescent="0.2">
      <c r="A904" s="5">
        <v>843</v>
      </c>
      <c r="B904" s="138">
        <f>'Expenditures 15-22'!F46</f>
        <v>17997</v>
      </c>
      <c r="D904" s="2" t="str">
        <f t="shared" si="13"/>
        <v>Error?</v>
      </c>
    </row>
    <row r="905" spans="1:4" x14ac:dyDescent="0.2">
      <c r="A905" s="5">
        <v>844</v>
      </c>
      <c r="B905" s="138">
        <f>'Expenditures 15-22'!F47</f>
        <v>163072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8940</v>
      </c>
      <c r="D907" s="2" t="str">
        <f t="shared" si="13"/>
        <v>Error?</v>
      </c>
    </row>
    <row r="908" spans="1:4" x14ac:dyDescent="0.2">
      <c r="A908" s="5">
        <v>847</v>
      </c>
      <c r="B908" s="138">
        <f>'Expenditures 15-22'!F53</f>
        <v>10632</v>
      </c>
      <c r="C908" s="2" t="s">
        <v>573</v>
      </c>
      <c r="D908" s="2" t="str">
        <f t="shared" si="13"/>
        <v>Error?</v>
      </c>
    </row>
    <row r="909" spans="1:4" x14ac:dyDescent="0.2">
      <c r="A909" s="5">
        <v>848</v>
      </c>
      <c r="B909" s="138">
        <f>'Expenditures 15-22'!F55</f>
        <v>8485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46433</v>
      </c>
      <c r="D913" s="2" t="str">
        <f t="shared" si="13"/>
        <v>Error?</v>
      </c>
    </row>
    <row r="914" spans="1:4" x14ac:dyDescent="0.2">
      <c r="A914" s="5">
        <v>853</v>
      </c>
      <c r="B914" s="138">
        <f>'Expenditures 15-22'!F61</f>
        <v>144460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1341586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1532479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2079</v>
      </c>
      <c r="D922" s="2" t="str">
        <f t="shared" si="13"/>
        <v>Error?</v>
      </c>
    </row>
    <row r="923" spans="1:4" x14ac:dyDescent="0.2">
      <c r="A923" s="5">
        <v>862</v>
      </c>
      <c r="B923" s="138">
        <f>'Expenditures 15-22'!F70</f>
        <v>3816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5895</v>
      </c>
      <c r="C927" s="2" t="s">
        <v>573</v>
      </c>
      <c r="D927" s="2" t="str">
        <f t="shared" si="13"/>
        <v>Error?</v>
      </c>
    </row>
    <row r="928" spans="1:4" x14ac:dyDescent="0.2">
      <c r="A928" s="5">
        <v>867</v>
      </c>
      <c r="B928" s="138">
        <f>'Expenditures 15-22'!F73</f>
        <v>8480</v>
      </c>
      <c r="D928" s="2" t="str">
        <f t="shared" si="13"/>
        <v>Error?</v>
      </c>
    </row>
    <row r="929" spans="1:4" x14ac:dyDescent="0.2">
      <c r="A929" s="5">
        <v>868</v>
      </c>
      <c r="B929" s="138">
        <f>'Expenditures 15-22'!F74</f>
        <v>1752364</v>
      </c>
      <c r="C929" s="2" t="s">
        <v>573</v>
      </c>
      <c r="D929" s="2" t="str">
        <f t="shared" si="13"/>
        <v>Error?</v>
      </c>
    </row>
    <row r="930" spans="1:4" x14ac:dyDescent="0.2">
      <c r="A930" s="5">
        <v>869</v>
      </c>
      <c r="B930" s="138">
        <f>'Expenditures 15-22'!F75</f>
        <v>52293</v>
      </c>
      <c r="D930" s="2" t="str">
        <f t="shared" si="13"/>
        <v>Error?</v>
      </c>
    </row>
    <row r="931" spans="1:4" x14ac:dyDescent="0.2">
      <c r="A931" s="5">
        <v>870</v>
      </c>
      <c r="B931" s="138">
        <f>'Expenditures 15-22'!F114</f>
        <v>2777556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89670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89670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89670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89670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17085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1317922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6468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6468</v>
      </c>
      <c r="C1021" s="2" t="s">
        <v>573</v>
      </c>
      <c r="D1021" s="2" t="str">
        <f t="shared" si="14"/>
        <v>Error?</v>
      </c>
    </row>
    <row r="1022" spans="1:4" x14ac:dyDescent="0.2">
      <c r="A1022" s="5">
        <v>961</v>
      </c>
      <c r="B1022" s="138">
        <f>'Expenditures 15-22'!H49</f>
        <v>9782</v>
      </c>
      <c r="D1022" s="2" t="str">
        <f t="shared" si="14"/>
        <v>Error?</v>
      </c>
    </row>
    <row r="1023" spans="1:4" x14ac:dyDescent="0.2">
      <c r="A1023" s="5">
        <v>962</v>
      </c>
      <c r="B1023" s="138">
        <f>'Expenditures 15-22'!H50</f>
        <v>5395</v>
      </c>
      <c r="D1023" s="2" t="str">
        <f t="shared" ref="D1023:D1086" si="15">IF(ISBLANK(B1023),"OK",IF(A1023-B1023=0,"OK","Error?"))</f>
        <v>Error?</v>
      </c>
    </row>
    <row r="1024" spans="1:4" x14ac:dyDescent="0.2">
      <c r="A1024" s="5">
        <v>963</v>
      </c>
      <c r="B1024" s="138">
        <f>'Expenditures 15-22'!H53</f>
        <v>15752</v>
      </c>
      <c r="C1024" s="2" t="s">
        <v>573</v>
      </c>
      <c r="D1024" s="2" t="str">
        <f t="shared" si="15"/>
        <v>Error?</v>
      </c>
    </row>
    <row r="1025" spans="1:4" x14ac:dyDescent="0.2">
      <c r="A1025" s="5">
        <v>964</v>
      </c>
      <c r="B1025" s="138">
        <f>'Expenditures 15-22'!H55</f>
        <v>9754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9754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3825</v>
      </c>
      <c r="D1029" s="2" t="str">
        <f t="shared" si="15"/>
        <v>Error?</v>
      </c>
    </row>
    <row r="1030" spans="1:4" x14ac:dyDescent="0.2">
      <c r="A1030" s="5">
        <v>969</v>
      </c>
      <c r="B1030" s="138">
        <f>'Expenditures 15-22'!H61</f>
        <v>356</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4181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250</v>
      </c>
      <c r="D1038" s="2" t="str">
        <f t="shared" si="15"/>
        <v>Error?</v>
      </c>
    </row>
    <row r="1039" spans="1:4" x14ac:dyDescent="0.2">
      <c r="A1039" s="5">
        <v>978</v>
      </c>
      <c r="B1039" s="138">
        <f>'Expenditures 15-22'!H70</f>
        <v>750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1000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37155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254705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1609782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26822591</v>
      </c>
      <c r="C1093" s="2" t="s">
        <v>573</v>
      </c>
      <c r="D1093" s="2" t="str">
        <f t="shared" si="16"/>
        <v>Error?</v>
      </c>
    </row>
    <row r="1094" spans="1:4" x14ac:dyDescent="0.2">
      <c r="A1094" s="5">
        <v>1033</v>
      </c>
      <c r="B1094" s="138">
        <f>'Expenditures 15-22'!K16</f>
        <v>983111</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1955056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5025</v>
      </c>
      <c r="C1105" s="2" t="s">
        <v>573</v>
      </c>
      <c r="D1105" s="2" t="str">
        <f t="shared" si="16"/>
        <v>Error?</v>
      </c>
    </row>
    <row r="1106" spans="1:4" x14ac:dyDescent="0.2">
      <c r="A1106" s="5">
        <v>1045</v>
      </c>
      <c r="B1106" s="138">
        <f>'Expenditures 15-22'!K14</f>
        <v>320904</v>
      </c>
      <c r="C1106" s="2" t="s">
        <v>573</v>
      </c>
      <c r="D1106" s="2" t="str">
        <f t="shared" si="16"/>
        <v>Error?</v>
      </c>
    </row>
    <row r="1107" spans="1:4" x14ac:dyDescent="0.2">
      <c r="A1107" s="5">
        <v>1046</v>
      </c>
      <c r="B1107" s="138">
        <f>'Expenditures 15-22'!K15</f>
        <v>211607</v>
      </c>
      <c r="C1107" s="2" t="s">
        <v>573</v>
      </c>
      <c r="D1107" s="2" t="str">
        <f t="shared" si="16"/>
        <v>Error?</v>
      </c>
    </row>
    <row r="1108" spans="1:4" x14ac:dyDescent="0.2">
      <c r="A1108" s="5">
        <v>1047</v>
      </c>
      <c r="B1108" s="138">
        <f>'Expenditures 15-22'!K33</f>
        <v>45832113</v>
      </c>
      <c r="C1108" s="2" t="s">
        <v>573</v>
      </c>
      <c r="D1108" s="2" t="str">
        <f t="shared" si="16"/>
        <v>Error?</v>
      </c>
    </row>
    <row r="1109" spans="1:4" x14ac:dyDescent="0.2">
      <c r="A1109" s="5">
        <v>1048</v>
      </c>
      <c r="B1109" s="138">
        <f>'Expenditures 15-22'!K36</f>
        <v>1301467</v>
      </c>
      <c r="C1109" s="2" t="s">
        <v>573</v>
      </c>
      <c r="D1109" s="2" t="str">
        <f t="shared" si="16"/>
        <v>Error?</v>
      </c>
    </row>
    <row r="1110" spans="1:4" x14ac:dyDescent="0.2">
      <c r="A1110" s="5">
        <v>1049</v>
      </c>
      <c r="B1110" s="138">
        <f>'Expenditures 15-22'!K37</f>
        <v>289936</v>
      </c>
      <c r="C1110" s="2" t="s">
        <v>573</v>
      </c>
      <c r="D1110" s="2" t="str">
        <f t="shared" si="16"/>
        <v>Error?</v>
      </c>
    </row>
    <row r="1111" spans="1:4" x14ac:dyDescent="0.2">
      <c r="A1111" s="5">
        <v>1050</v>
      </c>
      <c r="B1111" s="138">
        <f>'Expenditures 15-22'!K38</f>
        <v>1560539</v>
      </c>
      <c r="C1111" s="2" t="s">
        <v>573</v>
      </c>
      <c r="D1111" s="2" t="str">
        <f t="shared" si="16"/>
        <v>Error?</v>
      </c>
    </row>
    <row r="1112" spans="1:4" x14ac:dyDescent="0.2">
      <c r="A1112" s="5">
        <v>1051</v>
      </c>
      <c r="B1112" s="138">
        <f>'Expenditures 15-22'!K39</f>
        <v>574532</v>
      </c>
      <c r="C1112" s="2" t="s">
        <v>573</v>
      </c>
      <c r="D1112" s="2" t="str">
        <f t="shared" si="16"/>
        <v>Error?</v>
      </c>
    </row>
    <row r="1113" spans="1:4" x14ac:dyDescent="0.2">
      <c r="A1113" s="5">
        <v>1052</v>
      </c>
      <c r="B1113" s="138">
        <f>'Expenditures 15-22'!K40</f>
        <v>1356460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5082934</v>
      </c>
      <c r="C1115" s="2" t="s">
        <v>573</v>
      </c>
      <c r="D1115" s="2" t="str">
        <f t="shared" si="16"/>
        <v>Error?</v>
      </c>
    </row>
    <row r="1116" spans="1:4" x14ac:dyDescent="0.2">
      <c r="A1116" s="5">
        <v>1055</v>
      </c>
      <c r="B1116" s="138">
        <f>'Expenditures 15-22'!K44</f>
        <v>1030144</v>
      </c>
      <c r="C1116" s="2" t="s">
        <v>573</v>
      </c>
      <c r="D1116" s="2" t="str">
        <f t="shared" si="16"/>
        <v>Error?</v>
      </c>
    </row>
    <row r="1117" spans="1:4" x14ac:dyDescent="0.2">
      <c r="A1117" s="5">
        <v>1056</v>
      </c>
      <c r="B1117" s="138">
        <f>'Expenditures 15-22'!K45</f>
        <v>3454316</v>
      </c>
      <c r="C1117" s="2" t="s">
        <v>573</v>
      </c>
      <c r="D1117" s="2" t="str">
        <f t="shared" si="16"/>
        <v>Error?</v>
      </c>
    </row>
    <row r="1118" spans="1:4" x14ac:dyDescent="0.2">
      <c r="A1118" s="5">
        <v>1057</v>
      </c>
      <c r="B1118" s="138">
        <f>'Expenditures 15-22'!K46</f>
        <v>270948</v>
      </c>
      <c r="C1118" s="2" t="s">
        <v>573</v>
      </c>
      <c r="D1118" s="2" t="str">
        <f t="shared" si="16"/>
        <v>Error?</v>
      </c>
    </row>
    <row r="1119" spans="1:4" x14ac:dyDescent="0.2">
      <c r="A1119" s="5">
        <v>1058</v>
      </c>
      <c r="B1119" s="138">
        <f>'Expenditures 15-22'!K47</f>
        <v>4755408</v>
      </c>
      <c r="C1119" s="2" t="s">
        <v>573</v>
      </c>
      <c r="D1119" s="2" t="str">
        <f t="shared" si="16"/>
        <v>Error?</v>
      </c>
    </row>
    <row r="1120" spans="1:4" x14ac:dyDescent="0.2">
      <c r="A1120" s="5">
        <v>1059</v>
      </c>
      <c r="B1120" s="138">
        <f>'Expenditures 15-22'!K49</f>
        <v>1186219</v>
      </c>
      <c r="C1120" s="2" t="s">
        <v>573</v>
      </c>
      <c r="D1120" s="2" t="str">
        <f t="shared" si="16"/>
        <v>Error?</v>
      </c>
    </row>
    <row r="1121" spans="1:4" x14ac:dyDescent="0.2">
      <c r="A1121" s="5">
        <v>1060</v>
      </c>
      <c r="B1121" s="138">
        <f>'Expenditures 15-22'!K50</f>
        <v>428326</v>
      </c>
      <c r="C1121" s="2" t="s">
        <v>573</v>
      </c>
      <c r="D1121" s="2" t="str">
        <f t="shared" si="16"/>
        <v>Error?</v>
      </c>
    </row>
    <row r="1122" spans="1:4" x14ac:dyDescent="0.2">
      <c r="A1122" s="5">
        <v>1061</v>
      </c>
      <c r="B1122" s="138">
        <f>'Expenditures 15-22'!K53</f>
        <v>1980925</v>
      </c>
      <c r="C1122" s="2" t="s">
        <v>573</v>
      </c>
      <c r="D1122" s="2" t="str">
        <f t="shared" si="16"/>
        <v>Error?</v>
      </c>
    </row>
    <row r="1123" spans="1:4" x14ac:dyDescent="0.2">
      <c r="A1123" s="5">
        <v>1062</v>
      </c>
      <c r="B1123" s="138">
        <f>'Expenditures 15-22'!K55</f>
        <v>3347377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3347377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587010</v>
      </c>
      <c r="C1127" s="2" t="s">
        <v>573</v>
      </c>
      <c r="D1127" s="2" t="str">
        <f t="shared" si="16"/>
        <v>Error?</v>
      </c>
    </row>
    <row r="1128" spans="1:4" x14ac:dyDescent="0.2">
      <c r="A1128" s="5">
        <v>1067</v>
      </c>
      <c r="B1128" s="138">
        <f>'Expenditures 15-22'!K61</f>
        <v>322856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1801819</v>
      </c>
      <c r="C1130" s="2" t="s">
        <v>573</v>
      </c>
      <c r="D1130" s="2" t="str">
        <f t="shared" si="16"/>
        <v>Error?</v>
      </c>
    </row>
    <row r="1131" spans="1:4" x14ac:dyDescent="0.2">
      <c r="A1131" s="5">
        <v>1070</v>
      </c>
      <c r="B1131" s="138">
        <f>'Expenditures 15-22'!K64</f>
        <v>100822</v>
      </c>
      <c r="C1131" s="2" t="s">
        <v>573</v>
      </c>
      <c r="D1131" s="2" t="str">
        <f t="shared" si="16"/>
        <v>Error?</v>
      </c>
    </row>
    <row r="1132" spans="1:4" x14ac:dyDescent="0.2">
      <c r="A1132" s="10">
        <v>1071</v>
      </c>
      <c r="D1132" s="2" t="str">
        <f t="shared" si="16"/>
        <v>OK</v>
      </c>
    </row>
    <row r="1133" spans="1:4" x14ac:dyDescent="0.2">
      <c r="A1133" s="5">
        <v>1072</v>
      </c>
      <c r="B1133" s="138">
        <f>'Expenditures 15-22'!K65</f>
        <v>2812507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111936</v>
      </c>
      <c r="C1136" s="2" t="s">
        <v>573</v>
      </c>
      <c r="D1136" s="2" t="str">
        <f t="shared" si="16"/>
        <v>Error?</v>
      </c>
    </row>
    <row r="1137" spans="1:4" x14ac:dyDescent="0.2">
      <c r="A1137" s="5">
        <v>1076</v>
      </c>
      <c r="B1137" s="138">
        <f>'Expenditures 15-22'!K70</f>
        <v>471855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583791</v>
      </c>
      <c r="C1141" s="2" t="s">
        <v>573</v>
      </c>
      <c r="D1141" s="2" t="str">
        <f t="shared" si="16"/>
        <v>Error?</v>
      </c>
    </row>
    <row r="1142" spans="1:4" x14ac:dyDescent="0.2">
      <c r="A1142" s="5">
        <v>1081</v>
      </c>
      <c r="B1142" s="138">
        <f>'Expenditures 15-22'!K73</f>
        <v>8480</v>
      </c>
      <c r="C1142" s="2" t="s">
        <v>573</v>
      </c>
      <c r="D1142" s="2" t="str">
        <f t="shared" si="16"/>
        <v>Error?</v>
      </c>
    </row>
    <row r="1143" spans="1:4" x14ac:dyDescent="0.2">
      <c r="A1143" s="5">
        <v>1082</v>
      </c>
      <c r="B1143" s="138">
        <f>'Expenditures 15-22'!K74</f>
        <v>18571422</v>
      </c>
      <c r="C1143" s="2" t="s">
        <v>573</v>
      </c>
      <c r="D1143" s="2" t="str">
        <f t="shared" si="16"/>
        <v>Error?</v>
      </c>
    </row>
    <row r="1144" spans="1:4" x14ac:dyDescent="0.2">
      <c r="A1144" s="5">
        <v>1083</v>
      </c>
      <c r="B1144" s="138">
        <f>'Expenditures 15-22'!K75</f>
        <v>106468</v>
      </c>
      <c r="C1144" s="2" t="s">
        <v>573</v>
      </c>
      <c r="D1144" s="2" t="str">
        <f t="shared" si="16"/>
        <v>Error?</v>
      </c>
    </row>
    <row r="1145" spans="1:4" x14ac:dyDescent="0.2">
      <c r="A1145" s="5">
        <v>1084</v>
      </c>
      <c r="B1145" s="138">
        <f>'Expenditures 15-22'!K102</f>
        <v>254705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64764708</v>
      </c>
      <c r="C1152" s="2" t="s">
        <v>573</v>
      </c>
      <c r="D1152" s="2" t="str">
        <f t="shared" si="17"/>
        <v>Error?</v>
      </c>
    </row>
    <row r="1153" spans="1:4" x14ac:dyDescent="0.2">
      <c r="A1153" s="5">
        <v>1092</v>
      </c>
      <c r="B1153" s="138">
        <f>'Expenditures 15-22'!K115</f>
        <v>-3381898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3088863</v>
      </c>
      <c r="D1221" s="2" t="str">
        <f t="shared" si="18"/>
        <v>Error?</v>
      </c>
    </row>
    <row r="1222" spans="1:4" x14ac:dyDescent="0.2">
      <c r="A1222" s="10">
        <v>1161</v>
      </c>
      <c r="D1222" s="2" t="str">
        <f t="shared" si="18"/>
        <v>OK</v>
      </c>
    </row>
    <row r="1223" spans="1:4" x14ac:dyDescent="0.2">
      <c r="A1223" s="5">
        <v>1162</v>
      </c>
      <c r="B1223" s="138">
        <f>'Expenditures 15-22'!C127</f>
        <v>3088863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3088863</v>
      </c>
      <c r="C1225" s="2" t="s">
        <v>573</v>
      </c>
      <c r="D1225" s="2" t="str">
        <f t="shared" si="18"/>
        <v>Error?</v>
      </c>
    </row>
    <row r="1226" spans="1:4" x14ac:dyDescent="0.2">
      <c r="A1226" s="5">
        <v>1165</v>
      </c>
      <c r="B1226" s="138">
        <f>'Expenditures 15-22'!C151</f>
        <v>3088863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766177</v>
      </c>
      <c r="D1229" s="2" t="str">
        <f t="shared" si="18"/>
        <v>Error?</v>
      </c>
    </row>
    <row r="1230" spans="1:4" x14ac:dyDescent="0.2">
      <c r="A1230" s="10">
        <v>1169</v>
      </c>
      <c r="D1230" s="2" t="str">
        <f t="shared" si="18"/>
        <v>OK</v>
      </c>
    </row>
    <row r="1231" spans="1:4" x14ac:dyDescent="0.2">
      <c r="A1231" s="5">
        <v>1170</v>
      </c>
      <c r="B1231" s="138">
        <f>'Expenditures 15-22'!D127</f>
        <v>766177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766177</v>
      </c>
      <c r="C1233" s="2" t="s">
        <v>573</v>
      </c>
      <c r="D1233" s="2" t="str">
        <f t="shared" si="18"/>
        <v>Error?</v>
      </c>
    </row>
    <row r="1234" spans="1:4" x14ac:dyDescent="0.2">
      <c r="A1234" s="5">
        <v>1173</v>
      </c>
      <c r="B1234" s="138">
        <f>'Expenditures 15-22'!D151</f>
        <v>766177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491883</v>
      </c>
      <c r="D1237" s="2" t="str">
        <f t="shared" si="18"/>
        <v>Error?</v>
      </c>
    </row>
    <row r="1238" spans="1:4" x14ac:dyDescent="0.2">
      <c r="A1238" s="10">
        <v>1177</v>
      </c>
      <c r="D1238" s="2" t="str">
        <f t="shared" si="18"/>
        <v>OK</v>
      </c>
    </row>
    <row r="1239" spans="1:4" x14ac:dyDescent="0.2">
      <c r="A1239" s="5">
        <v>1178</v>
      </c>
      <c r="B1239" s="138">
        <f>'Expenditures 15-22'!E127</f>
        <v>491883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491883</v>
      </c>
      <c r="C1241" s="2" t="s">
        <v>573</v>
      </c>
      <c r="D1241" s="2" t="str">
        <f t="shared" si="18"/>
        <v>Error?</v>
      </c>
    </row>
    <row r="1242" spans="1:4" x14ac:dyDescent="0.2">
      <c r="A1242" s="5">
        <v>1181</v>
      </c>
      <c r="B1242" s="138">
        <f>'Expenditures 15-22'!E151</f>
        <v>491883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1120151</v>
      </c>
      <c r="D1245" s="2" t="str">
        <f t="shared" si="18"/>
        <v>Error?</v>
      </c>
    </row>
    <row r="1246" spans="1:4" x14ac:dyDescent="0.2">
      <c r="A1246" s="10">
        <v>1185</v>
      </c>
      <c r="D1246" s="2" t="str">
        <f t="shared" si="18"/>
        <v>OK</v>
      </c>
    </row>
    <row r="1247" spans="1:4" x14ac:dyDescent="0.2">
      <c r="A1247" s="5">
        <v>1186</v>
      </c>
      <c r="B1247" s="138">
        <f>'Expenditures 15-22'!F127</f>
        <v>1120151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1120151</v>
      </c>
      <c r="C1249" s="2" t="s">
        <v>573</v>
      </c>
      <c r="D1249" s="2" t="str">
        <f t="shared" si="18"/>
        <v>Error?</v>
      </c>
    </row>
    <row r="1250" spans="1:4" x14ac:dyDescent="0.2">
      <c r="A1250" s="5">
        <v>1189</v>
      </c>
      <c r="B1250" s="138">
        <f>'Expenditures 15-22'!F151</f>
        <v>1120151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5467074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5467074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5467074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5467074</v>
      </c>
      <c r="C1288" s="2" t="s">
        <v>573</v>
      </c>
      <c r="D1288" s="2" t="str">
        <f t="shared" si="19"/>
        <v>Error?</v>
      </c>
    </row>
    <row r="1289" spans="1:4" x14ac:dyDescent="0.2">
      <c r="A1289" s="5">
        <v>1228</v>
      </c>
      <c r="B1289" s="138">
        <f>'Expenditures 15-22'!K152</f>
        <v>126360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160684</v>
      </c>
      <c r="D1307" s="2" t="str">
        <f t="shared" si="19"/>
        <v>Error?</v>
      </c>
    </row>
    <row r="1308" spans="1:4" x14ac:dyDescent="0.2">
      <c r="A1308" s="5">
        <v>1247</v>
      </c>
      <c r="B1308" s="138">
        <f>'Expenditures 15-22'!E172</f>
        <v>160684</v>
      </c>
      <c r="C1308" s="2" t="s">
        <v>573</v>
      </c>
      <c r="D1308" s="2" t="str">
        <f t="shared" si="19"/>
        <v>Error?</v>
      </c>
    </row>
    <row r="1309" spans="1:4" x14ac:dyDescent="0.2">
      <c r="A1309" s="5">
        <v>1248</v>
      </c>
      <c r="B1309" s="138">
        <f>'Expenditures 15-22'!E174</f>
        <v>160684</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240111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973045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1213156</v>
      </c>
      <c r="C1317" s="2" t="s">
        <v>573</v>
      </c>
      <c r="D1317" s="2" t="str">
        <f t="shared" si="19"/>
        <v>Error?</v>
      </c>
    </row>
    <row r="1318" spans="1:4" x14ac:dyDescent="0.2">
      <c r="A1318" s="5">
        <v>1257</v>
      </c>
      <c r="B1318" s="138">
        <f>'Expenditures 15-22'!H174</f>
        <v>1213156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240111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973045</v>
      </c>
      <c r="C1329" s="2" t="s">
        <v>573</v>
      </c>
      <c r="D1329" s="2" t="str">
        <f t="shared" si="19"/>
        <v>Error?</v>
      </c>
    </row>
    <row r="1330" spans="1:4" x14ac:dyDescent="0.2">
      <c r="A1330" s="5">
        <v>1269</v>
      </c>
      <c r="B1330" s="138">
        <f>'Expenditures 15-22'!K171</f>
        <v>160684</v>
      </c>
      <c r="C1330" s="2" t="s">
        <v>573</v>
      </c>
      <c r="D1330" s="2" t="str">
        <f t="shared" si="19"/>
        <v>Error?</v>
      </c>
    </row>
    <row r="1331" spans="1:4" x14ac:dyDescent="0.2">
      <c r="A1331" s="5">
        <v>1270</v>
      </c>
      <c r="B1331" s="138">
        <f>'Expenditures 15-22'!K172</f>
        <v>1373840</v>
      </c>
      <c r="C1331" s="2" t="s">
        <v>573</v>
      </c>
      <c r="D1331" s="2" t="str">
        <f t="shared" si="19"/>
        <v>Error?</v>
      </c>
    </row>
    <row r="1332" spans="1:4" x14ac:dyDescent="0.2">
      <c r="A1332" s="5">
        <v>1271</v>
      </c>
      <c r="B1332" s="138">
        <f>'Expenditures 15-22'!K174</f>
        <v>1373840</v>
      </c>
      <c r="C1332" s="2" t="s">
        <v>573</v>
      </c>
      <c r="D1332" s="2" t="str">
        <f t="shared" si="19"/>
        <v>Error?</v>
      </c>
    </row>
    <row r="1333" spans="1:4" x14ac:dyDescent="0.2">
      <c r="A1333" s="5">
        <v>1272</v>
      </c>
      <c r="B1333" s="138">
        <f>'Expenditures 15-22'!K175</f>
        <v>-73394</v>
      </c>
      <c r="C1333" s="2" t="s">
        <v>573</v>
      </c>
      <c r="D1333" s="2" t="str">
        <f t="shared" si="19"/>
        <v>Error?</v>
      </c>
    </row>
    <row r="1334" spans="1:4" x14ac:dyDescent="0.2">
      <c r="A1334" s="10">
        <v>1273</v>
      </c>
      <c r="D1334" s="2" t="str">
        <f t="shared" si="19"/>
        <v>OK</v>
      </c>
    </row>
    <row r="1335" spans="1:4" x14ac:dyDescent="0.2">
      <c r="A1335" s="5">
        <v>1274</v>
      </c>
      <c r="B1335" s="138">
        <f>'Expenditures 15-22'!C182</f>
        <v>289401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289401</v>
      </c>
      <c r="C1339" s="2" t="s">
        <v>573</v>
      </c>
      <c r="D1339" s="2" t="str">
        <f t="shared" si="19"/>
        <v>Error?</v>
      </c>
    </row>
    <row r="1340" spans="1:4" x14ac:dyDescent="0.2">
      <c r="A1340" s="5">
        <v>1279</v>
      </c>
      <c r="B1340" s="138">
        <f>'Expenditures 15-22'!C210</f>
        <v>289401</v>
      </c>
      <c r="C1340" s="2" t="s">
        <v>573</v>
      </c>
      <c r="D1340" s="2" t="str">
        <f t="shared" si="19"/>
        <v>Error?</v>
      </c>
    </row>
    <row r="1341" spans="1:4" x14ac:dyDescent="0.2">
      <c r="A1341" s="5">
        <v>1280</v>
      </c>
      <c r="B1341" s="138">
        <f>'Expenditures 15-22'!D182</f>
        <v>3982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3982</v>
      </c>
      <c r="C1345" s="2" t="s">
        <v>573</v>
      </c>
      <c r="D1345" s="2" t="str">
        <f t="shared" si="20"/>
        <v>Error?</v>
      </c>
    </row>
    <row r="1346" spans="1:4" x14ac:dyDescent="0.2">
      <c r="A1346" s="5">
        <v>1285</v>
      </c>
      <c r="B1346" s="138">
        <f>'Expenditures 15-22'!D210</f>
        <v>3982</v>
      </c>
      <c r="C1346" s="2" t="s">
        <v>573</v>
      </c>
      <c r="D1346" s="2" t="str">
        <f t="shared" si="20"/>
        <v>Error?</v>
      </c>
    </row>
    <row r="1347" spans="1:4" x14ac:dyDescent="0.2">
      <c r="A1347" s="5">
        <v>1286</v>
      </c>
      <c r="B1347" s="138">
        <f>'Expenditures 15-22'!E182</f>
        <v>6813545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6813545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6813545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7106928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7106928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7106928</v>
      </c>
      <c r="C1388" s="2" t="s">
        <v>573</v>
      </c>
      <c r="D1388" s="2" t="str">
        <f t="shared" si="20"/>
        <v>Error?</v>
      </c>
    </row>
    <row r="1389" spans="1:4" x14ac:dyDescent="0.2">
      <c r="A1389" s="5">
        <v>1328</v>
      </c>
      <c r="B1389" s="138">
        <f>'Expenditures 15-22'!K211</f>
        <v>974863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11285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21920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4480</v>
      </c>
      <c r="D1408" s="2" t="str">
        <f t="shared" si="21"/>
        <v>Error?</v>
      </c>
    </row>
    <row r="1409" spans="1:4" x14ac:dyDescent="0.2">
      <c r="A1409" s="5">
        <v>1348</v>
      </c>
      <c r="B1409" s="138">
        <f>'Expenditures 15-22'!D224</f>
        <v>12628</v>
      </c>
      <c r="D1409" s="2" t="str">
        <f t="shared" si="21"/>
        <v>Error?</v>
      </c>
    </row>
    <row r="1410" spans="1:4" x14ac:dyDescent="0.2">
      <c r="A1410" s="5">
        <v>1349</v>
      </c>
      <c r="B1410" s="138">
        <f>'Expenditures 15-22'!D229</f>
        <v>1130962</v>
      </c>
      <c r="C1410" s="2" t="s">
        <v>573</v>
      </c>
      <c r="D1410" s="2" t="str">
        <f t="shared" si="21"/>
        <v>Error?</v>
      </c>
    </row>
    <row r="1411" spans="1:4" x14ac:dyDescent="0.2">
      <c r="A1411" s="5">
        <v>1350</v>
      </c>
      <c r="B1411" s="138">
        <f>'Expenditures 15-22'!D232</f>
        <v>15009</v>
      </c>
      <c r="D1411" s="2" t="str">
        <f t="shared" si="21"/>
        <v>Error?</v>
      </c>
    </row>
    <row r="1412" spans="1:4" x14ac:dyDescent="0.2">
      <c r="A1412" s="5">
        <v>1351</v>
      </c>
      <c r="B1412" s="138">
        <f>'Expenditures 15-22'!D233</f>
        <v>37858</v>
      </c>
      <c r="D1412" s="2" t="str">
        <f t="shared" si="21"/>
        <v>Error?</v>
      </c>
    </row>
    <row r="1413" spans="1:4" x14ac:dyDescent="0.2">
      <c r="A1413" s="5">
        <v>1352</v>
      </c>
      <c r="B1413" s="138">
        <f>'Expenditures 15-22'!D234</f>
        <v>202550</v>
      </c>
      <c r="D1413" s="2" t="str">
        <f t="shared" si="21"/>
        <v>Error?</v>
      </c>
    </row>
    <row r="1414" spans="1:4" x14ac:dyDescent="0.2">
      <c r="A1414" s="5">
        <v>1353</v>
      </c>
      <c r="B1414" s="138">
        <f>'Expenditures 15-22'!D235</f>
        <v>6865</v>
      </c>
      <c r="D1414" s="2" t="str">
        <f t="shared" si="21"/>
        <v>Error?</v>
      </c>
    </row>
    <row r="1415" spans="1:4" x14ac:dyDescent="0.2">
      <c r="A1415" s="5">
        <v>1354</v>
      </c>
      <c r="B1415" s="138">
        <f>'Expenditures 15-22'!D236</f>
        <v>16186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278468</v>
      </c>
      <c r="C1417" s="2" t="s">
        <v>573</v>
      </c>
      <c r="D1417" s="2" t="str">
        <f t="shared" si="21"/>
        <v>Error?</v>
      </c>
    </row>
    <row r="1418" spans="1:4" x14ac:dyDescent="0.2">
      <c r="A1418" s="5">
        <v>1357</v>
      </c>
      <c r="B1418" s="138">
        <f>'Expenditures 15-22'!D240</f>
        <v>41271</v>
      </c>
      <c r="D1418" s="2" t="str">
        <f t="shared" si="21"/>
        <v>Error?</v>
      </c>
    </row>
    <row r="1419" spans="1:4" x14ac:dyDescent="0.2">
      <c r="A1419" s="5">
        <v>1358</v>
      </c>
      <c r="B1419" s="138">
        <f>'Expenditures 15-22'!D241</f>
        <v>223159</v>
      </c>
      <c r="D1419" s="2" t="str">
        <f t="shared" si="21"/>
        <v>Error?</v>
      </c>
    </row>
    <row r="1420" spans="1:4" x14ac:dyDescent="0.2">
      <c r="A1420" s="5">
        <v>1359</v>
      </c>
      <c r="B1420" s="138">
        <f>'Expenditures 15-22'!D242</f>
        <v>166</v>
      </c>
      <c r="D1420" s="2" t="str">
        <f t="shared" si="21"/>
        <v>Error?</v>
      </c>
    </row>
    <row r="1421" spans="1:4" x14ac:dyDescent="0.2">
      <c r="A1421" s="5">
        <v>1360</v>
      </c>
      <c r="B1421" s="138">
        <f>'Expenditures 15-22'!D243</f>
        <v>264596</v>
      </c>
      <c r="C1421" s="2" t="s">
        <v>573</v>
      </c>
      <c r="D1421" s="2" t="str">
        <f t="shared" si="21"/>
        <v>Error?</v>
      </c>
    </row>
    <row r="1422" spans="1:4" x14ac:dyDescent="0.2">
      <c r="A1422" s="5">
        <v>1361</v>
      </c>
      <c r="B1422" s="138">
        <f>'Expenditures 15-22'!D245</f>
        <v>17467</v>
      </c>
      <c r="D1422" s="2" t="str">
        <f t="shared" si="21"/>
        <v>Error?</v>
      </c>
    </row>
    <row r="1423" spans="1:4" x14ac:dyDescent="0.2">
      <c r="A1423" s="5">
        <v>1362</v>
      </c>
      <c r="B1423" s="138">
        <f>'Expenditures 15-22'!D246</f>
        <v>5105</v>
      </c>
      <c r="D1423" s="2" t="str">
        <f t="shared" si="21"/>
        <v>Error?</v>
      </c>
    </row>
    <row r="1424" spans="1:4" x14ac:dyDescent="0.2">
      <c r="A1424" s="5">
        <v>1363</v>
      </c>
      <c r="B1424" s="138">
        <f>'Expenditures 15-22'!D257</f>
        <v>28413</v>
      </c>
      <c r="C1424" s="2" t="s">
        <v>573</v>
      </c>
      <c r="D1424" s="2" t="str">
        <f t="shared" si="21"/>
        <v>Error?</v>
      </c>
    </row>
    <row r="1425" spans="1:4" x14ac:dyDescent="0.2">
      <c r="A1425" s="5">
        <v>1364</v>
      </c>
      <c r="B1425" s="138">
        <f>'Expenditures 15-22'!D259</f>
        <v>188204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188204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57780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704195</v>
      </c>
      <c r="D1431" s="2" t="str">
        <f t="shared" si="21"/>
        <v>Error?</v>
      </c>
    </row>
    <row r="1432" spans="1:4" x14ac:dyDescent="0.2">
      <c r="A1432" s="5">
        <v>1371</v>
      </c>
      <c r="B1432" s="138">
        <f>'Expenditures 15-22'!D267</f>
        <v>13151</v>
      </c>
      <c r="D1432" s="2" t="str">
        <f t="shared" si="21"/>
        <v>Error?</v>
      </c>
    </row>
    <row r="1433" spans="1:4" x14ac:dyDescent="0.2">
      <c r="A1433" s="5">
        <v>1372</v>
      </c>
      <c r="B1433" s="138">
        <f>'Expenditures 15-22'!D268</f>
        <v>24958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800084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15348</v>
      </c>
      <c r="D1439" s="2" t="str">
        <f t="shared" si="21"/>
        <v>Error?</v>
      </c>
    </row>
    <row r="1440" spans="1:4" x14ac:dyDescent="0.2">
      <c r="A1440" s="5">
        <v>1379</v>
      </c>
      <c r="B1440" s="138">
        <f>'Expenditures 15-22'!D275</f>
        <v>51818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67166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1626931</v>
      </c>
      <c r="C1446" s="2" t="s">
        <v>573</v>
      </c>
      <c r="D1446" s="2" t="str">
        <f t="shared" si="21"/>
        <v>Error?</v>
      </c>
    </row>
    <row r="1447" spans="1:4" x14ac:dyDescent="0.2">
      <c r="A1447" s="5">
        <v>1386</v>
      </c>
      <c r="B1447" s="138">
        <f>'Expenditures 15-22'!D280</f>
        <v>781</v>
      </c>
      <c r="D1447" s="2" t="str">
        <f t="shared" si="21"/>
        <v>Error?</v>
      </c>
    </row>
    <row r="1448" spans="1:4" x14ac:dyDescent="0.2">
      <c r="A1448" s="5">
        <v>1387</v>
      </c>
      <c r="B1448" s="138">
        <f>'Expenditures 15-22'!D295</f>
        <v>2758674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11285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21920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4480</v>
      </c>
      <c r="C1472" s="2" t="s">
        <v>573</v>
      </c>
      <c r="D1472" s="2" t="str">
        <f t="shared" si="22"/>
        <v>Error?</v>
      </c>
    </row>
    <row r="1473" spans="1:4" x14ac:dyDescent="0.2">
      <c r="A1473" s="5">
        <v>1412</v>
      </c>
      <c r="B1473" s="138">
        <f>'Expenditures 15-22'!K224</f>
        <v>12628</v>
      </c>
      <c r="C1473" s="2" t="s">
        <v>573</v>
      </c>
      <c r="D1473" s="2" t="str">
        <f t="shared" si="22"/>
        <v>Error?</v>
      </c>
    </row>
    <row r="1474" spans="1:4" x14ac:dyDescent="0.2">
      <c r="A1474" s="5">
        <v>1413</v>
      </c>
      <c r="B1474" s="138">
        <f>'Expenditures 15-22'!K229</f>
        <v>1130962</v>
      </c>
      <c r="C1474" s="2" t="s">
        <v>573</v>
      </c>
      <c r="D1474" s="2" t="str">
        <f t="shared" si="22"/>
        <v>Error?</v>
      </c>
    </row>
    <row r="1475" spans="1:4" x14ac:dyDescent="0.2">
      <c r="A1475" s="5">
        <v>1414</v>
      </c>
      <c r="B1475" s="138">
        <f>'Expenditures 15-22'!K232</f>
        <v>15009</v>
      </c>
      <c r="C1475" s="2" t="s">
        <v>573</v>
      </c>
      <c r="D1475" s="2" t="str">
        <f t="shared" si="22"/>
        <v>Error?</v>
      </c>
    </row>
    <row r="1476" spans="1:4" x14ac:dyDescent="0.2">
      <c r="A1476" s="5">
        <v>1415</v>
      </c>
      <c r="B1476" s="138">
        <f>'Expenditures 15-22'!K233</f>
        <v>37858</v>
      </c>
      <c r="C1476" s="2" t="s">
        <v>573</v>
      </c>
      <c r="D1476" s="2" t="str">
        <f t="shared" si="22"/>
        <v>Error?</v>
      </c>
    </row>
    <row r="1477" spans="1:4" x14ac:dyDescent="0.2">
      <c r="A1477" s="5">
        <v>1416</v>
      </c>
      <c r="B1477" s="138">
        <f>'Expenditures 15-22'!K234</f>
        <v>202550</v>
      </c>
      <c r="C1477" s="2" t="s">
        <v>573</v>
      </c>
      <c r="D1477" s="2" t="str">
        <f t="shared" si="22"/>
        <v>Error?</v>
      </c>
    </row>
    <row r="1478" spans="1:4" x14ac:dyDescent="0.2">
      <c r="A1478" s="5">
        <v>1417</v>
      </c>
      <c r="B1478" s="138">
        <f>'Expenditures 15-22'!K235</f>
        <v>6865</v>
      </c>
      <c r="C1478" s="2" t="s">
        <v>573</v>
      </c>
      <c r="D1478" s="2" t="str">
        <f t="shared" si="22"/>
        <v>Error?</v>
      </c>
    </row>
    <row r="1479" spans="1:4" x14ac:dyDescent="0.2">
      <c r="A1479" s="5">
        <v>1418</v>
      </c>
      <c r="B1479" s="138">
        <f>'Expenditures 15-22'!K236</f>
        <v>16186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278468</v>
      </c>
      <c r="C1481" s="2" t="s">
        <v>573</v>
      </c>
      <c r="D1481" s="2" t="str">
        <f t="shared" si="22"/>
        <v>Error?</v>
      </c>
    </row>
    <row r="1482" spans="1:4" x14ac:dyDescent="0.2">
      <c r="A1482" s="5">
        <v>1421</v>
      </c>
      <c r="B1482" s="138">
        <f>'Expenditures 15-22'!K240</f>
        <v>41271</v>
      </c>
      <c r="C1482" s="2" t="s">
        <v>573</v>
      </c>
      <c r="D1482" s="2" t="str">
        <f t="shared" si="22"/>
        <v>Error?</v>
      </c>
    </row>
    <row r="1483" spans="1:4" x14ac:dyDescent="0.2">
      <c r="A1483" s="5">
        <v>1422</v>
      </c>
      <c r="B1483" s="138">
        <f>'Expenditures 15-22'!K241</f>
        <v>223159</v>
      </c>
      <c r="C1483" s="2" t="s">
        <v>573</v>
      </c>
      <c r="D1483" s="2" t="str">
        <f t="shared" si="22"/>
        <v>Error?</v>
      </c>
    </row>
    <row r="1484" spans="1:4" x14ac:dyDescent="0.2">
      <c r="A1484" s="5">
        <v>1423</v>
      </c>
      <c r="B1484" s="138">
        <f>'Expenditures 15-22'!K242</f>
        <v>166</v>
      </c>
      <c r="C1484" s="2" t="s">
        <v>573</v>
      </c>
      <c r="D1484" s="2" t="str">
        <f t="shared" si="22"/>
        <v>Error?</v>
      </c>
    </row>
    <row r="1485" spans="1:4" x14ac:dyDescent="0.2">
      <c r="A1485" s="5">
        <v>1424</v>
      </c>
      <c r="B1485" s="138">
        <f>'Expenditures 15-22'!K243</f>
        <v>264596</v>
      </c>
      <c r="C1485" s="2" t="s">
        <v>573</v>
      </c>
      <c r="D1485" s="2" t="str">
        <f t="shared" si="22"/>
        <v>Error?</v>
      </c>
    </row>
    <row r="1486" spans="1:4" x14ac:dyDescent="0.2">
      <c r="A1486" s="5">
        <v>1425</v>
      </c>
      <c r="B1486" s="138">
        <f>'Expenditures 15-22'!K245</f>
        <v>17467</v>
      </c>
      <c r="C1486" s="2" t="s">
        <v>573</v>
      </c>
      <c r="D1486" s="2" t="str">
        <f t="shared" si="22"/>
        <v>Error?</v>
      </c>
    </row>
    <row r="1487" spans="1:4" x14ac:dyDescent="0.2">
      <c r="A1487" s="5">
        <v>1426</v>
      </c>
      <c r="B1487" s="138">
        <f>'Expenditures 15-22'!K246</f>
        <v>5105</v>
      </c>
      <c r="C1487" s="2" t="s">
        <v>573</v>
      </c>
      <c r="D1487" s="2" t="str">
        <f t="shared" si="22"/>
        <v>Error?</v>
      </c>
    </row>
    <row r="1488" spans="1:4" x14ac:dyDescent="0.2">
      <c r="A1488" s="5">
        <v>1427</v>
      </c>
      <c r="B1488" s="138">
        <f>'Expenditures 15-22'!K257</f>
        <v>28413</v>
      </c>
      <c r="C1488" s="2" t="s">
        <v>573</v>
      </c>
      <c r="D1488" s="2" t="str">
        <f t="shared" si="22"/>
        <v>Error?</v>
      </c>
    </row>
    <row r="1489" spans="1:4" x14ac:dyDescent="0.2">
      <c r="A1489" s="5">
        <v>1428</v>
      </c>
      <c r="B1489" s="138">
        <f>'Expenditures 15-22'!K259</f>
        <v>188204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188204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57780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704195</v>
      </c>
      <c r="C1495" s="2" t="s">
        <v>573</v>
      </c>
      <c r="D1495" s="2" t="str">
        <f t="shared" si="22"/>
        <v>Error?</v>
      </c>
    </row>
    <row r="1496" spans="1:4" x14ac:dyDescent="0.2">
      <c r="A1496" s="5">
        <v>1435</v>
      </c>
      <c r="B1496" s="138">
        <f>'Expenditures 15-22'!K267</f>
        <v>13151</v>
      </c>
      <c r="C1496" s="2" t="s">
        <v>573</v>
      </c>
      <c r="D1496" s="2" t="str">
        <f t="shared" si="22"/>
        <v>Error?</v>
      </c>
    </row>
    <row r="1497" spans="1:4" x14ac:dyDescent="0.2">
      <c r="A1497" s="5">
        <v>1436</v>
      </c>
      <c r="B1497" s="138">
        <f>'Expenditures 15-22'!K268</f>
        <v>24958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800084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15348</v>
      </c>
      <c r="C1503" s="2" t="s">
        <v>573</v>
      </c>
      <c r="D1503" s="2" t="str">
        <f t="shared" si="22"/>
        <v>Error?</v>
      </c>
    </row>
    <row r="1504" spans="1:4" x14ac:dyDescent="0.2">
      <c r="A1504" s="5">
        <v>1443</v>
      </c>
      <c r="B1504" s="138">
        <f>'Expenditures 15-22'!K275</f>
        <v>51818</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67166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1626931</v>
      </c>
      <c r="C1510" s="2" t="s">
        <v>573</v>
      </c>
      <c r="D1510" s="2" t="str">
        <f t="shared" si="22"/>
        <v>Error?</v>
      </c>
    </row>
    <row r="1511" spans="1:4" x14ac:dyDescent="0.2">
      <c r="A1511" s="5">
        <v>1450</v>
      </c>
      <c r="B1511" s="138">
        <f>'Expenditures 15-22'!K280</f>
        <v>781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2758674</v>
      </c>
      <c r="C1517" s="2" t="s">
        <v>573</v>
      </c>
      <c r="D1517" s="2" t="str">
        <f t="shared" si="22"/>
        <v>Error?</v>
      </c>
    </row>
    <row r="1518" spans="1:4" x14ac:dyDescent="0.2">
      <c r="A1518" s="5">
        <v>1457</v>
      </c>
      <c r="B1518" s="138">
        <f>'Expenditures 15-22'!K296</f>
        <v>100380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43842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43842</v>
      </c>
      <c r="C1535" s="2" t="s">
        <v>573</v>
      </c>
      <c r="D1535" s="2" t="str">
        <f t="shared" ref="D1535:D1598" si="23">IF(ISBLANK(B1535),"OK",IF(A1535-B1535=0,"OK","Error?"))</f>
        <v>Error?</v>
      </c>
    </row>
    <row r="1536" spans="1:4" x14ac:dyDescent="0.2">
      <c r="A1536" s="5">
        <v>1475</v>
      </c>
      <c r="B1536" s="138">
        <f>'Expenditures 15-22'!E312</f>
        <v>43842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828633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828633</v>
      </c>
      <c r="C1547" s="2" t="s">
        <v>573</v>
      </c>
      <c r="D1547" s="2" t="str">
        <f t="shared" si="23"/>
        <v>Error?</v>
      </c>
    </row>
    <row r="1548" spans="1:4" x14ac:dyDescent="0.2">
      <c r="A1548" s="5">
        <v>1487</v>
      </c>
      <c r="B1548" s="138">
        <f>'Expenditures 15-22'!G312</f>
        <v>828633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1142641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1142641</v>
      </c>
      <c r="C1559" s="2" t="s">
        <v>573</v>
      </c>
      <c r="D1559" s="2" t="str">
        <f t="shared" si="23"/>
        <v>Error?</v>
      </c>
    </row>
    <row r="1560" spans="1:4" x14ac:dyDescent="0.2">
      <c r="A1560" s="5">
        <v>1499</v>
      </c>
      <c r="B1560" s="138">
        <f>'Expenditures 15-22'!K312</f>
        <v>1142641</v>
      </c>
      <c r="C1560" s="2" t="s">
        <v>573</v>
      </c>
      <c r="D1560" s="2" t="str">
        <f t="shared" si="23"/>
        <v>Error?</v>
      </c>
    </row>
    <row r="1561" spans="1:4" x14ac:dyDescent="0.2">
      <c r="A1561" s="5">
        <v>1500</v>
      </c>
      <c r="B1561" s="138">
        <f>'Expenditures 15-22'!K313</f>
        <v>-1043397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21337460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17955562</v>
      </c>
      <c r="C1630" s="2" t="s">
        <v>573</v>
      </c>
      <c r="D1630" s="2" t="str">
        <f t="shared" si="24"/>
        <v>Error?</v>
      </c>
    </row>
    <row r="1631" spans="1:4" x14ac:dyDescent="0.2">
      <c r="A1631" s="5">
        <v>1570</v>
      </c>
      <c r="B1631" s="138">
        <f>'Acct Summary 7-8'!D79</f>
        <v>2486567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2612927</v>
      </c>
      <c r="C1644" s="2" t="s">
        <v>573</v>
      </c>
      <c r="D1644" s="2" t="str">
        <f t="shared" si="24"/>
        <v>Error?</v>
      </c>
    </row>
    <row r="1645" spans="1:4" x14ac:dyDescent="0.2">
      <c r="A1645" s="5">
        <v>1584</v>
      </c>
      <c r="B1645" s="138">
        <f>'Acct Summary 7-8'!E79</f>
        <v>357687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434469</v>
      </c>
      <c r="C1658" s="2" t="s">
        <v>573</v>
      </c>
      <c r="D1658" s="2" t="str">
        <f t="shared" si="24"/>
        <v>Error?</v>
      </c>
    </row>
    <row r="1659" spans="1:4" x14ac:dyDescent="0.2">
      <c r="A1659" s="5">
        <v>1598</v>
      </c>
      <c r="B1659" s="138">
        <f>'Acct Summary 7-8'!F79</f>
        <v>-802774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872089</v>
      </c>
      <c r="C1672" s="2" t="s">
        <v>573</v>
      </c>
      <c r="D1672" s="2" t="str">
        <f t="shared" si="25"/>
        <v>Error?</v>
      </c>
    </row>
    <row r="1673" spans="1:4" x14ac:dyDescent="0.2">
      <c r="A1673" s="5">
        <v>1612</v>
      </c>
      <c r="B1673" s="138">
        <f>'Acct Summary 7-8'!G79</f>
        <v>158266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258646</v>
      </c>
      <c r="C1686" s="2" t="s">
        <v>573</v>
      </c>
      <c r="D1686" s="2" t="str">
        <f t="shared" si="25"/>
        <v>Error?</v>
      </c>
    </row>
    <row r="1687" spans="1:4" x14ac:dyDescent="0.2">
      <c r="A1687" s="5">
        <v>1626</v>
      </c>
      <c r="B1687" s="138">
        <f>'Acct Summary 7-8'!H79</f>
        <v>-806636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-250033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50878360</v>
      </c>
      <c r="C1744" s="2" t="s">
        <v>573</v>
      </c>
      <c r="D1744" s="2" t="str">
        <f t="shared" si="26"/>
        <v>Error?</v>
      </c>
    </row>
    <row r="1745" spans="1:5" x14ac:dyDescent="0.2">
      <c r="A1745" s="5">
        <v>1684</v>
      </c>
      <c r="B1745" s="138">
        <f>'Tax Sched 23'!B5</f>
        <v>5289202</v>
      </c>
      <c r="C1745" s="2" t="s">
        <v>573</v>
      </c>
      <c r="D1745" s="2" t="str">
        <f t="shared" si="26"/>
        <v>Error?</v>
      </c>
    </row>
    <row r="1746" spans="1:5" x14ac:dyDescent="0.2">
      <c r="A1746" s="5">
        <v>1685</v>
      </c>
      <c r="B1746" s="138">
        <f>'Tax Sched 23'!B6</f>
        <v>-108563</v>
      </c>
      <c r="C1746" s="2" t="s">
        <v>573</v>
      </c>
      <c r="D1746" s="2" t="str">
        <f t="shared" si="26"/>
        <v>Error?</v>
      </c>
    </row>
    <row r="1747" spans="1:5" x14ac:dyDescent="0.2">
      <c r="A1747" s="5">
        <v>1686</v>
      </c>
      <c r="B1747" s="138">
        <f>'Tax Sched 23'!B7</f>
        <v>3041976</v>
      </c>
      <c r="C1747" s="2" t="s">
        <v>573</v>
      </c>
      <c r="D1747" s="2" t="str">
        <f t="shared" si="26"/>
        <v>Error?</v>
      </c>
    </row>
    <row r="1748" spans="1:5" x14ac:dyDescent="0.2">
      <c r="A1748" s="5">
        <v>1687</v>
      </c>
      <c r="B1748" s="138">
        <f>'Tax Sched 23'!B8</f>
        <v>1536277</v>
      </c>
      <c r="C1748" s="2" t="s">
        <v>573</v>
      </c>
      <c r="D1748" s="2" t="str">
        <f t="shared" si="26"/>
        <v>Error?</v>
      </c>
    </row>
    <row r="1749" spans="1:5" x14ac:dyDescent="0.2">
      <c r="A1749" s="5">
        <v>1688</v>
      </c>
      <c r="B1749" s="138">
        <f>'Tax Sched 23'!B10</f>
        <v>4646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409766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62675309</v>
      </c>
      <c r="C1759" s="2" t="s">
        <v>573</v>
      </c>
      <c r="D1759" s="2" t="str">
        <f t="shared" si="26"/>
        <v>Error?</v>
      </c>
    </row>
    <row r="1760" spans="1:5" x14ac:dyDescent="0.2">
      <c r="A1760" s="5">
        <v>1699</v>
      </c>
      <c r="B1760" s="138">
        <f>'Tax Sched 23'!D4</f>
        <v>22961500</v>
      </c>
      <c r="C1760" s="2" t="s">
        <v>573</v>
      </c>
      <c r="D1760" s="2" t="str">
        <f t="shared" si="26"/>
        <v>Error?</v>
      </c>
    </row>
    <row r="1761" spans="1:5" x14ac:dyDescent="0.2">
      <c r="A1761" s="5">
        <v>1700</v>
      </c>
      <c r="B1761" s="138">
        <f>'Tax Sched 23'!D5</f>
        <v>2590504</v>
      </c>
      <c r="C1761" s="2" t="s">
        <v>573</v>
      </c>
      <c r="D1761" s="2" t="str">
        <f t="shared" si="26"/>
        <v>Error?</v>
      </c>
    </row>
    <row r="1762" spans="1:5" s="8" customFormat="1" x14ac:dyDescent="0.2">
      <c r="A1762" s="5">
        <v>1701</v>
      </c>
      <c r="B1762" s="138">
        <f>'Tax Sched 23'!D6</f>
        <v>-108563</v>
      </c>
      <c r="C1762" s="2" t="s">
        <v>573</v>
      </c>
      <c r="D1762" s="2" t="str">
        <f t="shared" si="26"/>
        <v>Error?</v>
      </c>
      <c r="E1762" s="9"/>
    </row>
    <row r="1763" spans="1:5" x14ac:dyDescent="0.2">
      <c r="A1763" s="5">
        <v>1702</v>
      </c>
      <c r="B1763" s="138">
        <f>'Tax Sched 23'!D7</f>
        <v>1472336</v>
      </c>
      <c r="C1763" s="2" t="s">
        <v>573</v>
      </c>
      <c r="D1763" s="2" t="str">
        <f t="shared" si="26"/>
        <v>Error?</v>
      </c>
    </row>
    <row r="1764" spans="1:5" x14ac:dyDescent="0.2">
      <c r="A1764" s="5">
        <v>1703</v>
      </c>
      <c r="B1764" s="138">
        <f>'Tax Sched 23'!D8</f>
        <v>653039</v>
      </c>
      <c r="C1764" s="2" t="s">
        <v>573</v>
      </c>
      <c r="D1764" s="2" t="str">
        <f t="shared" si="26"/>
        <v>Error?</v>
      </c>
    </row>
    <row r="1765" spans="1:5" x14ac:dyDescent="0.2">
      <c r="A1765" s="5">
        <v>1704</v>
      </c>
      <c r="B1765" s="138">
        <f>'Tax Sched 23'!D10</f>
        <v>4646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188934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28527611</v>
      </c>
      <c r="C1775" s="2" t="s">
        <v>573</v>
      </c>
      <c r="D1775" s="2" t="str">
        <f t="shared" si="26"/>
        <v>Error?</v>
      </c>
    </row>
    <row r="1776" spans="1:5" x14ac:dyDescent="0.2">
      <c r="A1776" s="5">
        <v>1715</v>
      </c>
      <c r="B1776" s="138">
        <f>'Tax Sched 23'!C4</f>
        <v>27916860</v>
      </c>
      <c r="D1776" s="2" t="str">
        <f t="shared" si="26"/>
        <v>Error?</v>
      </c>
    </row>
    <row r="1777" spans="1:4" x14ac:dyDescent="0.2">
      <c r="A1777" s="5">
        <v>1716</v>
      </c>
      <c r="B1777" s="138">
        <f>'Tax Sched 23'!C5</f>
        <v>2698698</v>
      </c>
      <c r="D1777" s="2" t="str">
        <f t="shared" si="26"/>
        <v>Error?</v>
      </c>
    </row>
    <row r="1778" spans="1:4" x14ac:dyDescent="0.2">
      <c r="A1778" s="5">
        <v>1717</v>
      </c>
      <c r="B1778" s="138">
        <f>'Tax Sched 23'!C6</f>
        <v>0</v>
      </c>
      <c r="D1778" s="2" t="str">
        <f t="shared" si="26"/>
        <v>Error?</v>
      </c>
    </row>
    <row r="1779" spans="1:4" x14ac:dyDescent="0.2">
      <c r="A1779" s="5">
        <v>1718</v>
      </c>
      <c r="B1779" s="138">
        <f>'Tax Sched 23'!C7</f>
        <v>1569640</v>
      </c>
      <c r="D1779" s="2" t="str">
        <f t="shared" si="26"/>
        <v>Error?</v>
      </c>
    </row>
    <row r="1780" spans="1:4" x14ac:dyDescent="0.2">
      <c r="A1780" s="5">
        <v>1719</v>
      </c>
      <c r="B1780" s="138">
        <f>'Tax Sched 23'!C8</f>
        <v>883238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220832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34147698</v>
      </c>
      <c r="C1791" s="2" t="s">
        <v>573</v>
      </c>
      <c r="D1791" s="2" t="str">
        <f t="shared" ref="D1791:D1854" si="27">IF(ISBLANK(B1791),"OK",IF(A1791-B1791=0,"OK","Error?"))</f>
        <v>Error?</v>
      </c>
    </row>
    <row r="1792" spans="1:4" x14ac:dyDescent="0.2">
      <c r="A1792" s="5">
        <v>1731</v>
      </c>
      <c r="B1792" s="138">
        <f>'Tax Sched 23'!F4</f>
        <v>28931930</v>
      </c>
      <c r="C1792" s="2" t="s">
        <v>573</v>
      </c>
      <c r="D1792" s="2" t="str">
        <f t="shared" si="27"/>
        <v>Error?</v>
      </c>
    </row>
    <row r="1793" spans="1:4" x14ac:dyDescent="0.2">
      <c r="A1793" s="5">
        <v>1732</v>
      </c>
      <c r="B1793" s="138">
        <f>'Tax Sched 23'!F5</f>
        <v>2796352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1627480</v>
      </c>
      <c r="C1795" s="2" t="s">
        <v>573</v>
      </c>
      <c r="D1795" s="2" t="str">
        <f t="shared" si="27"/>
        <v>Error?</v>
      </c>
    </row>
    <row r="1796" spans="1:4" x14ac:dyDescent="0.2">
      <c r="A1796" s="5">
        <v>1735</v>
      </c>
      <c r="B1796" s="138">
        <f>'Tax Sched 23'!F8</f>
        <v>915052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228763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35389572</v>
      </c>
      <c r="C1807" s="2" t="s">
        <v>573</v>
      </c>
      <c r="D1807" s="2" t="str">
        <f t="shared" si="27"/>
        <v>Error?</v>
      </c>
    </row>
    <row r="1808" spans="1:4" x14ac:dyDescent="0.2">
      <c r="A1808" s="5">
        <v>1747</v>
      </c>
      <c r="B1808" s="138">
        <f>'Tax Sched 23'!E4</f>
        <v>56848790</v>
      </c>
      <c r="D1808" s="2" t="str">
        <f t="shared" si="27"/>
        <v>Error?</v>
      </c>
    </row>
    <row r="1809" spans="1:4" x14ac:dyDescent="0.2">
      <c r="A1809" s="5">
        <v>1748</v>
      </c>
      <c r="B1809" s="138">
        <f>'Tax Sched 23'!E5</f>
        <v>5495050</v>
      </c>
      <c r="D1809" s="2" t="str">
        <f t="shared" si="27"/>
        <v>Error?</v>
      </c>
    </row>
    <row r="1810" spans="1:4" x14ac:dyDescent="0.2">
      <c r="A1810" s="5">
        <v>1749</v>
      </c>
      <c r="B1810" s="138">
        <f>'Tax Sched 23'!E6</f>
        <v>0</v>
      </c>
      <c r="D1810" s="2" t="str">
        <f t="shared" si="27"/>
        <v>Error?</v>
      </c>
    </row>
    <row r="1811" spans="1:4" x14ac:dyDescent="0.2">
      <c r="A1811" s="5">
        <v>1750</v>
      </c>
      <c r="B1811" s="138">
        <f>'Tax Sched 23'!E7</f>
        <v>3197120</v>
      </c>
      <c r="D1811" s="2" t="str">
        <f t="shared" si="27"/>
        <v>Error?</v>
      </c>
    </row>
    <row r="1812" spans="1:4" x14ac:dyDescent="0.2">
      <c r="A1812" s="5">
        <v>1751</v>
      </c>
      <c r="B1812" s="138">
        <f>'Tax Sched 23'!E8</f>
        <v>1798290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449595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69537270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7449971</v>
      </c>
      <c r="C1939" s="2" t="s">
        <v>573</v>
      </c>
      <c r="D1939" s="2" t="str">
        <f t="shared" si="29"/>
        <v>Error?</v>
      </c>
    </row>
    <row r="1940" spans="1:5" x14ac:dyDescent="0.2">
      <c r="A1940" s="5">
        <v>1879</v>
      </c>
      <c r="B1940" s="138">
        <f>'Short-Term Long-Term Debt 24'!F49</f>
        <v>9860000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409766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409766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409766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458880</v>
      </c>
      <c r="D2008" s="2" t="str">
        <f t="shared" si="30"/>
        <v>Error?</v>
      </c>
    </row>
    <row r="2009" spans="1:4" x14ac:dyDescent="0.2">
      <c r="A2009" s="5">
        <v>1948</v>
      </c>
      <c r="B2009" s="138">
        <f>'Cap Outlay Deprec 26'!C8</f>
        <v>72487777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2905768</v>
      </c>
      <c r="D2011" s="2" t="str">
        <f t="shared" si="30"/>
        <v>Error?</v>
      </c>
    </row>
    <row r="2012" spans="1:4" x14ac:dyDescent="0.2">
      <c r="A2012" s="5">
        <v>1951</v>
      </c>
      <c r="B2012" s="138">
        <f>'Cap Outlay Deprec 26'!C13</f>
        <v>1995049</v>
      </c>
      <c r="D2012" s="2" t="str">
        <f t="shared" si="30"/>
        <v>Error?</v>
      </c>
    </row>
    <row r="2013" spans="1:4" x14ac:dyDescent="0.2">
      <c r="A2013" s="5">
        <v>1952</v>
      </c>
      <c r="B2013" s="138">
        <f>'Cap Outlay Deprec 26'!C16</f>
        <v>81678372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33261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33261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24617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24617</v>
      </c>
      <c r="C2025" s="2" t="s">
        <v>573</v>
      </c>
      <c r="D2025" s="2" t="str">
        <f t="shared" si="30"/>
        <v>Error?</v>
      </c>
    </row>
    <row r="2026" spans="1:4" x14ac:dyDescent="0.2">
      <c r="A2026" s="5">
        <v>1965</v>
      </c>
      <c r="B2026" s="138">
        <f>'Cap Outlay Deprec 26'!F5</f>
        <v>458880</v>
      </c>
      <c r="C2026" s="2" t="s">
        <v>573</v>
      </c>
      <c r="D2026" s="2" t="str">
        <f t="shared" si="30"/>
        <v>Error?</v>
      </c>
    </row>
    <row r="2027" spans="1:4" x14ac:dyDescent="0.2">
      <c r="A2027" s="5">
        <v>1966</v>
      </c>
      <c r="B2027" s="138">
        <f>'Cap Outlay Deprec 26'!F8</f>
        <v>72487777</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2914412</v>
      </c>
      <c r="C2029" s="2" t="s">
        <v>573</v>
      </c>
      <c r="D2029" s="2" t="str">
        <f t="shared" si="30"/>
        <v>Error?</v>
      </c>
    </row>
    <row r="2030" spans="1:4" x14ac:dyDescent="0.2">
      <c r="A2030" s="5">
        <v>1969</v>
      </c>
      <c r="B2030" s="138">
        <f>'Cap Outlay Deprec 26'!F13</f>
        <v>1995049</v>
      </c>
      <c r="C2030" s="2" t="s">
        <v>573</v>
      </c>
      <c r="D2030" s="2" t="str">
        <f t="shared" si="30"/>
        <v>Error?</v>
      </c>
    </row>
    <row r="2031" spans="1:4" x14ac:dyDescent="0.2">
      <c r="A2031" s="5">
        <v>1970</v>
      </c>
      <c r="B2031" s="138">
        <f>'Cap Outlay Deprec 26'!F16</f>
        <v>81687016</v>
      </c>
      <c r="C2031" s="2" t="s">
        <v>573</v>
      </c>
      <c r="D2031" s="2" t="str">
        <f t="shared" si="30"/>
        <v>Error?</v>
      </c>
    </row>
    <row r="2032" spans="1:4" x14ac:dyDescent="0.2">
      <c r="A2032" s="10">
        <v>1971</v>
      </c>
      <c r="D2032" s="2" t="str">
        <f t="shared" si="30"/>
        <v>OK</v>
      </c>
    </row>
    <row r="2033" spans="1:4" x14ac:dyDescent="0.2">
      <c r="A2033" s="5">
        <v>1972</v>
      </c>
      <c r="B2033" s="138">
        <f>'Cap Outlay Deprec 26'!H8</f>
        <v>42383357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2006997</v>
      </c>
      <c r="D2035" s="2" t="str">
        <f t="shared" si="30"/>
        <v>Error?</v>
      </c>
    </row>
    <row r="2036" spans="1:4" x14ac:dyDescent="0.2">
      <c r="A2036" s="5">
        <v>1975</v>
      </c>
      <c r="B2036" s="138">
        <f>'Cap Outlay Deprec 26'!H13</f>
        <v>1573117</v>
      </c>
      <c r="D2036" s="2" t="str">
        <f t="shared" si="30"/>
        <v>Error?</v>
      </c>
    </row>
    <row r="2037" spans="1:4" x14ac:dyDescent="0.2">
      <c r="A2037" s="5">
        <v>1976</v>
      </c>
      <c r="B2037" s="138">
        <f>'Cap Outlay Deprec 26'!H16</f>
        <v>48227069</v>
      </c>
      <c r="C2037" s="2" t="s">
        <v>573</v>
      </c>
      <c r="D2037" s="2" t="str">
        <f t="shared" si="30"/>
        <v>Error?</v>
      </c>
    </row>
    <row r="2038" spans="1:4" x14ac:dyDescent="0.2">
      <c r="A2038" s="10">
        <v>1977</v>
      </c>
      <c r="D2038" s="2" t="str">
        <f t="shared" si="30"/>
        <v>OK</v>
      </c>
    </row>
    <row r="2039" spans="1:4" x14ac:dyDescent="0.2">
      <c r="A2039" s="5">
        <v>1978</v>
      </c>
      <c r="B2039" s="138">
        <f>'Cap Outlay Deprec 26'!I8</f>
        <v>1759442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218352</v>
      </c>
      <c r="D2041" s="2" t="str">
        <f t="shared" si="30"/>
        <v>Error?</v>
      </c>
    </row>
    <row r="2042" spans="1:4" x14ac:dyDescent="0.2">
      <c r="A2042" s="5">
        <v>1981</v>
      </c>
      <c r="B2042" s="138">
        <f>'Cap Outlay Deprec 26'!I13</f>
        <v>158844</v>
      </c>
      <c r="D2042" s="2" t="str">
        <f t="shared" si="30"/>
        <v>Error?</v>
      </c>
    </row>
    <row r="2043" spans="1:4" x14ac:dyDescent="0.2">
      <c r="A2043" s="5">
        <v>1982</v>
      </c>
      <c r="B2043" s="138">
        <f>'Cap Outlay Deprec 26'!I16</f>
        <v>2136638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22155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22155</v>
      </c>
      <c r="C2049" s="2" t="s">
        <v>573</v>
      </c>
      <c r="D2049" s="2" t="str">
        <f t="shared" si="31"/>
        <v>Error?</v>
      </c>
    </row>
    <row r="2050" spans="1:4" x14ac:dyDescent="0.2">
      <c r="A2050" s="10">
        <v>1989</v>
      </c>
      <c r="D2050" s="2" t="str">
        <f t="shared" si="31"/>
        <v>OK</v>
      </c>
    </row>
    <row r="2051" spans="1:4" x14ac:dyDescent="0.2">
      <c r="A2051" s="5">
        <v>1990</v>
      </c>
      <c r="B2051" s="138">
        <f>'Cap Outlay Deprec 26'!K8</f>
        <v>44142799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2203194</v>
      </c>
      <c r="C2053" s="2" t="s">
        <v>573</v>
      </c>
      <c r="D2053" s="2" t="str">
        <f t="shared" si="31"/>
        <v>Error?</v>
      </c>
    </row>
    <row r="2054" spans="1:4" x14ac:dyDescent="0.2">
      <c r="A2054" s="5">
        <v>1993</v>
      </c>
      <c r="B2054" s="138">
        <f>'Cap Outlay Deprec 26'!K13</f>
        <v>1731961</v>
      </c>
      <c r="C2054" s="2" t="s">
        <v>573</v>
      </c>
      <c r="D2054" s="2" t="str">
        <f t="shared" si="31"/>
        <v>Error?</v>
      </c>
    </row>
    <row r="2055" spans="1:4" x14ac:dyDescent="0.2">
      <c r="A2055" s="5">
        <v>1994</v>
      </c>
      <c r="B2055" s="138">
        <f>'Cap Outlay Deprec 26'!K16</f>
        <v>50341552</v>
      </c>
      <c r="C2055" s="2" t="s">
        <v>573</v>
      </c>
      <c r="D2055" s="2" t="str">
        <f t="shared" si="31"/>
        <v>Error?</v>
      </c>
    </row>
    <row r="2056" spans="1:4" x14ac:dyDescent="0.2">
      <c r="A2056" s="5">
        <v>1995</v>
      </c>
      <c r="B2056" s="138">
        <f>'Cap Outlay Deprec 26'!L5</f>
        <v>458880</v>
      </c>
      <c r="C2056" s="2" t="s">
        <v>573</v>
      </c>
      <c r="D2056" s="2" t="str">
        <f t="shared" si="31"/>
        <v>Error?</v>
      </c>
    </row>
    <row r="2057" spans="1:4" x14ac:dyDescent="0.2">
      <c r="A2057" s="5">
        <v>1996</v>
      </c>
      <c r="B2057" s="138">
        <f>'Cap Outlay Deprec 26'!L8</f>
        <v>28344978</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711218</v>
      </c>
      <c r="C2059" s="2" t="s">
        <v>573</v>
      </c>
      <c r="D2059" s="2" t="str">
        <f t="shared" si="31"/>
        <v>Error?</v>
      </c>
    </row>
    <row r="2060" spans="1:4" x14ac:dyDescent="0.2">
      <c r="A2060" s="5">
        <v>1999</v>
      </c>
      <c r="B2060" s="138">
        <f>'Cap Outlay Deprec 26'!L13</f>
        <v>263088</v>
      </c>
      <c r="C2060" s="2" t="s">
        <v>573</v>
      </c>
      <c r="D2060" s="2" t="str">
        <f t="shared" si="31"/>
        <v>Error?</v>
      </c>
    </row>
    <row r="2061" spans="1:4" x14ac:dyDescent="0.2">
      <c r="A2061" s="5">
        <v>2000</v>
      </c>
      <c r="B2061" s="138">
        <f>'Cap Outlay Deprec 26'!L16</f>
        <v>31345464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254705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2300000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190294</v>
      </c>
      <c r="D2435" s="2" t="str">
        <f t="shared" si="37"/>
        <v>Error?</v>
      </c>
    </row>
    <row r="2436" spans="1:4" x14ac:dyDescent="0.2">
      <c r="A2436" s="10">
        <v>2375</v>
      </c>
      <c r="D2436" s="2" t="str">
        <f t="shared" si="37"/>
        <v>OK</v>
      </c>
    </row>
    <row r="2437" spans="1:4" x14ac:dyDescent="0.2">
      <c r="A2437" s="5">
        <v>2376</v>
      </c>
      <c r="B2437" s="138">
        <f>'Assets-Liab 5-6'!D38</f>
        <v>2612927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872089</v>
      </c>
      <c r="D2475" s="2" t="str">
        <f t="shared" si="37"/>
        <v>Error?</v>
      </c>
    </row>
    <row r="2476" spans="1:4" x14ac:dyDescent="0.2">
      <c r="A2476" s="10">
        <v>2415</v>
      </c>
      <c r="D2476" s="2" t="str">
        <f t="shared" si="37"/>
        <v>OK</v>
      </c>
    </row>
    <row r="2477" spans="1:4" x14ac:dyDescent="0.2">
      <c r="A2477" s="5">
        <v>2416</v>
      </c>
      <c r="B2477" s="138">
        <f>'Assets-Liab 5-6'!G38</f>
        <v>258646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434469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55374754</v>
      </c>
      <c r="C2551" s="2" t="s">
        <v>573</v>
      </c>
      <c r="D2551" s="2" t="str">
        <f t="shared" si="38"/>
        <v>Error?</v>
      </c>
    </row>
    <row r="2552" spans="1:4" x14ac:dyDescent="0.2">
      <c r="A2552" s="10">
        <v>2491</v>
      </c>
      <c r="D2552" s="2" t="str">
        <f t="shared" si="38"/>
        <v>OK</v>
      </c>
    </row>
    <row r="2553" spans="1:4" x14ac:dyDescent="0.2">
      <c r="A2553" s="5">
        <v>2492</v>
      </c>
      <c r="B2553" s="138">
        <f>'Acct Summary 7-8'!C6</f>
        <v>3484423</v>
      </c>
      <c r="C2553" s="2" t="s">
        <v>573</v>
      </c>
      <c r="D2553" s="2" t="str">
        <f t="shared" si="38"/>
        <v>Error?</v>
      </c>
    </row>
    <row r="2554" spans="1:4" x14ac:dyDescent="0.2">
      <c r="A2554" s="5">
        <v>2493</v>
      </c>
      <c r="B2554" s="138">
        <f>'Acct Summary 7-8'!C7</f>
        <v>2523633</v>
      </c>
      <c r="C2554" s="2" t="s">
        <v>573</v>
      </c>
      <c r="D2554" s="2" t="str">
        <f t="shared" si="38"/>
        <v>Error?</v>
      </c>
    </row>
    <row r="2555" spans="1:4" x14ac:dyDescent="0.2">
      <c r="A2555" s="5">
        <v>2494</v>
      </c>
      <c r="B2555" s="138">
        <f>'Acct Summary 7-8'!C8</f>
        <v>61382810</v>
      </c>
      <c r="C2555" s="2" t="s">
        <v>573</v>
      </c>
      <c r="D2555" s="2" t="str">
        <f t="shared" si="38"/>
        <v>Error?</v>
      </c>
    </row>
    <row r="2556" spans="1:4" x14ac:dyDescent="0.2">
      <c r="A2556" s="5">
        <v>2495</v>
      </c>
      <c r="B2556" s="138">
        <f>'Acct Summary 7-8'!C12</f>
        <v>45832113</v>
      </c>
      <c r="C2556" s="2" t="s">
        <v>573</v>
      </c>
      <c r="D2556" s="2" t="str">
        <f t="shared" si="38"/>
        <v>Error?</v>
      </c>
    </row>
    <row r="2557" spans="1:4" x14ac:dyDescent="0.2">
      <c r="A2557" s="5">
        <v>2496</v>
      </c>
      <c r="B2557" s="138">
        <f>'Acct Summary 7-8'!C13</f>
        <v>18571422</v>
      </c>
      <c r="C2557" s="2" t="s">
        <v>573</v>
      </c>
      <c r="D2557" s="2" t="str">
        <f t="shared" si="38"/>
        <v>Error?</v>
      </c>
    </row>
    <row r="2558" spans="1:4" x14ac:dyDescent="0.2">
      <c r="A2558" s="5">
        <v>2497</v>
      </c>
      <c r="B2558" s="138">
        <f>'Acct Summary 7-8'!C14</f>
        <v>106468</v>
      </c>
      <c r="C2558" s="2" t="s">
        <v>573</v>
      </c>
      <c r="D2558" s="2" t="str">
        <f t="shared" si="38"/>
        <v>Error?</v>
      </c>
    </row>
    <row r="2559" spans="1:4" x14ac:dyDescent="0.2">
      <c r="A2559" s="5">
        <v>2498</v>
      </c>
      <c r="B2559" s="138">
        <f>'Acct Summary 7-8'!C15</f>
        <v>254705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64764708</v>
      </c>
      <c r="C2561" s="2" t="s">
        <v>573</v>
      </c>
      <c r="D2561" s="2" t="str">
        <f t="shared" si="39"/>
        <v>Error?</v>
      </c>
    </row>
    <row r="2562" spans="1:4" x14ac:dyDescent="0.2">
      <c r="A2562" s="5">
        <v>2501</v>
      </c>
      <c r="B2562" s="138">
        <f>'Acct Summary 7-8'!C20</f>
        <v>-3381898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5593434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5593434</v>
      </c>
      <c r="C2568" s="2" t="s">
        <v>573</v>
      </c>
      <c r="D2568" s="2" t="str">
        <f t="shared" si="39"/>
        <v>Error?</v>
      </c>
    </row>
    <row r="2569" spans="1:4" x14ac:dyDescent="0.2">
      <c r="A2569" s="5">
        <v>2508</v>
      </c>
      <c r="B2569" s="138">
        <f>'Acct Summary 7-8'!D13</f>
        <v>5467074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5467074</v>
      </c>
      <c r="C2573" s="2" t="s">
        <v>573</v>
      </c>
      <c r="D2573" s="2" t="str">
        <f t="shared" si="39"/>
        <v>Error?</v>
      </c>
    </row>
    <row r="2574" spans="1:4" x14ac:dyDescent="0.2">
      <c r="A2574" s="5">
        <v>2513</v>
      </c>
      <c r="B2574" s="138">
        <f>'Acct Summary 7-8'!D20</f>
        <v>126360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3115183</v>
      </c>
      <c r="C2591" s="2" t="s">
        <v>573</v>
      </c>
      <c r="D2591" s="2" t="str">
        <f t="shared" si="39"/>
        <v>Error?</v>
      </c>
    </row>
    <row r="2592" spans="1:4" x14ac:dyDescent="0.2">
      <c r="A2592" s="10">
        <v>2531</v>
      </c>
      <c r="D2592" s="2" t="str">
        <f t="shared" si="39"/>
        <v>OK</v>
      </c>
    </row>
    <row r="2593" spans="1:4" x14ac:dyDescent="0.2">
      <c r="A2593" s="5">
        <v>2532</v>
      </c>
      <c r="B2593" s="138">
        <f>'Acct Summary 7-8'!F6</f>
        <v>4966608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8081791</v>
      </c>
      <c r="C2595" s="2" t="s">
        <v>573</v>
      </c>
      <c r="D2595" s="2" t="str">
        <f t="shared" si="39"/>
        <v>Error?</v>
      </c>
    </row>
    <row r="2596" spans="1:4" x14ac:dyDescent="0.2">
      <c r="A2596" s="5">
        <v>2535</v>
      </c>
      <c r="B2596" s="138">
        <f>'Acct Summary 7-8'!F13</f>
        <v>7106928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7106928</v>
      </c>
      <c r="C2600" s="2" t="s">
        <v>573</v>
      </c>
      <c r="D2600" s="2" t="str">
        <f t="shared" si="39"/>
        <v>Error?</v>
      </c>
    </row>
    <row r="2601" spans="1:4" x14ac:dyDescent="0.2">
      <c r="A2601" s="5">
        <v>2540</v>
      </c>
      <c r="B2601" s="138">
        <f>'Acct Summary 7-8'!F20</f>
        <v>974863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2859054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2859054</v>
      </c>
      <c r="C2606" s="2" t="s">
        <v>573</v>
      </c>
      <c r="D2606" s="2" t="str">
        <f t="shared" si="39"/>
        <v>Error?</v>
      </c>
    </row>
    <row r="2607" spans="1:4" x14ac:dyDescent="0.2">
      <c r="A2607" s="5">
        <v>2546</v>
      </c>
      <c r="B2607" s="138">
        <f>'Acct Summary 7-8'!G12</f>
        <v>1130962</v>
      </c>
      <c r="C2607" s="2" t="s">
        <v>573</v>
      </c>
      <c r="D2607" s="2" t="str">
        <f t="shared" si="39"/>
        <v>Error?</v>
      </c>
    </row>
    <row r="2608" spans="1:4" x14ac:dyDescent="0.2">
      <c r="A2608" s="5">
        <v>2547</v>
      </c>
      <c r="B2608" s="138">
        <f>'Acct Summary 7-8'!G13</f>
        <v>1626931</v>
      </c>
      <c r="C2608" s="2" t="s">
        <v>573</v>
      </c>
      <c r="D2608" s="2" t="str">
        <f t="shared" si="39"/>
        <v>Error?</v>
      </c>
    </row>
    <row r="2609" spans="1:4" x14ac:dyDescent="0.2">
      <c r="A2609" s="5">
        <v>2548</v>
      </c>
      <c r="B2609" s="138">
        <f>'Acct Summary 7-8'!G14</f>
        <v>781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2758674</v>
      </c>
      <c r="C2612" s="2" t="s">
        <v>573</v>
      </c>
      <c r="D2612" s="2" t="str">
        <f t="shared" si="39"/>
        <v>Error?</v>
      </c>
    </row>
    <row r="2613" spans="1:4" x14ac:dyDescent="0.2">
      <c r="A2613" s="5">
        <v>2552</v>
      </c>
      <c r="B2613" s="138">
        <f>'Acct Summary 7-8'!G20</f>
        <v>100380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-87660</v>
      </c>
      <c r="C2630" s="2" t="s">
        <v>573</v>
      </c>
      <c r="D2630" s="2" t="str">
        <f t="shared" si="40"/>
        <v>Error?</v>
      </c>
    </row>
    <row r="2631" spans="1:4" x14ac:dyDescent="0.2">
      <c r="A2631" s="5">
        <v>2570</v>
      </c>
      <c r="B2631" s="138">
        <f>'Acct Summary 7-8'!E6</f>
        <v>1388106</v>
      </c>
      <c r="C2631" s="2" t="s">
        <v>573</v>
      </c>
      <c r="D2631" s="2" t="str">
        <f t="shared" si="40"/>
        <v>Error?</v>
      </c>
    </row>
    <row r="2632" spans="1:4" x14ac:dyDescent="0.2">
      <c r="A2632" s="5">
        <v>2571</v>
      </c>
      <c r="B2632" s="138">
        <f>'Acct Summary 7-8'!E8</f>
        <v>1300446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1373840</v>
      </c>
      <c r="C2634" s="2" t="s">
        <v>573</v>
      </c>
      <c r="D2634" s="2" t="str">
        <f t="shared" si="40"/>
        <v>Error?</v>
      </c>
    </row>
    <row r="2635" spans="1:4" x14ac:dyDescent="0.2">
      <c r="A2635" s="5">
        <v>2574</v>
      </c>
      <c r="B2635" s="138">
        <f>'Acct Summary 7-8'!E17</f>
        <v>1373840</v>
      </c>
      <c r="C2635" s="2" t="s">
        <v>573</v>
      </c>
      <c r="D2635" s="2" t="str">
        <f t="shared" si="40"/>
        <v>Error?</v>
      </c>
    </row>
    <row r="2636" spans="1:4" x14ac:dyDescent="0.2">
      <c r="A2636" s="5">
        <v>2575</v>
      </c>
      <c r="B2636" s="138">
        <f>'Acct Summary 7-8'!E20</f>
        <v>-73394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99244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99244</v>
      </c>
      <c r="C2658" s="2" t="s">
        <v>573</v>
      </c>
      <c r="D2658" s="2" t="str">
        <f t="shared" si="40"/>
        <v>Error?</v>
      </c>
    </row>
    <row r="2659" spans="1:4" x14ac:dyDescent="0.2">
      <c r="A2659" s="5">
        <v>2598</v>
      </c>
      <c r="B2659" s="138">
        <f>'Acct Summary 7-8'!H13</f>
        <v>1142641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1142641</v>
      </c>
      <c r="C2661" s="2" t="s">
        <v>573</v>
      </c>
      <c r="D2661" s="2" t="str">
        <f t="shared" si="40"/>
        <v>Error?</v>
      </c>
    </row>
    <row r="2662" spans="1:4" x14ac:dyDescent="0.2">
      <c r="A2662" s="5">
        <v>2601</v>
      </c>
      <c r="B2662" s="138">
        <f>'Acct Summary 7-8'!H20</f>
        <v>-1043397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295224</v>
      </c>
      <c r="D2718" s="2" t="str">
        <f t="shared" si="41"/>
        <v>Error?</v>
      </c>
    </row>
    <row r="2719" spans="1:4" x14ac:dyDescent="0.2">
      <c r="A2719" s="5">
        <v>2658</v>
      </c>
      <c r="B2719" s="138">
        <f>'Expenditures 15-22'!D51</f>
        <v>68876</v>
      </c>
      <c r="D2719" s="2" t="str">
        <f t="shared" si="41"/>
        <v>Error?</v>
      </c>
    </row>
    <row r="2720" spans="1:4" x14ac:dyDescent="0.2">
      <c r="A2720" s="5">
        <v>2659</v>
      </c>
      <c r="B2720" s="138">
        <f>'Expenditures 15-22'!E51</f>
        <v>13</v>
      </c>
      <c r="D2720" s="2" t="str">
        <f t="shared" si="41"/>
        <v>Error?</v>
      </c>
    </row>
    <row r="2721" spans="1:4" x14ac:dyDescent="0.2">
      <c r="A2721" s="5">
        <v>2660</v>
      </c>
      <c r="B2721" s="138">
        <f>'Expenditures 15-22'!F51</f>
        <v>1692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575</v>
      </c>
      <c r="D2723" s="2" t="str">
        <f t="shared" si="41"/>
        <v>Error?</v>
      </c>
    </row>
    <row r="2724" spans="1:4" x14ac:dyDescent="0.2">
      <c r="A2724" s="5">
        <v>2663</v>
      </c>
      <c r="B2724" s="138">
        <f>'Expenditures 15-22'!K51</f>
        <v>366380</v>
      </c>
      <c r="C2724" s="2" t="s">
        <v>573</v>
      </c>
      <c r="D2724" s="2" t="str">
        <f t="shared" si="41"/>
        <v>Error?</v>
      </c>
    </row>
    <row r="2725" spans="1:4" x14ac:dyDescent="0.2">
      <c r="A2725" s="5">
        <v>2664</v>
      </c>
      <c r="B2725" s="138">
        <f>'Expenditures 15-22'!D247</f>
        <v>5841</v>
      </c>
      <c r="D2725" s="2" t="str">
        <f t="shared" si="41"/>
        <v>Error?</v>
      </c>
    </row>
    <row r="2726" spans="1:4" x14ac:dyDescent="0.2">
      <c r="A2726" s="5">
        <v>2665</v>
      </c>
      <c r="B2726" s="138">
        <f>'Expenditures 15-22'!K247</f>
        <v>5841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17504049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183659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17504049</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17504049</v>
      </c>
      <c r="C2913" s="2" t="s">
        <v>573</v>
      </c>
      <c r="D2913" s="2" t="str">
        <f t="shared" si="44"/>
        <v>Error?</v>
      </c>
    </row>
    <row r="2914" spans="1:4" x14ac:dyDescent="0.2">
      <c r="A2914" s="5">
        <v>2853</v>
      </c>
      <c r="B2914" s="138">
        <f>'Assets-Liab 5-6'!L33</f>
        <v>183659</v>
      </c>
      <c r="D2914" s="2" t="str">
        <f t="shared" si="44"/>
        <v>Error?</v>
      </c>
    </row>
    <row r="2915" spans="1:4" x14ac:dyDescent="0.2">
      <c r="A2915" s="10">
        <v>2854</v>
      </c>
      <c r="D2915" s="2" t="str">
        <f t="shared" si="44"/>
        <v>OK</v>
      </c>
    </row>
    <row r="2916" spans="1:4" x14ac:dyDescent="0.2">
      <c r="A2916" s="5">
        <v>2855</v>
      </c>
      <c r="B2916" s="138">
        <f>'Assets-Liab 5-6'!L34</f>
        <v>183659</v>
      </c>
      <c r="C2916" s="2" t="s">
        <v>573</v>
      </c>
      <c r="D2916" s="2" t="str">
        <f t="shared" si="44"/>
        <v>Error?</v>
      </c>
    </row>
    <row r="2917" spans="1:4" x14ac:dyDescent="0.2">
      <c r="A2917" s="5">
        <v>2856</v>
      </c>
      <c r="B2917" s="138">
        <f>'Assets-Liab 5-6'!L41</f>
        <v>183659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2298774</v>
      </c>
      <c r="D3055" s="2" t="str">
        <f t="shared" si="46"/>
        <v>Error?</v>
      </c>
    </row>
    <row r="3056" spans="1:4" x14ac:dyDescent="0.2">
      <c r="A3056" s="5">
        <v>2995</v>
      </c>
      <c r="B3056" s="138">
        <f>'Expenditures 15-22'!D10</f>
        <v>348399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2647173</v>
      </c>
      <c r="C3062" s="2" t="s">
        <v>573</v>
      </c>
      <c r="D3062" s="2" t="str">
        <f t="shared" si="46"/>
        <v>Error?</v>
      </c>
    </row>
    <row r="3063" spans="1:4" x14ac:dyDescent="0.2">
      <c r="A3063" s="10">
        <v>3002</v>
      </c>
      <c r="D3063" s="2" t="str">
        <f t="shared" si="46"/>
        <v>OK</v>
      </c>
    </row>
    <row r="3064" spans="1:4" x14ac:dyDescent="0.2">
      <c r="A3064" s="5">
        <v>3003</v>
      </c>
      <c r="B3064" s="138">
        <f>'Expenditures 15-22'!D219</f>
        <v>32129</v>
      </c>
      <c r="D3064" s="2" t="str">
        <f t="shared" si="46"/>
        <v>Error?</v>
      </c>
    </row>
    <row r="3065" spans="1:4" x14ac:dyDescent="0.2">
      <c r="A3065" s="5">
        <v>3004</v>
      </c>
      <c r="B3065" s="138">
        <f>'Expenditures 15-22'!K219</f>
        <v>32129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6800000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322761</v>
      </c>
      <c r="C3225" s="2" t="s">
        <v>573</v>
      </c>
      <c r="D3225" s="2" t="str">
        <f t="shared" si="49"/>
        <v>Error?</v>
      </c>
    </row>
    <row r="3226" spans="1:4" x14ac:dyDescent="0.2">
      <c r="A3226" s="5">
        <v>3165</v>
      </c>
      <c r="B3226" s="138">
        <f>'Acct Summary 7-8'!I8</f>
        <v>322761</v>
      </c>
      <c r="C3226" s="2" t="s">
        <v>573</v>
      </c>
      <c r="D3226" s="2" t="str">
        <f t="shared" si="49"/>
        <v>Error?</v>
      </c>
    </row>
    <row r="3227" spans="1:4" x14ac:dyDescent="0.2">
      <c r="A3227" s="5">
        <v>3166</v>
      </c>
      <c r="B3227" s="138">
        <f>'Acct Summary 7-8'!I20</f>
        <v>322761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-3381898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126360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700000</v>
      </c>
      <c r="C3255" s="2" t="s">
        <v>573</v>
      </c>
      <c r="D3255" s="2" t="str">
        <f t="shared" si="49"/>
        <v>Error?</v>
      </c>
    </row>
    <row r="3256" spans="1:4" x14ac:dyDescent="0.2">
      <c r="A3256" s="5">
        <v>3195</v>
      </c>
      <c r="B3256" s="138">
        <f>'Acct Summary 7-8'!F78</f>
        <v>1674863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100380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6838849</v>
      </c>
      <c r="C3274" s="2" t="s">
        <v>573</v>
      </c>
      <c r="D3274" s="2" t="str">
        <f t="shared" si="50"/>
        <v>Error?</v>
      </c>
    </row>
    <row r="3275" spans="1:4" x14ac:dyDescent="0.2">
      <c r="A3275" s="5">
        <v>3214</v>
      </c>
      <c r="B3275" s="138">
        <f>'Acct Summary 7-8'!E75</f>
        <v>6688673</v>
      </c>
      <c r="D3275" s="2" t="str">
        <f t="shared" si="50"/>
        <v>Error?</v>
      </c>
    </row>
    <row r="3276" spans="1:4" x14ac:dyDescent="0.2">
      <c r="A3276" s="5">
        <v>3215</v>
      </c>
      <c r="B3276" s="138">
        <f>'Acct Summary 7-8'!E76</f>
        <v>6688673</v>
      </c>
      <c r="C3276" s="2" t="s">
        <v>573</v>
      </c>
      <c r="D3276" s="2" t="str">
        <f t="shared" si="50"/>
        <v>Error?</v>
      </c>
    </row>
    <row r="3277" spans="1:4" x14ac:dyDescent="0.2">
      <c r="A3277" s="5">
        <v>3216</v>
      </c>
      <c r="B3277" s="138">
        <f>'Acct Summary 7-8'!E77</f>
        <v>150176</v>
      </c>
      <c r="C3277" s="2" t="s">
        <v>573</v>
      </c>
      <c r="D3277" s="2" t="str">
        <f t="shared" si="50"/>
        <v>Error?</v>
      </c>
    </row>
    <row r="3278" spans="1:4" x14ac:dyDescent="0.2">
      <c r="A3278" s="5">
        <v>3217</v>
      </c>
      <c r="B3278" s="138">
        <f>'Acct Summary 7-8'!E78</f>
        <v>76782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1600000</v>
      </c>
      <c r="C3299" s="2" t="s">
        <v>573</v>
      </c>
      <c r="D3299" s="2" t="str">
        <f t="shared" si="50"/>
        <v>Error?</v>
      </c>
    </row>
    <row r="3300" spans="1:4" x14ac:dyDescent="0.2">
      <c r="A3300" s="5">
        <v>3239</v>
      </c>
      <c r="B3300" s="138">
        <f>'Acct Summary 7-8'!H78</f>
        <v>556603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3328530</v>
      </c>
      <c r="C3317" s="2" t="s">
        <v>573</v>
      </c>
      <c r="D3317" s="2" t="str">
        <f t="shared" si="50"/>
        <v>Error?</v>
      </c>
    </row>
    <row r="3318" spans="1:4" x14ac:dyDescent="0.2">
      <c r="A3318" s="5">
        <v>3257</v>
      </c>
      <c r="B3318" s="138">
        <f>'Acct Summary 7-8'!I76</f>
        <v>2300000</v>
      </c>
      <c r="C3318" s="2" t="s">
        <v>573</v>
      </c>
      <c r="D3318" s="2" t="str">
        <f t="shared" si="50"/>
        <v>Error?</v>
      </c>
    </row>
    <row r="3319" spans="1:4" x14ac:dyDescent="0.2">
      <c r="A3319" s="5">
        <v>3258</v>
      </c>
      <c r="B3319" s="138">
        <f>'Acct Summary 7-8'!I77</f>
        <v>1028530</v>
      </c>
      <c r="C3319" s="2" t="s">
        <v>573</v>
      </c>
      <c r="D3319" s="2" t="str">
        <f t="shared" si="50"/>
        <v>Error?</v>
      </c>
    </row>
    <row r="3320" spans="1:4" x14ac:dyDescent="0.2">
      <c r="A3320" s="5">
        <v>3259</v>
      </c>
      <c r="B3320" s="138">
        <f>'Acct Summary 7-8'!I78</f>
        <v>1351291</v>
      </c>
      <c r="C3320" s="2" t="s">
        <v>573</v>
      </c>
      <c r="D3320" s="2" t="str">
        <f t="shared" si="50"/>
        <v>Error?</v>
      </c>
    </row>
    <row r="3321" spans="1:4" x14ac:dyDescent="0.2">
      <c r="A3321" s="5">
        <v>3260</v>
      </c>
      <c r="B3321" s="138">
        <f>'Acct Summary 7-8'!I79</f>
        <v>16152758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17504049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9102435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2284708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64392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62510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11514345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276794</v>
      </c>
      <c r="D3387" s="2" t="str">
        <f t="shared" si="51"/>
        <v>Error?</v>
      </c>
    </row>
    <row r="3388" spans="1:4" x14ac:dyDescent="0.2">
      <c r="A3388" s="5">
        <v>3327</v>
      </c>
      <c r="B3388" s="138">
        <f>'Expenditures 15-22'!D217</f>
        <v>771726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276794</v>
      </c>
      <c r="C3390" s="2" t="s">
        <v>573</v>
      </c>
      <c r="D3390" s="2" t="str">
        <f t="shared" si="51"/>
        <v>Error?</v>
      </c>
    </row>
    <row r="3391" spans="1:4" x14ac:dyDescent="0.2">
      <c r="A3391" s="5">
        <v>3330</v>
      </c>
      <c r="B3391" s="138">
        <f>'Expenditures 15-22'!K217</f>
        <v>771726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21939461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2657354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434469</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258930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205197</v>
      </c>
      <c r="D3425" s="2" t="str">
        <f t="shared" si="52"/>
        <v>Error?</v>
      </c>
    </row>
    <row r="3426" spans="1:4" x14ac:dyDescent="0.2">
      <c r="A3426" s="10">
        <v>3365</v>
      </c>
      <c r="D3426" s="2" t="str">
        <f t="shared" si="52"/>
        <v>OK</v>
      </c>
    </row>
    <row r="3427" spans="1:4" x14ac:dyDescent="0.2">
      <c r="A3427" s="5">
        <v>3366</v>
      </c>
      <c r="B3427" s="138">
        <f>'Assets-Liab 5-6'!I4</f>
        <v>17392295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183659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1255959</v>
      </c>
      <c r="C3446" s="2" t="s">
        <v>573</v>
      </c>
      <c r="D3446" s="2" t="str">
        <f t="shared" si="52"/>
        <v>Error?</v>
      </c>
    </row>
    <row r="3447" spans="1:4" x14ac:dyDescent="0.2">
      <c r="A3447" s="5">
        <v>3386</v>
      </c>
      <c r="B3447" s="138">
        <f>'Tax Sched 23'!D16</f>
        <v>593463</v>
      </c>
      <c r="C3447" s="2" t="s">
        <v>573</v>
      </c>
      <c r="D3447" s="2" t="str">
        <f t="shared" si="52"/>
        <v>Error?</v>
      </c>
    </row>
    <row r="3448" spans="1:4" x14ac:dyDescent="0.2">
      <c r="A3448" s="5">
        <v>3387</v>
      </c>
      <c r="B3448" s="138">
        <f>'Tax Sched 23'!C16</f>
        <v>662496</v>
      </c>
      <c r="D3448" s="2" t="str">
        <f t="shared" si="52"/>
        <v>Error?</v>
      </c>
    </row>
    <row r="3449" spans="1:4" x14ac:dyDescent="0.2">
      <c r="A3449" s="5">
        <v>3388</v>
      </c>
      <c r="B3449" s="138">
        <f>'Tax Sched 23'!F16</f>
        <v>686289</v>
      </c>
      <c r="C3449" s="2" t="s">
        <v>573</v>
      </c>
      <c r="D3449" s="2" t="str">
        <f t="shared" si="52"/>
        <v>Error?</v>
      </c>
    </row>
    <row r="3450" spans="1:4" x14ac:dyDescent="0.2">
      <c r="A3450" s="5">
        <v>3389</v>
      </c>
      <c r="B3450" s="138">
        <f>'Tax Sched 23'!E16</f>
        <v>1348785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215231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215231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215231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215231</v>
      </c>
      <c r="C3568" s="2" t="s">
        <v>573</v>
      </c>
      <c r="D3568" s="2" t="str">
        <f t="shared" si="54"/>
        <v>Error?</v>
      </c>
    </row>
    <row r="3569" spans="1:4" x14ac:dyDescent="0.2">
      <c r="A3569" s="5">
        <v>3508</v>
      </c>
      <c r="B3569" s="138">
        <f>'Acct Summary 7-8'!K4</f>
        <v>4079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4079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4079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4079</v>
      </c>
      <c r="C3588" s="2" t="s">
        <v>573</v>
      </c>
      <c r="D3588" s="2" t="str">
        <f t="shared" si="55"/>
        <v>Error?</v>
      </c>
    </row>
    <row r="3589" spans="1:4" x14ac:dyDescent="0.2">
      <c r="A3589" s="5">
        <v>3528</v>
      </c>
      <c r="B3589" s="138">
        <f>'Acct Summary 7-8'!K79</f>
        <v>211152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215231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367686</v>
      </c>
      <c r="C3725" s="2" t="s">
        <v>573</v>
      </c>
      <c r="D3725" s="2" t="str">
        <f t="shared" si="57"/>
        <v>Error?</v>
      </c>
    </row>
    <row r="3726" spans="1:4" x14ac:dyDescent="0.2">
      <c r="A3726" s="5">
        <v>3665</v>
      </c>
      <c r="B3726" s="138">
        <f>'Tax Sched 23'!D13</f>
        <v>171752</v>
      </c>
      <c r="C3726" s="2" t="s">
        <v>573</v>
      </c>
      <c r="D3726" s="2" t="str">
        <f t="shared" si="57"/>
        <v>Error?</v>
      </c>
    </row>
    <row r="3727" spans="1:4" x14ac:dyDescent="0.2">
      <c r="A3727" s="5">
        <v>3666</v>
      </c>
      <c r="B3727" s="138">
        <f>'Tax Sched 23'!C13</f>
        <v>195934</v>
      </c>
      <c r="D3727" s="2" t="str">
        <f t="shared" si="57"/>
        <v>Error?</v>
      </c>
    </row>
    <row r="3728" spans="1:4" x14ac:dyDescent="0.2">
      <c r="A3728" s="5">
        <v>3667</v>
      </c>
      <c r="B3728" s="138">
        <f>'Tax Sched 23'!F13</f>
        <v>203706</v>
      </c>
      <c r="C3728" s="2" t="s">
        <v>573</v>
      </c>
      <c r="D3728" s="2" t="str">
        <f t="shared" si="57"/>
        <v>Error?</v>
      </c>
    </row>
    <row r="3729" spans="1:4" x14ac:dyDescent="0.2">
      <c r="A3729" s="5">
        <v>3668</v>
      </c>
      <c r="B3729" s="138">
        <f>'Tax Sched 23'!E13</f>
        <v>399640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26797518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88180328</v>
      </c>
      <c r="C4122" s="2" t="s">
        <v>573</v>
      </c>
      <c r="D4122" s="2" t="str">
        <f t="shared" si="63"/>
        <v>Error?</v>
      </c>
    </row>
    <row r="4123" spans="1:4" x14ac:dyDescent="0.2">
      <c r="A4123" s="5">
        <v>4062</v>
      </c>
      <c r="B4123" s="138">
        <f>'Acct Summary 7-8'!D10</f>
        <v>5593434</v>
      </c>
      <c r="C4123" s="2" t="s">
        <v>573</v>
      </c>
      <c r="D4123" s="2" t="str">
        <f t="shared" si="63"/>
        <v>Error?</v>
      </c>
    </row>
    <row r="4124" spans="1:4" x14ac:dyDescent="0.2">
      <c r="A4124" s="5">
        <v>4063</v>
      </c>
      <c r="B4124" s="138">
        <f>'Acct Summary 7-8'!E10</f>
        <v>1300446</v>
      </c>
      <c r="C4124" s="2" t="s">
        <v>573</v>
      </c>
      <c r="D4124" s="2" t="str">
        <f t="shared" si="63"/>
        <v>Error?</v>
      </c>
    </row>
    <row r="4125" spans="1:4" x14ac:dyDescent="0.2">
      <c r="A4125" s="5">
        <v>4064</v>
      </c>
      <c r="B4125" s="138">
        <f>'Acct Summary 7-8'!F10</f>
        <v>8081791</v>
      </c>
      <c r="C4125" s="2" t="s">
        <v>573</v>
      </c>
      <c r="D4125" s="2" t="str">
        <f t="shared" si="63"/>
        <v>Error?</v>
      </c>
    </row>
    <row r="4126" spans="1:4" x14ac:dyDescent="0.2">
      <c r="A4126" s="5">
        <v>4065</v>
      </c>
      <c r="B4126" s="138">
        <f>'Acct Summary 7-8'!G10</f>
        <v>2859054</v>
      </c>
      <c r="C4126" s="2" t="s">
        <v>573</v>
      </c>
      <c r="D4126" s="2" t="str">
        <f t="shared" si="63"/>
        <v>Error?</v>
      </c>
    </row>
    <row r="4127" spans="1:4" x14ac:dyDescent="0.2">
      <c r="A4127" s="5">
        <v>4066</v>
      </c>
      <c r="B4127" s="138">
        <f>'Acct Summary 7-8'!H10</f>
        <v>99244</v>
      </c>
      <c r="C4127" s="2" t="s">
        <v>573</v>
      </c>
      <c r="D4127" s="2" t="str">
        <f t="shared" si="63"/>
        <v>Error?</v>
      </c>
    </row>
    <row r="4128" spans="1:4" x14ac:dyDescent="0.2">
      <c r="A4128" s="5">
        <v>4067</v>
      </c>
      <c r="B4128" s="138">
        <f>'Acct Summary 7-8'!I10</f>
        <v>322761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4079</v>
      </c>
      <c r="C4130" s="2" t="s">
        <v>573</v>
      </c>
      <c r="D4130" s="2" t="str">
        <f t="shared" si="63"/>
        <v>Error?</v>
      </c>
    </row>
    <row r="4131" spans="1:4" x14ac:dyDescent="0.2">
      <c r="A4131" s="5">
        <v>4070</v>
      </c>
      <c r="B4131" s="138">
        <f>'Acct Summary 7-8'!C18</f>
        <v>26797518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91562226</v>
      </c>
      <c r="C4136" s="2" t="s">
        <v>573</v>
      </c>
      <c r="D4136" s="2" t="str">
        <f t="shared" si="63"/>
        <v>Error?</v>
      </c>
    </row>
    <row r="4137" spans="1:4" x14ac:dyDescent="0.2">
      <c r="A4137" s="5">
        <v>4076</v>
      </c>
      <c r="B4137" s="138">
        <f>'Acct Summary 7-8'!D19</f>
        <v>5467074</v>
      </c>
      <c r="C4137" s="2" t="s">
        <v>573</v>
      </c>
      <c r="D4137" s="2" t="str">
        <f t="shared" si="63"/>
        <v>Error?</v>
      </c>
    </row>
    <row r="4138" spans="1:4" x14ac:dyDescent="0.2">
      <c r="A4138" s="5">
        <v>4077</v>
      </c>
      <c r="B4138" s="138">
        <f>'Acct Summary 7-8'!E19</f>
        <v>1373840</v>
      </c>
      <c r="C4138" s="2" t="s">
        <v>573</v>
      </c>
      <c r="D4138" s="2" t="str">
        <f t="shared" si="63"/>
        <v>Error?</v>
      </c>
    </row>
    <row r="4139" spans="1:4" x14ac:dyDescent="0.2">
      <c r="A4139" s="5">
        <v>4078</v>
      </c>
      <c r="B4139" s="138">
        <f>'Acct Summary 7-8'!F19</f>
        <v>7106928</v>
      </c>
      <c r="C4139" s="2" t="s">
        <v>573</v>
      </c>
      <c r="D4139" s="2" t="str">
        <f t="shared" si="63"/>
        <v>Error?</v>
      </c>
    </row>
    <row r="4140" spans="1:4" x14ac:dyDescent="0.2">
      <c r="A4140" s="5">
        <v>4079</v>
      </c>
      <c r="B4140" s="138">
        <f>'Acct Summary 7-8'!G19</f>
        <v>2758674</v>
      </c>
      <c r="C4140" s="2" t="s">
        <v>573</v>
      </c>
      <c r="D4140" s="2" t="str">
        <f t="shared" si="63"/>
        <v>Error?</v>
      </c>
    </row>
    <row r="4141" spans="1:4" x14ac:dyDescent="0.2">
      <c r="A4141" s="5">
        <v>4080</v>
      </c>
      <c r="B4141" s="138">
        <f>'Acct Summary 7-8'!H19</f>
        <v>1142641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9886926</v>
      </c>
      <c r="C4171" s="2" t="s">
        <v>573</v>
      </c>
      <c r="D4171" s="2" t="str">
        <f t="shared" si="64"/>
        <v>Error?</v>
      </c>
    </row>
    <row r="4172" spans="1:4" x14ac:dyDescent="0.2">
      <c r="A4172" s="5">
        <v>4111</v>
      </c>
      <c r="B4172" s="138">
        <f>'Short-Term Long-Term Debt 24'!J49</f>
        <v>9452457</v>
      </c>
      <c r="C4172" s="2" t="s">
        <v>573</v>
      </c>
      <c r="D4172" s="2" t="str">
        <f t="shared" si="64"/>
        <v>Error?</v>
      </c>
    </row>
    <row r="4173" spans="1:4" x14ac:dyDescent="0.2">
      <c r="A4173" s="5">
        <v>4112</v>
      </c>
      <c r="B4173" s="138">
        <f>'Short-Term Long-Term Debt 24'!H49</f>
        <v>7423045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2578.9</v>
      </c>
      <c r="C4265" s="2" t="s">
        <v>573</v>
      </c>
      <c r="D4265" s="2" t="str">
        <f t="shared" si="65"/>
        <v>Error?</v>
      </c>
      <c r="E4265" s="128"/>
    </row>
    <row r="4266" spans="1:5" x14ac:dyDescent="0.2">
      <c r="A4266" s="12">
        <v>4205</v>
      </c>
      <c r="B4266" s="138">
        <f>('FP Info 3'!F10)*100000</f>
        <v>249.3</v>
      </c>
      <c r="C4266" s="2" t="s">
        <v>573</v>
      </c>
      <c r="D4266" s="2" t="str">
        <f t="shared" si="65"/>
        <v>Error?</v>
      </c>
      <c r="E4266" s="128"/>
    </row>
    <row r="4267" spans="1:5" x14ac:dyDescent="0.2">
      <c r="A4267" s="12">
        <v>4206</v>
      </c>
      <c r="B4267" s="138">
        <f>('FP Info 3'!H10)*100000</f>
        <v>145</v>
      </c>
      <c r="C4267" s="2" t="s">
        <v>573</v>
      </c>
      <c r="D4267" s="2" t="str">
        <f t="shared" si="65"/>
        <v>Error?</v>
      </c>
      <c r="E4267" s="128"/>
    </row>
    <row r="4268" spans="1:5" x14ac:dyDescent="0.2">
      <c r="A4268" s="12">
        <v>4207</v>
      </c>
      <c r="B4268" s="138">
        <f>('FP Info 3'!J10)*100000</f>
        <v>2973</v>
      </c>
      <c r="C4268" s="2" t="s">
        <v>573</v>
      </c>
      <c r="D4268" s="2" t="str">
        <f t="shared" si="65"/>
        <v>Error?</v>
      </c>
    </row>
    <row r="4269" spans="1:5" x14ac:dyDescent="0.2">
      <c r="A4269" s="12">
        <v>4208</v>
      </c>
      <c r="B4269" s="138">
        <f>'FP Info 3'!J16</f>
        <v>38944627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97821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224011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41071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79460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122689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2162889651</v>
      </c>
      <c r="D4995" s="2" t="str">
        <f t="shared" si="77"/>
        <v>Error?</v>
      </c>
    </row>
    <row r="4996" spans="1:4" x14ac:dyDescent="0.2">
      <c r="A4996" s="12">
        <v>4935</v>
      </c>
      <c r="B4996" s="138">
        <f>'FP Info 3'!H31</f>
        <v>149239385.919</v>
      </c>
      <c r="D4996" s="2" t="str">
        <f t="shared" si="77"/>
        <v>Error?</v>
      </c>
    </row>
    <row r="4997" spans="1:4" x14ac:dyDescent="0.2">
      <c r="A4997" s="12">
        <v>4936</v>
      </c>
      <c r="B4997" s="138">
        <f>'FP Info 3'!H37</f>
        <v>9886926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367686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50878360</v>
      </c>
      <c r="D5061" s="2" t="str">
        <f t="shared" si="78"/>
        <v>Error?</v>
      </c>
    </row>
    <row r="5062" spans="1:4" x14ac:dyDescent="0.2">
      <c r="A5062" s="10">
        <v>5001</v>
      </c>
      <c r="D5062" s="2" t="str">
        <f t="shared" si="78"/>
        <v>OK</v>
      </c>
    </row>
    <row r="5063" spans="1:4" x14ac:dyDescent="0.2">
      <c r="A5063" s="5">
        <v>5002</v>
      </c>
      <c r="B5063" s="138">
        <f>'Revenues 9-14'!C7</f>
        <v>409766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51655812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279978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279978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9790</v>
      </c>
      <c r="D5075" s="2" t="str">
        <f t="shared" si="78"/>
        <v>Error?</v>
      </c>
    </row>
    <row r="5076" spans="1:4" x14ac:dyDescent="0.2">
      <c r="A5076" s="5">
        <v>5015</v>
      </c>
      <c r="B5076" s="138">
        <f>'Revenues 9-14'!C25</f>
        <v>12205</v>
      </c>
      <c r="D5076" s="2" t="str">
        <f t="shared" si="78"/>
        <v>Error?</v>
      </c>
    </row>
    <row r="5077" spans="1:4" x14ac:dyDescent="0.2">
      <c r="A5077" s="5">
        <v>5016</v>
      </c>
      <c r="B5077" s="138">
        <f>'Revenues 9-14'!C26</f>
        <v>4095</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26090</v>
      </c>
      <c r="C5087" s="2" t="s">
        <v>573</v>
      </c>
      <c r="D5087" s="2" t="str">
        <f t="shared" si="78"/>
        <v>Error?</v>
      </c>
    </row>
    <row r="5088" spans="1:4" x14ac:dyDescent="0.2">
      <c r="A5088" s="5">
        <v>5027</v>
      </c>
      <c r="B5088" s="138">
        <f>'Revenues 9-14'!C65</f>
        <v>554549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554549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22159</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478475</v>
      </c>
      <c r="D5095" s="2" t="str">
        <f t="shared" si="78"/>
        <v>Error?</v>
      </c>
    </row>
    <row r="5096" spans="1:4" x14ac:dyDescent="0.2">
      <c r="A5096" s="5">
        <v>5035</v>
      </c>
      <c r="B5096" s="138">
        <f>'Revenues 9-14'!C75</f>
        <v>1429173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493047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37875</v>
      </c>
      <c r="D5101" s="2" t="str">
        <f t="shared" si="78"/>
        <v>Error?</v>
      </c>
    </row>
    <row r="5102" spans="1:4" x14ac:dyDescent="0.2">
      <c r="A5102" s="5">
        <v>5041</v>
      </c>
      <c r="B5102" s="138">
        <f>'Revenues 9-14'!C82</f>
        <v>530922</v>
      </c>
      <c r="C5102" s="2" t="s">
        <v>573</v>
      </c>
      <c r="D5102" s="2" t="str">
        <f t="shared" si="78"/>
        <v>Error?</v>
      </c>
    </row>
    <row r="5103" spans="1:4" x14ac:dyDescent="0.2">
      <c r="A5103" s="5">
        <v>5042</v>
      </c>
      <c r="B5103" s="138">
        <f>'Revenues 9-14'!C84</f>
        <v>500727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500727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1522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236713</v>
      </c>
      <c r="D5118" s="2" t="str">
        <f t="shared" si="78"/>
        <v>Error?</v>
      </c>
    </row>
    <row r="5119" spans="1:4" x14ac:dyDescent="0.2">
      <c r="A5119" s="5">
        <v>5058</v>
      </c>
      <c r="B5119" s="138">
        <f>'Revenues 9-14'!C107</f>
        <v>147486</v>
      </c>
      <c r="D5119" s="2" t="str">
        <f t="shared" ref="D5119:D5182" si="79">IF(ISBLANK(B5119),"OK",IF(A5119-B5119=0,"OK","Error?"))</f>
        <v>Error?</v>
      </c>
    </row>
    <row r="5120" spans="1:4" x14ac:dyDescent="0.2">
      <c r="A5120" s="5">
        <v>5059</v>
      </c>
      <c r="B5120" s="138">
        <f>'Revenues 9-14'!C108</f>
        <v>397503</v>
      </c>
      <c r="C5120" s="2" t="s">
        <v>573</v>
      </c>
      <c r="D5120" s="2" t="str">
        <f t="shared" si="79"/>
        <v>Error?</v>
      </c>
    </row>
    <row r="5121" spans="1:4" x14ac:dyDescent="0.2">
      <c r="A5121" s="5">
        <v>5060</v>
      </c>
      <c r="B5121" s="138">
        <f>'Revenues 9-14'!C109</f>
        <v>55374754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2876212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2876212</v>
      </c>
      <c r="C5132" s="2" t="s">
        <v>573</v>
      </c>
      <c r="D5132" s="2" t="str">
        <f t="shared" si="79"/>
        <v>Error?</v>
      </c>
    </row>
    <row r="5133" spans="1:4" x14ac:dyDescent="0.2">
      <c r="A5133" s="5">
        <v>5072</v>
      </c>
      <c r="B5133" s="138">
        <f>'Revenues 9-14'!C125</f>
        <v>481888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119234</v>
      </c>
      <c r="D5137" s="2" t="str">
        <f t="shared" si="79"/>
        <v>Error?</v>
      </c>
    </row>
    <row r="5138" spans="1:4" x14ac:dyDescent="0.2">
      <c r="A5138" s="10">
        <v>5077</v>
      </c>
      <c r="D5138" s="2" t="str">
        <f t="shared" si="79"/>
        <v>OK</v>
      </c>
    </row>
    <row r="5139" spans="1:4" x14ac:dyDescent="0.2">
      <c r="A5139" s="5">
        <v>5078</v>
      </c>
      <c r="B5139" s="138">
        <f>'Revenues 9-14'!C129</f>
        <v>2121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603243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4968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4968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608211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3484423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49248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49248</v>
      </c>
      <c r="C5246" s="2" t="s">
        <v>573</v>
      </c>
      <c r="D5246" s="2" t="str">
        <f t="shared" si="80"/>
        <v>Error?</v>
      </c>
    </row>
    <row r="5247" spans="1:4" x14ac:dyDescent="0.2">
      <c r="A5247" s="5">
        <v>5186</v>
      </c>
      <c r="B5247" s="138">
        <f>'Revenues 9-14'!C200</f>
        <v>764200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41071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764200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48155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1096978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1145133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2523633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2523633</v>
      </c>
      <c r="C5326" s="2" t="s">
        <v>573</v>
      </c>
      <c r="D5326" s="2" t="str">
        <f t="shared" si="82"/>
        <v>Error?</v>
      </c>
    </row>
    <row r="5327" spans="1:5" x14ac:dyDescent="0.2">
      <c r="A5327" s="5">
        <v>5266</v>
      </c>
      <c r="B5327" s="138">
        <f>'Revenues 9-14'!C268</f>
        <v>61382810</v>
      </c>
      <c r="C5327" s="2" t="s">
        <v>573</v>
      </c>
      <c r="D5327" s="2" t="str">
        <f t="shared" si="82"/>
        <v>Error?</v>
      </c>
    </row>
    <row r="5328" spans="1:5" x14ac:dyDescent="0.2">
      <c r="A5328" s="5">
        <v>5267</v>
      </c>
      <c r="B5328" s="138">
        <f>'Revenues 9-14'!D5</f>
        <v>5289202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5289202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61226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61226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239506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3500</v>
      </c>
      <c r="D5354" s="2" t="str">
        <f t="shared" si="82"/>
        <v>Error?</v>
      </c>
    </row>
    <row r="5355" spans="1:4" x14ac:dyDescent="0.2">
      <c r="A5355" s="5">
        <v>5294</v>
      </c>
      <c r="B5355" s="138">
        <f>'Revenues 9-14'!D108</f>
        <v>243006</v>
      </c>
      <c r="C5355" s="2" t="s">
        <v>573</v>
      </c>
      <c r="D5355" s="2" t="str">
        <f t="shared" si="82"/>
        <v>Error?</v>
      </c>
    </row>
    <row r="5356" spans="1:4" x14ac:dyDescent="0.2">
      <c r="A5356" s="5">
        <v>5295</v>
      </c>
      <c r="B5356" s="138">
        <f>'Revenues 9-14'!D109</f>
        <v>5593434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5593434</v>
      </c>
      <c r="C5508" s="2" t="s">
        <v>573</v>
      </c>
      <c r="D5508" s="2" t="str">
        <f t="shared" si="85"/>
        <v>Error?</v>
      </c>
    </row>
    <row r="5509" spans="1:4" x14ac:dyDescent="0.2">
      <c r="A5509" s="5">
        <v>5448</v>
      </c>
      <c r="B5509" s="138">
        <f>'Revenues 9-14'!E5</f>
        <v>-108563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-108563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20903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20903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-87660</v>
      </c>
      <c r="C5527" s="2" t="s">
        <v>573</v>
      </c>
      <c r="D5527" s="2" t="str">
        <f t="shared" si="85"/>
        <v>Error?</v>
      </c>
    </row>
    <row r="5528" spans="1:4" x14ac:dyDescent="0.2">
      <c r="A5528" s="5">
        <v>5467</v>
      </c>
      <c r="B5528" s="138">
        <f>'Revenues 9-14'!E117</f>
        <v>1388106</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1388106</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1388106</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1300446</v>
      </c>
      <c r="C5552" s="2" t="s">
        <v>573</v>
      </c>
      <c r="D5552" s="2" t="str">
        <f t="shared" si="85"/>
        <v>Error?</v>
      </c>
    </row>
    <row r="5553" spans="1:4" x14ac:dyDescent="0.2">
      <c r="A5553" s="5">
        <v>5492</v>
      </c>
      <c r="B5553" s="138">
        <f>'Revenues 9-14'!F5</f>
        <v>3041976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3041976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66550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66550</v>
      </c>
      <c r="C5579" s="2" t="s">
        <v>573</v>
      </c>
      <c r="D5579" s="2" t="str">
        <f t="shared" si="86"/>
        <v>Error?</v>
      </c>
    </row>
    <row r="5580" spans="1:4" x14ac:dyDescent="0.2">
      <c r="A5580" s="5">
        <v>5519</v>
      </c>
      <c r="B5580" s="138">
        <f>'Revenues 9-14'!F65</f>
        <v>6657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3115183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98301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98301</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3803644</v>
      </c>
      <c r="D5615" s="2" t="str">
        <f t="shared" si="86"/>
        <v>Error?</v>
      </c>
    </row>
    <row r="5616" spans="1:4" x14ac:dyDescent="0.2">
      <c r="A5616" s="10">
        <v>5555</v>
      </c>
      <c r="D5616" s="2" t="str">
        <f t="shared" si="86"/>
        <v>OK</v>
      </c>
    </row>
    <row r="5617" spans="1:5" x14ac:dyDescent="0.2">
      <c r="A5617" s="5">
        <v>5556</v>
      </c>
      <c r="B5617" s="138">
        <f>'Revenues 9-14'!F153</f>
        <v>1064663</v>
      </c>
      <c r="D5617" s="2" t="str">
        <f t="shared" si="86"/>
        <v>Error?</v>
      </c>
    </row>
    <row r="5618" spans="1:5" x14ac:dyDescent="0.2">
      <c r="A5618" s="5">
        <v>5557</v>
      </c>
      <c r="B5618" s="138">
        <f>'Revenues 9-14'!F155</f>
        <v>4868307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4868307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4966608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8081791</v>
      </c>
      <c r="C5720" s="2" t="s">
        <v>573</v>
      </c>
      <c r="D5720" s="2" t="str">
        <f t="shared" si="88"/>
        <v>Error?</v>
      </c>
    </row>
    <row r="5721" spans="1:4" x14ac:dyDescent="0.2">
      <c r="A5721" s="5">
        <v>5660</v>
      </c>
      <c r="B5721" s="138">
        <f>'Revenues 9-14'!G5</f>
        <v>1536277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1255959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2792236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55626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55626</v>
      </c>
      <c r="C5730" s="2" t="s">
        <v>573</v>
      </c>
      <c r="D5730" s="2" t="str">
        <f t="shared" si="88"/>
        <v>Error?</v>
      </c>
    </row>
    <row r="5731" spans="1:4" x14ac:dyDescent="0.2">
      <c r="A5731" s="5">
        <v>5670</v>
      </c>
      <c r="B5731" s="138">
        <f>'Revenues 9-14'!G65</f>
        <v>11192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11192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2859054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1037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31765</v>
      </c>
      <c r="D5885" s="2" t="str">
        <f t="shared" si="90"/>
        <v>Error?</v>
      </c>
    </row>
    <row r="5886" spans="1:4" x14ac:dyDescent="0.2">
      <c r="A5886" s="5">
        <v>5825</v>
      </c>
      <c r="B5886" s="138">
        <f>'Revenues 9-14'!H108</f>
        <v>98207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99244</v>
      </c>
      <c r="C5915" s="2" t="s">
        <v>573</v>
      </c>
      <c r="D5915" s="2" t="str">
        <f t="shared" si="91"/>
        <v>Error?</v>
      </c>
    </row>
    <row r="5916" spans="1:4" x14ac:dyDescent="0.2">
      <c r="A5916" s="5">
        <v>5855</v>
      </c>
      <c r="B5916" s="138">
        <f>'Revenues 9-14'!I5</f>
        <v>4646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4646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318115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318115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322761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4079</v>
      </c>
      <c r="C6023" s="2" t="s">
        <v>573</v>
      </c>
      <c r="D6023" s="2" t="str">
        <f t="shared" si="93"/>
        <v>Error?</v>
      </c>
    </row>
    <row r="6024" spans="1:5" x14ac:dyDescent="0.2">
      <c r="A6024" s="5">
        <v>5963</v>
      </c>
      <c r="B6024" s="138">
        <f>'Revenues 9-14'!G109</f>
        <v>2859054</v>
      </c>
      <c r="C6024" s="2" t="s">
        <v>573</v>
      </c>
      <c r="D6024" s="2" t="str">
        <f t="shared" si="93"/>
        <v>Error?</v>
      </c>
    </row>
    <row r="6025" spans="1:5" x14ac:dyDescent="0.2">
      <c r="A6025" s="5">
        <v>5964</v>
      </c>
      <c r="B6025" s="138">
        <f>'Revenues 9-14'!H109</f>
        <v>99244</v>
      </c>
      <c r="C6025" s="2" t="s">
        <v>573</v>
      </c>
      <c r="D6025" s="2" t="str">
        <f t="shared" si="93"/>
        <v>Error?</v>
      </c>
    </row>
    <row r="6026" spans="1:5" x14ac:dyDescent="0.2">
      <c r="A6026" s="5">
        <v>5965</v>
      </c>
      <c r="B6026" s="138">
        <f>'Revenues 9-14'!I109</f>
        <v>322761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4079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928539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4912.8999999999996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61671</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1018774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959983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111754</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61671</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638463</v>
      </c>
      <c r="D6142" s="2" t="str">
        <f t="shared" si="94"/>
        <v>Error?</v>
      </c>
      <c r="E6142" s="2" t="s">
        <v>190</v>
      </c>
    </row>
    <row r="6143" spans="1:5" x14ac:dyDescent="0.2">
      <c r="A6143">
        <v>6082</v>
      </c>
      <c r="B6143" s="138">
        <f>'Assets-Liab 5-6'!D27</f>
        <v>44427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26223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455230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3671655</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284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15570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-3381898</v>
      </c>
      <c r="D6267" s="2" t="str">
        <f t="shared" si="96"/>
        <v>Error?</v>
      </c>
      <c r="E6267" s="2" t="s">
        <v>190</v>
      </c>
    </row>
    <row r="6268" spans="1:5" x14ac:dyDescent="0.2">
      <c r="A6268">
        <v>6207</v>
      </c>
      <c r="B6268" s="138">
        <f>'Acct Summary 7-8'!D82</f>
        <v>126360</v>
      </c>
      <c r="D6268" s="2" t="str">
        <f t="shared" si="96"/>
        <v>Error?</v>
      </c>
      <c r="E6268" s="2" t="s">
        <v>190</v>
      </c>
    </row>
    <row r="6269" spans="1:5" x14ac:dyDescent="0.2">
      <c r="A6269">
        <v>6208</v>
      </c>
      <c r="B6269" s="138">
        <f>'Acct Summary 7-8'!E82</f>
        <v>76782</v>
      </c>
      <c r="D6269" s="2" t="str">
        <f t="shared" si="96"/>
        <v>Error?</v>
      </c>
      <c r="E6269" s="2" t="s">
        <v>190</v>
      </c>
    </row>
    <row r="6270" spans="1:5" x14ac:dyDescent="0.2">
      <c r="A6270">
        <v>6209</v>
      </c>
      <c r="B6270" s="138">
        <f>'Acct Summary 7-8'!F82</f>
        <v>1674863</v>
      </c>
      <c r="D6270" s="2" t="str">
        <f t="shared" si="96"/>
        <v>Error?</v>
      </c>
      <c r="E6270" s="2" t="s">
        <v>190</v>
      </c>
    </row>
    <row r="6271" spans="1:5" x14ac:dyDescent="0.2">
      <c r="A6271">
        <v>6210</v>
      </c>
      <c r="B6271" s="138">
        <f>'Acct Summary 7-8'!G82</f>
        <v>100380</v>
      </c>
      <c r="D6271" s="2" t="str">
        <f t="shared" ref="D6271:D6334" si="97">IF(ISBLANK(B6271),"OK",IF(A6271-B6271=0,"OK","Error?"))</f>
        <v>Error?</v>
      </c>
      <c r="E6271" s="2" t="s">
        <v>190</v>
      </c>
    </row>
    <row r="6272" spans="1:5" x14ac:dyDescent="0.2">
      <c r="A6272">
        <v>6211</v>
      </c>
      <c r="B6272" s="138">
        <f>'Acct Summary 7-8'!H82</f>
        <v>556603</v>
      </c>
      <c r="D6272" s="2" t="str">
        <f t="shared" si="97"/>
        <v>Error?</v>
      </c>
      <c r="E6272" s="2" t="s">
        <v>190</v>
      </c>
    </row>
    <row r="6273" spans="1:5" x14ac:dyDescent="0.2">
      <c r="A6273">
        <v>6212</v>
      </c>
      <c r="B6273" s="138">
        <f>'Acct Summary 7-8'!I82</f>
        <v>1351291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4079</v>
      </c>
      <c r="D6275" s="2" t="str">
        <f t="shared" si="97"/>
        <v>Error?</v>
      </c>
      <c r="E6275" s="2" t="s">
        <v>190</v>
      </c>
    </row>
    <row r="6276" spans="1:5" x14ac:dyDescent="0.2">
      <c r="A6276">
        <v>6215</v>
      </c>
      <c r="B6276" s="138">
        <f>'Acct Summary 7-8'!C83</f>
        <v>-0.18834821210274566</v>
      </c>
      <c r="D6276" s="2" t="str">
        <f t="shared" si="97"/>
        <v>Error?</v>
      </c>
      <c r="E6276" s="2" t="s">
        <v>190</v>
      </c>
    </row>
    <row r="6277" spans="1:5" x14ac:dyDescent="0.2">
      <c r="A6277">
        <v>6216</v>
      </c>
      <c r="B6277" s="138">
        <f>'Acct Summary 7-8'!D83</f>
        <v>4.8359559987707273E-2</v>
      </c>
      <c r="D6277" s="2" t="str">
        <f t="shared" si="97"/>
        <v>Error?</v>
      </c>
      <c r="E6277" s="2" t="s">
        <v>190</v>
      </c>
    </row>
    <row r="6278" spans="1:5" x14ac:dyDescent="0.2">
      <c r="A6278">
        <v>6217</v>
      </c>
      <c r="B6278" s="138">
        <f>'Acct Summary 7-8'!E83</f>
        <v>0.17672607251610586</v>
      </c>
      <c r="D6278" s="2" t="str">
        <f t="shared" si="97"/>
        <v>Error?</v>
      </c>
      <c r="E6278" s="2" t="s">
        <v>190</v>
      </c>
    </row>
    <row r="6279" spans="1:5" x14ac:dyDescent="0.2">
      <c r="A6279">
        <v>6218</v>
      </c>
      <c r="B6279" s="138">
        <f>'Acct Summary 7-8'!F83</f>
        <v>1.9205184333250391</v>
      </c>
      <c r="D6279" s="2" t="str">
        <f t="shared" si="97"/>
        <v>Error?</v>
      </c>
      <c r="E6279" s="2" t="s">
        <v>190</v>
      </c>
    </row>
    <row r="6280" spans="1:5" x14ac:dyDescent="0.2">
      <c r="A6280">
        <v>6219</v>
      </c>
      <c r="B6280" s="138">
        <f>'Acct Summary 7-8'!G83</f>
        <v>0.38809801814062461</v>
      </c>
      <c r="D6280" s="2" t="str">
        <f t="shared" si="97"/>
        <v>Error?</v>
      </c>
      <c r="E6280" s="2" t="s">
        <v>190</v>
      </c>
    </row>
    <row r="6281" spans="1:5" x14ac:dyDescent="0.2">
      <c r="A6281">
        <v>6220</v>
      </c>
      <c r="B6281" s="138">
        <f>'Acct Summary 7-8'!H83</f>
        <v>-2.2261181524038829</v>
      </c>
      <c r="D6281" s="2" t="str">
        <f t="shared" si="97"/>
        <v>Error?</v>
      </c>
      <c r="E6281" s="2" t="s">
        <v>190</v>
      </c>
    </row>
    <row r="6282" spans="1:5" x14ac:dyDescent="0.2">
      <c r="A6282">
        <v>6221</v>
      </c>
      <c r="B6282" s="138">
        <f>'Acct Summary 7-8'!I83</f>
        <v>7.7198766982427891E-2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1.8951730930953255E-2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66442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11782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90586</v>
      </c>
      <c r="D6844" s="2" t="str">
        <f t="shared" si="105"/>
        <v>Error?</v>
      </c>
    </row>
    <row r="6845" spans="1:5" x14ac:dyDescent="0.2">
      <c r="A6845">
        <v>6784</v>
      </c>
      <c r="B6845" s="138">
        <f>'Expenditures 15-22'!J5</f>
        <v>315917</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3873</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79905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1292396</v>
      </c>
      <c r="D6880" s="2" t="str">
        <f t="shared" si="106"/>
        <v>Error?</v>
      </c>
    </row>
    <row r="6881" spans="1:4" x14ac:dyDescent="0.2">
      <c r="A6881">
        <v>6820</v>
      </c>
      <c r="B6881" s="138">
        <f>'Expenditures 15-22'!K22</f>
        <v>1292396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94459</v>
      </c>
      <c r="D6902" s="2" t="str">
        <f t="shared" si="106"/>
        <v>Error?</v>
      </c>
    </row>
    <row r="6903" spans="1:4" x14ac:dyDescent="0.2">
      <c r="A6903">
        <v>6842</v>
      </c>
      <c r="B6903" s="138">
        <f>'Expenditures 15-22'!J33</f>
        <v>315917</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546164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546164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546164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254705</v>
      </c>
      <c r="D6983" s="2" t="str">
        <f t="shared" si="108"/>
        <v>Error?</v>
      </c>
    </row>
    <row r="6984" spans="1:4" x14ac:dyDescent="0.2">
      <c r="A6984">
        <v>6923</v>
      </c>
      <c r="B6984" s="138">
        <f>'Expenditures 15-22'!K86</f>
        <v>254705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254705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640623</v>
      </c>
      <c r="D7020" s="2" t="str">
        <f t="shared" si="108"/>
        <v>Error?</v>
      </c>
    </row>
    <row r="7021" spans="1:4" x14ac:dyDescent="0.2">
      <c r="A7021">
        <v>6960</v>
      </c>
      <c r="B7021" s="138">
        <f>'Expenditures 15-22'!J114</f>
        <v>315917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270166</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270166</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270166</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59850</v>
      </c>
      <c r="D7253" s="2" t="str">
        <f t="shared" si="112"/>
        <v>Error?</v>
      </c>
    </row>
    <row r="7254" spans="1:4" x14ac:dyDescent="0.2">
      <c r="A7254">
        <f t="shared" si="113"/>
        <v>7193</v>
      </c>
      <c r="B7254" s="138">
        <f>'Expenditures 15-22'!F9</f>
        <v>16182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3830898</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3830898</v>
      </c>
      <c r="D7600" s="2" t="str">
        <f t="shared" si="122"/>
        <v>Error?</v>
      </c>
      <c r="E7600" s="2" t="s">
        <v>19</v>
      </c>
    </row>
    <row r="7601" spans="1:5" x14ac:dyDescent="0.2">
      <c r="A7601">
        <f t="shared" si="123"/>
        <v>7540</v>
      </c>
      <c r="B7601" s="138">
        <f>'Cap Outlay Deprec 26'!H6</f>
        <v>2263598</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2263598</v>
      </c>
      <c r="D7604" s="2" t="str">
        <f t="shared" si="122"/>
        <v>Error?</v>
      </c>
      <c r="E7604" s="2" t="s">
        <v>19</v>
      </c>
    </row>
    <row r="7605" spans="1:5" x14ac:dyDescent="0.2">
      <c r="A7605">
        <f t="shared" si="123"/>
        <v>7544</v>
      </c>
      <c r="B7605" s="138">
        <f>'Cap Outlay Deprec 26'!L6</f>
        <v>1567300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910789</v>
      </c>
      <c r="D7624" s="2" t="str">
        <f t="shared" si="124"/>
        <v>Error?</v>
      </c>
      <c r="E7624" s="2" t="s">
        <v>19</v>
      </c>
    </row>
    <row r="7625" spans="1:5" x14ac:dyDescent="0.2">
      <c r="A7625">
        <f t="shared" si="123"/>
        <v>7564</v>
      </c>
      <c r="B7625" s="138">
        <f>'Cap Outlay Deprec 26'!I17</f>
        <v>91078.9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2227716.9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409766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700000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1600000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15372</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15372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7268907</v>
      </c>
      <c r="D7797" s="2" t="str">
        <f t="shared" si="127"/>
        <v>Error?</v>
      </c>
      <c r="E7797" s="4" t="s">
        <v>1900</v>
      </c>
    </row>
    <row r="7798" spans="1:5" x14ac:dyDescent="0.2">
      <c r="A7798">
        <v>7737</v>
      </c>
      <c r="B7798" s="138">
        <f>'Contracts Paid in CY 29'!F142</f>
        <v>200000</v>
      </c>
      <c r="D7798" s="2" t="str">
        <f t="shared" si="127"/>
        <v>Error?</v>
      </c>
      <c r="E7798" s="4" t="s">
        <v>1900</v>
      </c>
    </row>
    <row r="7799" spans="1:5" x14ac:dyDescent="0.2">
      <c r="A7799">
        <v>7738</v>
      </c>
      <c r="B7799" s="138">
        <f>'Contracts Paid in CY 29'!G142</f>
        <v>7068907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24" sqref="A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1984</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Orland SD 135</v>
      </c>
      <c r="B7" s="2407"/>
      <c r="C7" s="2407"/>
      <c r="D7" s="2408"/>
      <c r="E7" s="2409">
        <f>COVER!A13</f>
        <v>7016135002</v>
      </c>
      <c r="F7" s="2410"/>
      <c r="G7" s="2416" t="str">
        <f>COVER!T23</f>
        <v>066-003284</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SIKICH LLP</v>
      </c>
      <c r="H9" s="2422"/>
      <c r="I9" s="2422"/>
      <c r="J9" s="2422"/>
      <c r="K9" s="2422"/>
      <c r="L9" s="2423"/>
    </row>
    <row r="10" spans="1:29" ht="13.5" customHeight="1" x14ac:dyDescent="0.2">
      <c r="A10" s="2396" t="str">
        <f>COVER!A38</f>
        <v xml:space="preserve">MR. JOHN BRYK </v>
      </c>
      <c r="B10" s="2397"/>
      <c r="C10" s="2397"/>
      <c r="D10" s="2397"/>
      <c r="E10" s="2397"/>
      <c r="F10" s="2398"/>
      <c r="G10" s="2390" t="str">
        <f>COVER!T17</f>
        <v>1415 W DIEHL ROAD, SUITE 400</v>
      </c>
      <c r="H10" s="2391"/>
      <c r="I10" s="2391"/>
      <c r="J10" s="2391"/>
      <c r="K10" s="2391"/>
      <c r="L10" s="2392"/>
    </row>
    <row r="11" spans="1:29" ht="13.5" customHeight="1" x14ac:dyDescent="0.2">
      <c r="A11" s="1184" t="s">
        <v>1519</v>
      </c>
      <c r="B11" s="1185"/>
      <c r="C11" s="1186"/>
      <c r="D11" s="1191"/>
      <c r="E11" s="1186"/>
      <c r="F11" s="1190"/>
      <c r="G11" s="2390" t="str">
        <f>COVER!T19</f>
        <v>NAPERVILLE</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anthony.cervini@sikich.com</v>
      </c>
      <c r="J13" s="2403"/>
      <c r="K13" s="2403"/>
      <c r="L13" s="2404"/>
    </row>
    <row r="14" spans="1:29" ht="13.5" customHeight="1" x14ac:dyDescent="0.2">
      <c r="A14" s="2390" t="str">
        <f>COVER!A19</f>
        <v xml:space="preserve">15100 SOUTH 94TH AVENUE </v>
      </c>
      <c r="B14" s="2391"/>
      <c r="C14" s="2391"/>
      <c r="D14" s="2391"/>
      <c r="E14" s="2391"/>
      <c r="F14" s="2392"/>
      <c r="G14" s="1195" t="s">
        <v>1185</v>
      </c>
      <c r="H14" s="1193"/>
      <c r="I14" s="1193"/>
      <c r="J14" s="1193"/>
      <c r="K14" s="1193"/>
      <c r="L14" s="1194"/>
    </row>
    <row r="15" spans="1:29" ht="13.5" customHeight="1" x14ac:dyDescent="0.2">
      <c r="A15" s="2390" t="str">
        <f>COVER!A21</f>
        <v>ORLAND PARK</v>
      </c>
      <c r="B15" s="2391"/>
      <c r="C15" s="2391"/>
      <c r="D15" s="2391"/>
      <c r="E15" s="2391"/>
      <c r="F15" s="2392"/>
      <c r="G15" s="2387" t="str">
        <f>COVER!T15</f>
        <v>ANTHONY CERVINI</v>
      </c>
      <c r="H15" s="2388"/>
      <c r="I15" s="2388"/>
      <c r="J15" s="2388"/>
      <c r="K15" s="2388"/>
      <c r="L15" s="2389"/>
    </row>
    <row r="16" spans="1:29" ht="12.2" customHeight="1" x14ac:dyDescent="0.2">
      <c r="A16" s="2412">
        <f>COVER!A25</f>
        <v>60462</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630-566-8400</v>
      </c>
      <c r="H18" s="2407"/>
      <c r="I18" s="2407"/>
      <c r="J18" s="2407"/>
      <c r="K18" s="2406" t="str">
        <f>COVER!X21</f>
        <v>630-566-8401</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pageSetUpPr fitToPage="1"/>
  </sheetPr>
  <dimension ref="A1:K127"/>
  <sheetViews>
    <sheetView showGridLines="0" zoomScale="125" zoomScaleNormal="125" workbookViewId="0">
      <selection activeCell="A24" sqref="A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Orland SD 135</v>
      </c>
      <c r="B1" s="2405"/>
      <c r="C1" s="2405"/>
      <c r="D1" s="2405"/>
    </row>
    <row r="2" spans="1:11" s="1212" customFormat="1" ht="12.75" x14ac:dyDescent="0.2">
      <c r="A2" s="2429">
        <f>'Single Audit Cover'!E7</f>
        <v>7016135002</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topLeftCell="A16"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Orland SD 135</v>
      </c>
      <c r="B1" s="2432"/>
      <c r="C1" s="2432"/>
      <c r="D1" s="2432"/>
      <c r="E1" s="2432"/>
    </row>
    <row r="2" spans="1:5" x14ac:dyDescent="0.2">
      <c r="A2" s="2433">
        <f>'Single Audit Cover'!E7</f>
        <v>7016135002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2523633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-224011</v>
      </c>
    </row>
    <row r="19" spans="1:4" ht="13.5" thickBot="1" x14ac:dyDescent="0.25">
      <c r="A19" s="1262" t="s">
        <v>1235</v>
      </c>
      <c r="D19" s="1263">
        <f>SUM(D10:D17)</f>
        <v>2299622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2299622</v>
      </c>
    </row>
    <row r="33" spans="1:4" x14ac:dyDescent="0.2">
      <c r="D33" s="1266"/>
    </row>
    <row r="34" spans="1:4" x14ac:dyDescent="0.2">
      <c r="A34" s="317" t="s">
        <v>1232</v>
      </c>
    </row>
    <row r="35" spans="1:4" x14ac:dyDescent="0.2">
      <c r="A35" s="317" t="s">
        <v>1231</v>
      </c>
      <c r="B35" s="1255" t="s">
        <v>1230</v>
      </c>
      <c r="D35" s="1267">
        <f>' SEFA'!F49</f>
        <v>2301450</v>
      </c>
    </row>
    <row r="37" spans="1:4" x14ac:dyDescent="0.2">
      <c r="A37" s="1257" t="s">
        <v>1229</v>
      </c>
    </row>
    <row r="39" spans="1:4" ht="13.35" customHeight="1" x14ac:dyDescent="0.2">
      <c r="A39" s="1264" t="s">
        <v>1228</v>
      </c>
    </row>
    <row r="40" spans="1:4" x14ac:dyDescent="0.2">
      <c r="A40" s="2431" t="s">
        <v>2142</v>
      </c>
      <c r="B40" s="2431"/>
      <c r="D40" s="1265"/>
    </row>
    <row r="41" spans="1:4" x14ac:dyDescent="0.2">
      <c r="A41" s="2431" t="s">
        <v>2141</v>
      </c>
      <c r="B41" s="2431"/>
      <c r="D41" s="1268">
        <v>-1828</v>
      </c>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2299622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74"/>
  <sheetViews>
    <sheetView showGridLines="0" topLeftCell="A8" zoomScaleNormal="100" workbookViewId="0">
      <selection activeCell="B17" sqref="B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Orland SD 135</v>
      </c>
      <c r="C1" s="2436"/>
      <c r="D1" s="2436"/>
      <c r="E1" s="2436"/>
      <c r="F1" s="2436"/>
      <c r="G1" s="2436"/>
      <c r="H1" s="2436"/>
      <c r="I1" s="2436"/>
      <c r="J1" s="2436"/>
      <c r="K1" s="2436"/>
      <c r="L1" s="2436"/>
      <c r="M1" s="2436"/>
    </row>
    <row r="2" spans="2:14" ht="15" x14ac:dyDescent="0.2">
      <c r="B2" s="2437">
        <f>'Single Audit Cover'!E7</f>
        <v>7016135002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2094</v>
      </c>
      <c r="C11" s="1335"/>
      <c r="D11" s="1336"/>
      <c r="E11" s="1337"/>
      <c r="F11" s="1337"/>
      <c r="G11" s="1337"/>
      <c r="H11" s="1337"/>
      <c r="I11" s="1337"/>
      <c r="J11" s="1337"/>
      <c r="K11" s="1337"/>
      <c r="L11" s="1337"/>
      <c r="M11" s="1337"/>
    </row>
    <row r="12" spans="2:14" ht="20.100000000000001" customHeight="1" x14ac:dyDescent="0.2">
      <c r="B12" s="1334" t="s">
        <v>2095</v>
      </c>
      <c r="C12" s="1338"/>
      <c r="D12" s="1339"/>
      <c r="E12" s="1340"/>
      <c r="F12" s="1340"/>
      <c r="G12" s="1340"/>
      <c r="H12" s="1340"/>
      <c r="I12" s="1340"/>
      <c r="J12" s="1340"/>
      <c r="K12" s="1340"/>
      <c r="L12" s="1337"/>
      <c r="M12" s="1340"/>
    </row>
    <row r="13" spans="2:14" ht="20.100000000000001" customHeight="1" x14ac:dyDescent="0.2">
      <c r="B13" s="1334" t="s">
        <v>2096</v>
      </c>
      <c r="C13" s="1338"/>
      <c r="D13" s="1339"/>
      <c r="E13" s="1340"/>
      <c r="F13" s="1340"/>
      <c r="G13" s="1340"/>
      <c r="H13" s="1340"/>
      <c r="I13" s="1340"/>
      <c r="J13" s="1340"/>
      <c r="K13" s="1340"/>
      <c r="L13" s="1337"/>
      <c r="M13" s="1340"/>
    </row>
    <row r="14" spans="2:14" ht="20.100000000000001" customHeight="1" x14ac:dyDescent="0.2">
      <c r="B14" s="1334" t="s">
        <v>2146</v>
      </c>
      <c r="C14" s="1338">
        <v>10.555999999999999</v>
      </c>
      <c r="D14" s="1339" t="s">
        <v>2097</v>
      </c>
      <c r="E14" s="1340">
        <v>8525</v>
      </c>
      <c r="F14" s="1340"/>
      <c r="G14" s="1340">
        <v>8525</v>
      </c>
      <c r="H14" s="1340"/>
      <c r="I14" s="1340"/>
      <c r="J14" s="1340"/>
      <c r="K14" s="1340"/>
      <c r="L14" s="1337">
        <f>G14</f>
        <v>8525</v>
      </c>
      <c r="M14" s="1340" t="s">
        <v>2093</v>
      </c>
    </row>
    <row r="15" spans="2:14" ht="20.100000000000001" customHeight="1" x14ac:dyDescent="0.2">
      <c r="B15" s="1334" t="s">
        <v>2146</v>
      </c>
      <c r="C15" s="1338">
        <v>10.555999999999999</v>
      </c>
      <c r="D15" s="1339" t="s">
        <v>2098</v>
      </c>
      <c r="E15" s="1340">
        <v>50580</v>
      </c>
      <c r="F15" s="1340">
        <v>6803</v>
      </c>
      <c r="G15" s="1340">
        <v>50580</v>
      </c>
      <c r="H15" s="1340"/>
      <c r="I15" s="1340">
        <v>6803</v>
      </c>
      <c r="J15" s="1340"/>
      <c r="K15" s="1340"/>
      <c r="L15" s="1337">
        <f>G15+I15</f>
        <v>57383</v>
      </c>
      <c r="M15" s="1340" t="s">
        <v>2093</v>
      </c>
    </row>
    <row r="16" spans="2:14" ht="20.100000000000001" customHeight="1" x14ac:dyDescent="0.2">
      <c r="B16" s="1334" t="s">
        <v>2146</v>
      </c>
      <c r="C16" s="1338">
        <v>10.555999999999999</v>
      </c>
      <c r="D16" s="1339" t="s">
        <v>2099</v>
      </c>
      <c r="E16" s="1340"/>
      <c r="F16" s="1340">
        <v>42445</v>
      </c>
      <c r="G16" s="1340"/>
      <c r="H16" s="1340"/>
      <c r="I16" s="1340">
        <v>42445</v>
      </c>
      <c r="J16" s="1340"/>
      <c r="K16" s="1340"/>
      <c r="L16" s="1337">
        <f>I16</f>
        <v>42445</v>
      </c>
      <c r="M16" s="1340" t="s">
        <v>2093</v>
      </c>
    </row>
    <row r="17" spans="2:13" ht="20.100000000000001" customHeight="1" x14ac:dyDescent="0.2">
      <c r="B17" s="1334" t="s">
        <v>2100</v>
      </c>
      <c r="C17" s="1338"/>
      <c r="D17" s="1339"/>
      <c r="E17" s="1340">
        <f>SUM(E14:E16)</f>
        <v>59105</v>
      </c>
      <c r="F17" s="1340">
        <f>SUM(F15:F16)</f>
        <v>49248</v>
      </c>
      <c r="G17" s="1340">
        <f>SUM(G14:G16)</f>
        <v>59105</v>
      </c>
      <c r="H17" s="1340"/>
      <c r="I17" s="1340">
        <f>SUM(I15:I16)</f>
        <v>49248</v>
      </c>
      <c r="J17" s="1340"/>
      <c r="K17" s="1340"/>
      <c r="L17" s="1337"/>
      <c r="M17" s="1340"/>
    </row>
    <row r="18" spans="2:13" ht="20.100000000000001" customHeight="1" x14ac:dyDescent="0.2">
      <c r="B18" s="1334"/>
      <c r="C18" s="1338"/>
      <c r="D18" s="1339"/>
      <c r="E18" s="1340"/>
      <c r="F18" s="1340"/>
      <c r="G18" s="1340"/>
      <c r="H18" s="1340"/>
      <c r="I18" s="1340"/>
      <c r="J18" s="1340"/>
      <c r="K18" s="1340"/>
      <c r="L18" s="1337"/>
      <c r="M18" s="1340"/>
    </row>
    <row r="19" spans="2:13" ht="20.100000000000001" customHeight="1" x14ac:dyDescent="0.2">
      <c r="B19" s="1334"/>
      <c r="C19" s="1338"/>
      <c r="D19" s="1339"/>
      <c r="E19" s="1340"/>
      <c r="F19" s="1340"/>
      <c r="G19" s="1340"/>
      <c r="H19" s="1340"/>
      <c r="I19" s="1340"/>
      <c r="J19" s="1340"/>
      <c r="K19" s="1340"/>
      <c r="L19" s="1337"/>
      <c r="M19" s="1340"/>
    </row>
    <row r="20" spans="2:13" ht="20.100000000000001" customHeight="1" x14ac:dyDescent="0.2">
      <c r="B20" s="1334" t="s">
        <v>2101</v>
      </c>
      <c r="C20" s="1338"/>
      <c r="D20" s="1339"/>
      <c r="E20" s="1340"/>
      <c r="F20" s="1340"/>
      <c r="G20" s="1340"/>
      <c r="H20" s="1340"/>
      <c r="I20" s="1340"/>
      <c r="J20" s="1340"/>
      <c r="K20" s="1340"/>
      <c r="L20" s="1337"/>
      <c r="M20" s="1340"/>
    </row>
    <row r="21" spans="2:13" ht="20.100000000000001" customHeight="1" x14ac:dyDescent="0.2">
      <c r="B21" s="1334" t="s">
        <v>2095</v>
      </c>
      <c r="C21" s="1338"/>
      <c r="D21" s="1339"/>
      <c r="E21" s="1340"/>
      <c r="F21" s="1340"/>
      <c r="G21" s="1340"/>
      <c r="H21" s="1340"/>
      <c r="I21" s="1340"/>
      <c r="J21" s="1340"/>
      <c r="K21" s="1340"/>
      <c r="L21" s="1337"/>
      <c r="M21" s="1340"/>
    </row>
    <row r="22" spans="2:13" ht="20.100000000000001" customHeight="1" x14ac:dyDescent="0.2">
      <c r="B22" s="1334" t="s">
        <v>2121</v>
      </c>
      <c r="C22" s="1338" t="s">
        <v>2091</v>
      </c>
      <c r="D22" s="1339" t="s">
        <v>2103</v>
      </c>
      <c r="E22" s="1340">
        <v>48313</v>
      </c>
      <c r="F22" s="1340"/>
      <c r="G22" s="1340">
        <v>48313</v>
      </c>
      <c r="H22" s="1340"/>
      <c r="I22" s="1340"/>
      <c r="J22" s="1340"/>
      <c r="K22" s="1340"/>
      <c r="L22" s="1337">
        <f>G22</f>
        <v>48313</v>
      </c>
      <c r="M22" s="1340">
        <v>862304</v>
      </c>
    </row>
    <row r="23" spans="2:13" ht="20.100000000000001" customHeight="1" x14ac:dyDescent="0.2">
      <c r="B23" s="1334" t="s">
        <v>2121</v>
      </c>
      <c r="C23" s="1338" t="s">
        <v>2091</v>
      </c>
      <c r="D23" s="1339" t="s">
        <v>2104</v>
      </c>
      <c r="E23" s="1340">
        <v>574014</v>
      </c>
      <c r="F23" s="1940">
        <v>36626</v>
      </c>
      <c r="G23" s="1340">
        <v>574014</v>
      </c>
      <c r="H23" s="1340"/>
      <c r="I23" s="1340">
        <v>36626</v>
      </c>
      <c r="J23" s="1340"/>
      <c r="K23" s="1340"/>
      <c r="L23" s="1337">
        <f>I23+G23</f>
        <v>610640</v>
      </c>
      <c r="M23" s="1340">
        <v>775935</v>
      </c>
    </row>
    <row r="24" spans="2:13" ht="20.100000000000001" customHeight="1" x14ac:dyDescent="0.2">
      <c r="B24" s="1334" t="s">
        <v>2121</v>
      </c>
      <c r="C24" s="1338" t="s">
        <v>2091</v>
      </c>
      <c r="D24" s="1339" t="s">
        <v>2105</v>
      </c>
      <c r="E24" s="1340"/>
      <c r="F24" s="1340">
        <v>708648</v>
      </c>
      <c r="G24" s="1340"/>
      <c r="H24" s="1340"/>
      <c r="I24" s="1340">
        <v>708648</v>
      </c>
      <c r="J24" s="1340"/>
      <c r="K24" s="1340"/>
      <c r="L24" s="1337">
        <f>I24</f>
        <v>708648</v>
      </c>
      <c r="M24" s="1940">
        <v>759883</v>
      </c>
    </row>
    <row r="25" spans="2:13" ht="20.100000000000001" customHeight="1" x14ac:dyDescent="0.2">
      <c r="B25" s="1334" t="s">
        <v>2118</v>
      </c>
      <c r="C25" s="1338" t="s">
        <v>2091</v>
      </c>
      <c r="D25" s="1339" t="s">
        <v>2119</v>
      </c>
      <c r="E25" s="1340"/>
      <c r="F25" s="1340">
        <v>18926</v>
      </c>
      <c r="G25" s="1340"/>
      <c r="H25" s="1340"/>
      <c r="I25" s="1340">
        <v>18926</v>
      </c>
      <c r="J25" s="1340"/>
      <c r="K25" s="1340"/>
      <c r="L25" s="1337">
        <f>I25</f>
        <v>18926</v>
      </c>
      <c r="M25" s="1940">
        <v>37544</v>
      </c>
    </row>
    <row r="26" spans="2:13" ht="20.100000000000001" customHeight="1" x14ac:dyDescent="0.2">
      <c r="B26" s="1334" t="s">
        <v>758</v>
      </c>
      <c r="C26" s="1338" t="s">
        <v>2102</v>
      </c>
      <c r="D26" s="1339" t="s">
        <v>2106</v>
      </c>
      <c r="E26" s="1340">
        <v>2227</v>
      </c>
      <c r="F26" s="1340"/>
      <c r="G26" s="1340">
        <v>2227</v>
      </c>
      <c r="H26" s="1340"/>
      <c r="I26" s="1340"/>
      <c r="J26" s="1340"/>
      <c r="K26" s="1340"/>
      <c r="L26" s="1337">
        <f>G26+I26</f>
        <v>2227</v>
      </c>
      <c r="M26" s="1340">
        <v>136852</v>
      </c>
    </row>
    <row r="27" spans="2:13" ht="20.100000000000001" customHeight="1" x14ac:dyDescent="0.2">
      <c r="B27" s="1334" t="s">
        <v>758</v>
      </c>
      <c r="C27" s="1338" t="s">
        <v>2102</v>
      </c>
      <c r="D27" s="1339" t="s">
        <v>2107</v>
      </c>
      <c r="E27" s="1340">
        <v>68473</v>
      </c>
      <c r="F27" s="1340">
        <v>28092</v>
      </c>
      <c r="G27" s="1340">
        <v>68473</v>
      </c>
      <c r="H27" s="1340"/>
      <c r="I27" s="1340">
        <v>28092</v>
      </c>
      <c r="J27" s="1340"/>
      <c r="K27" s="1340"/>
      <c r="L27" s="1337">
        <f>G27+I27</f>
        <v>96565</v>
      </c>
      <c r="M27" s="1340">
        <v>147997</v>
      </c>
    </row>
    <row r="28" spans="2:13" ht="20.100000000000001" customHeight="1" x14ac:dyDescent="0.2">
      <c r="B28" s="1334" t="s">
        <v>758</v>
      </c>
      <c r="C28" s="1338" t="s">
        <v>2102</v>
      </c>
      <c r="D28" s="1339" t="s">
        <v>2108</v>
      </c>
      <c r="E28" s="1340"/>
      <c r="F28" s="1340">
        <v>94597</v>
      </c>
      <c r="G28" s="1340"/>
      <c r="H28" s="1340"/>
      <c r="I28" s="1340">
        <v>94597</v>
      </c>
      <c r="J28" s="1340"/>
      <c r="K28" s="1340"/>
      <c r="L28" s="1337">
        <f>I28</f>
        <v>94597</v>
      </c>
      <c r="M28" s="1940">
        <v>189618</v>
      </c>
    </row>
    <row r="29" spans="2:13" ht="20.100000000000001" customHeight="1" x14ac:dyDescent="0.2">
      <c r="B29" s="1334" t="s">
        <v>2109</v>
      </c>
      <c r="C29" s="1338" t="s">
        <v>2111</v>
      </c>
      <c r="D29" s="1339" t="s">
        <v>2113</v>
      </c>
      <c r="E29" s="1340">
        <v>2319</v>
      </c>
      <c r="F29" s="1340"/>
      <c r="G29" s="1340">
        <v>2319</v>
      </c>
      <c r="H29" s="1340"/>
      <c r="I29" s="1340"/>
      <c r="J29" s="1340"/>
      <c r="K29" s="1340"/>
      <c r="L29" s="1337">
        <f>G29+I29</f>
        <v>2319</v>
      </c>
      <c r="M29" s="1340">
        <v>59732</v>
      </c>
    </row>
    <row r="30" spans="2:13" ht="20.100000000000001" customHeight="1" x14ac:dyDescent="0.2">
      <c r="B30" s="1334" t="s">
        <v>2109</v>
      </c>
      <c r="C30" s="1338" t="s">
        <v>2111</v>
      </c>
      <c r="D30" s="1339" t="s">
        <v>2114</v>
      </c>
      <c r="E30" s="1340">
        <v>62012</v>
      </c>
      <c r="F30" s="1340">
        <v>7865</v>
      </c>
      <c r="G30" s="1340">
        <v>62012</v>
      </c>
      <c r="H30" s="1340"/>
      <c r="I30" s="1340">
        <v>7865</v>
      </c>
      <c r="J30" s="1340"/>
      <c r="K30" s="1340"/>
      <c r="L30" s="1337">
        <f>G30+I30</f>
        <v>69877</v>
      </c>
      <c r="M30" s="1340">
        <v>83412</v>
      </c>
    </row>
    <row r="31" spans="2:13" ht="20.100000000000001" customHeight="1" x14ac:dyDescent="0.2">
      <c r="B31" s="1334" t="s">
        <v>2109</v>
      </c>
      <c r="C31" s="1338" t="s">
        <v>2111</v>
      </c>
      <c r="D31" s="1339" t="s">
        <v>2115</v>
      </c>
      <c r="E31" s="1340"/>
      <c r="F31" s="1340">
        <v>71595</v>
      </c>
      <c r="G31" s="1340"/>
      <c r="H31" s="1340"/>
      <c r="I31" s="1340">
        <v>71595</v>
      </c>
      <c r="J31" s="1340"/>
      <c r="K31" s="1340"/>
      <c r="L31" s="1337">
        <f>G31+I31</f>
        <v>71595</v>
      </c>
      <c r="M31" s="1940">
        <v>78935</v>
      </c>
    </row>
    <row r="32" spans="2:13" ht="20.100000000000001" customHeight="1" x14ac:dyDescent="0.2">
      <c r="B32" s="1334" t="s">
        <v>2110</v>
      </c>
      <c r="C32" s="1338" t="s">
        <v>2112</v>
      </c>
      <c r="D32" s="1339" t="s">
        <v>2116</v>
      </c>
      <c r="E32" s="1340">
        <v>5514</v>
      </c>
      <c r="F32" s="1340"/>
      <c r="G32" s="1340">
        <v>5514</v>
      </c>
      <c r="H32" s="1340"/>
      <c r="I32" s="1340"/>
      <c r="J32" s="1340"/>
      <c r="K32" s="1340"/>
      <c r="L32" s="1337">
        <f>G32+I32</f>
        <v>5514</v>
      </c>
      <c r="M32" s="1340">
        <v>19015</v>
      </c>
    </row>
    <row r="33" spans="2:13" ht="20.100000000000001" customHeight="1" x14ac:dyDescent="0.2">
      <c r="B33" s="1334" t="s">
        <v>2110</v>
      </c>
      <c r="C33" s="1338" t="s">
        <v>2112</v>
      </c>
      <c r="D33" s="1339" t="s">
        <v>2117</v>
      </c>
      <c r="E33" s="1340"/>
      <c r="F33" s="1340">
        <v>41071</v>
      </c>
      <c r="G33" s="1340"/>
      <c r="H33" s="1340"/>
      <c r="I33" s="1340">
        <v>41071</v>
      </c>
      <c r="J33" s="1340"/>
      <c r="K33" s="1340"/>
      <c r="L33" s="1337">
        <f>I33</f>
        <v>41071</v>
      </c>
      <c r="M33" s="1940">
        <v>60820</v>
      </c>
    </row>
    <row r="34" spans="2:13" ht="20.100000000000001" customHeight="1" x14ac:dyDescent="0.2">
      <c r="B34" s="1334" t="s">
        <v>2120</v>
      </c>
      <c r="C34" s="1338"/>
      <c r="D34" s="1339"/>
      <c r="E34" s="1340"/>
      <c r="F34" s="1340"/>
      <c r="G34" s="1340"/>
      <c r="H34" s="1340"/>
      <c r="I34" s="1340"/>
      <c r="J34" s="1340"/>
      <c r="K34" s="1340"/>
      <c r="L34" s="1337"/>
      <c r="M34" s="1340"/>
    </row>
    <row r="35" spans="2:13" ht="20.100000000000001" customHeight="1" x14ac:dyDescent="0.2">
      <c r="B35" s="1334" t="s">
        <v>2122</v>
      </c>
      <c r="C35" s="1338" t="s">
        <v>2124</v>
      </c>
      <c r="D35" s="1339" t="s">
        <v>2126</v>
      </c>
      <c r="E35" s="1340">
        <v>43214</v>
      </c>
      <c r="F35" s="1340"/>
      <c r="G35" s="1340">
        <v>43214</v>
      </c>
      <c r="H35" s="1340"/>
      <c r="I35" s="1340"/>
      <c r="J35" s="1340"/>
      <c r="K35" s="1340"/>
      <c r="L35" s="1337">
        <f>G35+I35</f>
        <v>43214</v>
      </c>
      <c r="M35" s="1340">
        <v>43214</v>
      </c>
    </row>
    <row r="36" spans="2:13" ht="20.100000000000001" customHeight="1" x14ac:dyDescent="0.2">
      <c r="B36" s="1334" t="s">
        <v>2122</v>
      </c>
      <c r="C36" s="1338" t="s">
        <v>2124</v>
      </c>
      <c r="D36" s="1339" t="s">
        <v>2127</v>
      </c>
      <c r="E36" s="1340"/>
      <c r="F36" s="1340">
        <v>48155</v>
      </c>
      <c r="G36" s="1340"/>
      <c r="H36" s="1340"/>
      <c r="I36" s="1340">
        <v>48155</v>
      </c>
      <c r="J36" s="1340"/>
      <c r="K36" s="1340"/>
      <c r="L36" s="1337">
        <f t="shared" ref="L36:L49" si="0">+G36+I36+K36</f>
        <v>48155</v>
      </c>
      <c r="M36" s="1940">
        <v>48155</v>
      </c>
    </row>
    <row r="37" spans="2:13" ht="20.100000000000001" customHeight="1" x14ac:dyDescent="0.2">
      <c r="B37" s="1334" t="s">
        <v>2123</v>
      </c>
      <c r="C37" s="1338" t="s">
        <v>2125</v>
      </c>
      <c r="D37" s="1339" t="s">
        <v>2128</v>
      </c>
      <c r="E37" s="1340">
        <v>1076075</v>
      </c>
      <c r="F37" s="1340"/>
      <c r="G37" s="1340">
        <v>1076075</v>
      </c>
      <c r="H37" s="1340"/>
      <c r="I37" s="1340"/>
      <c r="J37" s="1340"/>
      <c r="K37" s="1340"/>
      <c r="L37" s="1337">
        <f t="shared" si="0"/>
        <v>1076075</v>
      </c>
      <c r="M37" s="1340">
        <v>1156622</v>
      </c>
    </row>
    <row r="38" spans="2:13" ht="20.100000000000001" customHeight="1" x14ac:dyDescent="0.2">
      <c r="B38" s="1334" t="s">
        <v>2123</v>
      </c>
      <c r="C38" s="1338" t="s">
        <v>2125</v>
      </c>
      <c r="D38" s="1339" t="s">
        <v>2129</v>
      </c>
      <c r="E38" s="1340"/>
      <c r="F38" s="1340">
        <v>1126978</v>
      </c>
      <c r="G38" s="1340"/>
      <c r="H38" s="1340"/>
      <c r="I38" s="1340">
        <v>1126978</v>
      </c>
      <c r="J38" s="1340"/>
      <c r="K38" s="1340"/>
      <c r="L38" s="1337">
        <f t="shared" si="0"/>
        <v>1126978</v>
      </c>
      <c r="M38" s="1940">
        <v>1196237</v>
      </c>
    </row>
    <row r="39" spans="2:13" ht="20.100000000000001" customHeight="1" x14ac:dyDescent="0.2">
      <c r="B39" s="1334" t="s">
        <v>2131</v>
      </c>
      <c r="C39" s="1338"/>
      <c r="D39" s="1339"/>
      <c r="E39" s="1340">
        <f>SUM(E35:E38)</f>
        <v>1119289</v>
      </c>
      <c r="F39" s="1340">
        <f>SUM(F35:F38)</f>
        <v>1175133</v>
      </c>
      <c r="G39" s="1340">
        <f>SUM(G35:G38)</f>
        <v>1119289</v>
      </c>
      <c r="H39" s="1340"/>
      <c r="I39" s="1340">
        <f>SUM(I35:I38)</f>
        <v>1175133</v>
      </c>
      <c r="J39" s="1340"/>
      <c r="K39" s="1340"/>
      <c r="L39" s="1337"/>
      <c r="M39" s="1340"/>
    </row>
    <row r="40" spans="2:13" ht="20.100000000000001" customHeight="1" x14ac:dyDescent="0.2">
      <c r="B40" s="1334" t="s">
        <v>2132</v>
      </c>
      <c r="C40" s="1338"/>
      <c r="D40" s="1339"/>
      <c r="E40" s="1340">
        <f>SUM(E22:E37)</f>
        <v>1882161</v>
      </c>
      <c r="F40" s="1340">
        <f>SUM(F22:F38)</f>
        <v>2182553</v>
      </c>
      <c r="G40" s="1340">
        <f>SUM(G22:G38)</f>
        <v>1882161</v>
      </c>
      <c r="H40" s="1340"/>
      <c r="I40" s="1340">
        <f>SUM(I23:I38)</f>
        <v>2182553</v>
      </c>
      <c r="J40" s="1340"/>
      <c r="K40" s="1340"/>
      <c r="L40" s="1337"/>
      <c r="M40" s="1340"/>
    </row>
    <row r="41" spans="2:13" ht="20.100000000000001" customHeight="1" x14ac:dyDescent="0.2">
      <c r="B41" s="1334"/>
      <c r="C41" s="1338"/>
      <c r="D41" s="1339"/>
      <c r="E41" s="1340"/>
      <c r="F41" s="1340"/>
      <c r="G41" s="1340"/>
      <c r="H41" s="1340"/>
      <c r="I41" s="1340"/>
      <c r="J41" s="1340"/>
      <c r="K41" s="1340"/>
      <c r="L41" s="1337"/>
      <c r="M41" s="1340"/>
    </row>
    <row r="42" spans="2:13" ht="20.100000000000001" customHeight="1" x14ac:dyDescent="0.2">
      <c r="B42" s="1334" t="s">
        <v>2133</v>
      </c>
      <c r="C42" s="1338"/>
      <c r="D42" s="1339"/>
      <c r="E42" s="1340"/>
      <c r="F42" s="1340"/>
      <c r="G42" s="1340"/>
      <c r="H42" s="1340"/>
      <c r="I42" s="1340"/>
      <c r="J42" s="1340"/>
      <c r="K42" s="1340"/>
      <c r="L42" s="1337"/>
      <c r="M42" s="1340"/>
    </row>
    <row r="43" spans="2:13" ht="20.100000000000001" customHeight="1" x14ac:dyDescent="0.2">
      <c r="B43" s="1334" t="s">
        <v>2134</v>
      </c>
      <c r="C43" s="1338"/>
      <c r="D43" s="1339"/>
      <c r="E43" s="1340"/>
      <c r="F43" s="1340"/>
      <c r="G43" s="1340"/>
      <c r="H43" s="1340"/>
      <c r="I43" s="1340"/>
      <c r="J43" s="1340"/>
      <c r="K43" s="1340"/>
      <c r="L43" s="1337"/>
      <c r="M43" s="1340"/>
    </row>
    <row r="44" spans="2:13" ht="20.100000000000001" customHeight="1" x14ac:dyDescent="0.2">
      <c r="B44" s="1334" t="s">
        <v>2135</v>
      </c>
      <c r="C44" s="1338"/>
      <c r="D44" s="1339"/>
      <c r="E44" s="1340"/>
      <c r="F44" s="1340"/>
      <c r="G44" s="1340"/>
      <c r="H44" s="1340"/>
      <c r="I44" s="1340"/>
      <c r="J44" s="1340"/>
      <c r="K44" s="1340"/>
      <c r="L44" s="1337"/>
      <c r="M44" s="1340"/>
    </row>
    <row r="45" spans="2:13" ht="20.100000000000001" customHeight="1" x14ac:dyDescent="0.2">
      <c r="B45" s="1334" t="s">
        <v>2136</v>
      </c>
      <c r="C45" s="1338">
        <v>93.778000000000006</v>
      </c>
      <c r="D45" s="1339" t="s">
        <v>2139</v>
      </c>
      <c r="E45" s="1340">
        <v>74722</v>
      </c>
      <c r="F45" s="1340"/>
      <c r="G45" s="1340">
        <v>74722</v>
      </c>
      <c r="H45" s="1340"/>
      <c r="I45" s="1340"/>
      <c r="J45" s="1340"/>
      <c r="K45" s="1340"/>
      <c r="L45" s="1337">
        <f t="shared" si="0"/>
        <v>74722</v>
      </c>
      <c r="M45" s="1340" t="s">
        <v>2093</v>
      </c>
    </row>
    <row r="46" spans="2:13" ht="20.100000000000001" customHeight="1" x14ac:dyDescent="0.2">
      <c r="B46" s="1334" t="s">
        <v>2136</v>
      </c>
      <c r="C46" s="1338">
        <v>93.778000000000006</v>
      </c>
      <c r="D46" s="1339" t="s">
        <v>2140</v>
      </c>
      <c r="E46" s="1340"/>
      <c r="F46" s="1340">
        <v>69649</v>
      </c>
      <c r="G46" s="1340"/>
      <c r="H46" s="1340"/>
      <c r="I46" s="1340">
        <v>69649</v>
      </c>
      <c r="J46" s="1340"/>
      <c r="K46" s="1340"/>
      <c r="L46" s="1337">
        <f t="shared" si="0"/>
        <v>69649</v>
      </c>
      <c r="M46" s="1340" t="s">
        <v>2093</v>
      </c>
    </row>
    <row r="47" spans="2:13" ht="20.100000000000001" customHeight="1" x14ac:dyDescent="0.2">
      <c r="B47" s="1334" t="s">
        <v>2137</v>
      </c>
      <c r="C47" s="1338"/>
      <c r="D47" s="1339"/>
      <c r="E47" s="1340">
        <f>SUM(E45:E46)</f>
        <v>74722</v>
      </c>
      <c r="F47" s="1340">
        <f>SUM(F46)</f>
        <v>69649</v>
      </c>
      <c r="G47" s="1340">
        <f>SUM(G45:G46)</f>
        <v>74722</v>
      </c>
      <c r="H47" s="1340"/>
      <c r="I47" s="1340">
        <f>SUM(I45:I46)</f>
        <v>69649</v>
      </c>
      <c r="J47" s="1340"/>
      <c r="K47" s="1340"/>
      <c r="L47" s="1337"/>
      <c r="M47" s="1340"/>
    </row>
    <row r="48" spans="2:13" ht="20.100000000000001" customHeight="1" x14ac:dyDescent="0.2">
      <c r="B48" s="1334"/>
      <c r="C48" s="1338"/>
      <c r="D48" s="1339"/>
      <c r="E48" s="1340"/>
      <c r="F48" s="1340"/>
      <c r="G48" s="1340"/>
      <c r="H48" s="1340"/>
      <c r="I48" s="1340"/>
      <c r="J48" s="1340"/>
      <c r="K48" s="1340"/>
      <c r="L48" s="1337"/>
      <c r="M48" s="1340"/>
    </row>
    <row r="49" spans="2:14" ht="20.100000000000001" customHeight="1" x14ac:dyDescent="0.2">
      <c r="B49" s="1334" t="s">
        <v>2138</v>
      </c>
      <c r="C49" s="1338"/>
      <c r="D49" s="1339"/>
      <c r="E49" s="1340">
        <f>E47+E40+E17</f>
        <v>2015988</v>
      </c>
      <c r="F49" s="1340">
        <f>F47+F40+F17</f>
        <v>2301450</v>
      </c>
      <c r="G49" s="1340">
        <f>G47+G40+G17</f>
        <v>2015988</v>
      </c>
      <c r="H49" s="1340"/>
      <c r="I49" s="1340">
        <f>I47+I40+I17</f>
        <v>2301450</v>
      </c>
      <c r="J49" s="1340"/>
      <c r="K49" s="1340"/>
      <c r="L49" s="1337">
        <f t="shared" si="0"/>
        <v>4317438</v>
      </c>
      <c r="M49" s="1340"/>
      <c r="N49" s="1341"/>
    </row>
    <row r="50" spans="2:14" ht="12.75" customHeight="1" x14ac:dyDescent="0.2">
      <c r="B50" s="1342"/>
      <c r="C50" s="1343"/>
      <c r="D50" s="1344"/>
      <c r="E50" s="1345"/>
      <c r="F50" s="1345"/>
      <c r="G50" s="1345"/>
      <c r="H50" s="1345"/>
      <c r="I50" s="1345"/>
      <c r="J50" s="1345"/>
      <c r="K50" s="1345"/>
      <c r="L50" s="1345"/>
      <c r="M50" s="1345"/>
      <c r="N50" s="1341"/>
    </row>
    <row r="51" spans="2:14" x14ac:dyDescent="0.2">
      <c r="B51" s="1254"/>
      <c r="C51" s="1346"/>
      <c r="D51" s="1347"/>
      <c r="E51" s="1254"/>
      <c r="F51" s="1254"/>
      <c r="G51" s="1247"/>
      <c r="H51" s="1247"/>
      <c r="I51" s="1247"/>
      <c r="J51" s="1247"/>
      <c r="K51" s="1247"/>
      <c r="L51" s="1247"/>
      <c r="M51" s="1254"/>
      <c r="N51" s="1341"/>
    </row>
    <row r="52" spans="2:14" ht="13.5" customHeight="1" x14ac:dyDescent="0.2">
      <c r="B52" s="1279" t="s">
        <v>1734</v>
      </c>
      <c r="C52" s="1346"/>
      <c r="D52" s="1347"/>
      <c r="E52" s="1254"/>
      <c r="F52" s="1254"/>
      <c r="G52" s="1247"/>
      <c r="H52" s="1247"/>
      <c r="I52" s="1247"/>
      <c r="J52" s="1247"/>
      <c r="K52" s="1247"/>
      <c r="L52" s="1247"/>
      <c r="M52" s="1254"/>
      <c r="N52" s="1341"/>
    </row>
    <row r="53" spans="2:14" ht="8.25" customHeight="1" x14ac:dyDescent="0.2">
      <c r="B53" s="1279"/>
      <c r="C53" s="1346"/>
      <c r="D53" s="1347"/>
      <c r="E53" s="1254"/>
      <c r="F53" s="1254"/>
      <c r="G53" s="1247"/>
      <c r="H53" s="1247"/>
      <c r="I53" s="1247"/>
      <c r="J53" s="1247"/>
      <c r="K53" s="1247"/>
      <c r="L53" s="1247"/>
      <c r="M53" s="1254"/>
      <c r="N53" s="1341"/>
    </row>
    <row r="54" spans="2:14" x14ac:dyDescent="0.2">
      <c r="B54" s="1348" t="s">
        <v>1837</v>
      </c>
      <c r="C54" s="1349"/>
      <c r="D54" s="1350"/>
      <c r="E54" s="1351"/>
      <c r="F54" s="1351"/>
      <c r="G54" s="1351"/>
      <c r="H54" s="1351"/>
      <c r="I54" s="317"/>
      <c r="J54" s="317"/>
    </row>
    <row r="55" spans="2:14" x14ac:dyDescent="0.2">
      <c r="B55" s="1274"/>
      <c r="C55" s="1352"/>
      <c r="D55" s="1353"/>
      <c r="E55" s="1275"/>
      <c r="F55" s="1275"/>
      <c r="G55" s="317"/>
      <c r="H55" s="317"/>
      <c r="I55" s="317"/>
      <c r="J55" s="317"/>
    </row>
    <row r="56" spans="2:14" ht="13.5" customHeight="1" x14ac:dyDescent="0.2">
      <c r="B56" s="1273" t="s">
        <v>1246</v>
      </c>
      <c r="G56" s="317"/>
      <c r="H56" s="317"/>
      <c r="I56" s="317"/>
      <c r="J56" s="317"/>
    </row>
    <row r="57" spans="2:14" ht="13.5" customHeight="1" x14ac:dyDescent="0.2">
      <c r="B57" s="1356"/>
      <c r="C57" s="1357"/>
      <c r="D57" s="1358"/>
      <c r="E57" s="1294"/>
      <c r="F57" s="1294"/>
      <c r="G57" s="1294"/>
      <c r="H57" s="1294"/>
      <c r="I57" s="1294"/>
      <c r="J57" s="1294"/>
      <c r="K57" s="1359"/>
      <c r="L57" s="1359"/>
      <c r="M57" s="1294"/>
    </row>
    <row r="58" spans="2:14" ht="9.6" customHeight="1" x14ac:dyDescent="0.2">
      <c r="B58" s="1360"/>
      <c r="G58" s="317"/>
      <c r="H58" s="317"/>
      <c r="I58" s="317"/>
      <c r="J58" s="317"/>
    </row>
    <row r="59" spans="2:14" ht="11.25" customHeight="1" x14ac:dyDescent="0.2">
      <c r="B59" s="1361" t="s">
        <v>1735</v>
      </c>
      <c r="C59" s="1362"/>
      <c r="D59" s="1362"/>
      <c r="E59" s="1362"/>
      <c r="F59" s="1362"/>
      <c r="G59" s="1362"/>
      <c r="H59" s="1362"/>
      <c r="I59" s="1363"/>
      <c r="J59" s="1363"/>
      <c r="K59" s="1363"/>
      <c r="L59" s="1363"/>
      <c r="M59" s="1363"/>
    </row>
    <row r="60" spans="2:14" ht="11.25" customHeight="1" x14ac:dyDescent="0.2">
      <c r="B60" s="1364" t="s">
        <v>1584</v>
      </c>
      <c r="C60" s="1363"/>
      <c r="D60" s="1363"/>
      <c r="E60" s="1363"/>
      <c r="F60" s="1363"/>
      <c r="G60" s="1363"/>
      <c r="H60" s="1363"/>
      <c r="I60" s="1363"/>
      <c r="J60" s="1363"/>
      <c r="K60" s="1363"/>
      <c r="L60" s="1363"/>
      <c r="M60" s="1363"/>
    </row>
    <row r="61" spans="2:14" ht="3.95" customHeight="1" x14ac:dyDescent="0.2">
      <c r="B61" s="1364"/>
      <c r="C61" s="1363"/>
      <c r="D61" s="1363"/>
      <c r="E61" s="1363"/>
      <c r="F61" s="1363"/>
      <c r="G61" s="1363"/>
      <c r="H61" s="1363"/>
      <c r="I61" s="1363"/>
      <c r="J61" s="1363"/>
      <c r="K61" s="1363"/>
      <c r="L61" s="1363"/>
      <c r="M61" s="1363"/>
    </row>
    <row r="62" spans="2:14" ht="11.25" customHeight="1" x14ac:dyDescent="0.2">
      <c r="B62" s="1361" t="s">
        <v>1736</v>
      </c>
      <c r="C62" s="1363"/>
      <c r="D62" s="1363"/>
      <c r="E62" s="1363"/>
      <c r="F62" s="1363"/>
      <c r="G62" s="1363"/>
      <c r="H62" s="1363"/>
      <c r="I62" s="1363"/>
      <c r="J62" s="1363"/>
      <c r="K62" s="1363"/>
      <c r="L62" s="1363"/>
      <c r="M62" s="1363"/>
    </row>
    <row r="63" spans="2:14" ht="11.25" customHeight="1" x14ac:dyDescent="0.2">
      <c r="B63" s="1297" t="s">
        <v>1585</v>
      </c>
      <c r="C63" s="1365"/>
      <c r="D63" s="1366"/>
      <c r="E63" s="1297"/>
      <c r="F63" s="1297"/>
      <c r="G63" s="1297"/>
      <c r="H63" s="1297"/>
      <c r="I63" s="1297"/>
      <c r="J63" s="1297"/>
      <c r="K63" s="1367"/>
      <c r="L63" s="1367"/>
      <c r="M63" s="1297"/>
    </row>
    <row r="64" spans="2:14" ht="3.95" customHeight="1" x14ac:dyDescent="0.2">
      <c r="B64" s="1297"/>
      <c r="C64" s="1365"/>
      <c r="D64" s="1366"/>
      <c r="E64" s="1297"/>
      <c r="F64" s="1297"/>
      <c r="G64" s="1297"/>
      <c r="H64" s="1297"/>
      <c r="I64" s="1297"/>
      <c r="J64" s="1297"/>
      <c r="K64" s="1367"/>
      <c r="L64" s="1367"/>
      <c r="M64" s="1297"/>
    </row>
    <row r="65" spans="2:13" ht="11.25" customHeight="1" x14ac:dyDescent="0.2">
      <c r="B65" s="1368" t="s">
        <v>1737</v>
      </c>
      <c r="C65" s="1365"/>
      <c r="D65" s="1366"/>
      <c r="E65" s="1297"/>
      <c r="F65" s="1297"/>
      <c r="G65" s="1297"/>
      <c r="H65" s="1297"/>
      <c r="I65" s="1297"/>
      <c r="J65" s="1297"/>
      <c r="K65" s="1367"/>
      <c r="L65" s="1367"/>
      <c r="M65" s="1297"/>
    </row>
    <row r="66" spans="2:13" ht="3.95" customHeight="1" x14ac:dyDescent="0.2">
      <c r="B66" s="1368"/>
      <c r="C66" s="1365"/>
      <c r="D66" s="1366"/>
      <c r="E66" s="1297"/>
      <c r="F66" s="1297"/>
      <c r="G66" s="1297"/>
      <c r="H66" s="1297"/>
      <c r="I66" s="1297"/>
      <c r="J66" s="1297"/>
      <c r="K66" s="1367"/>
      <c r="L66" s="1367"/>
      <c r="M66" s="1297"/>
    </row>
    <row r="67" spans="2:13" ht="11.25" customHeight="1" x14ac:dyDescent="0.2">
      <c r="B67" s="1369" t="s">
        <v>1738</v>
      </c>
      <c r="C67" s="1365"/>
      <c r="D67" s="1366"/>
      <c r="E67" s="1297"/>
      <c r="F67" s="1297"/>
      <c r="G67" s="1297"/>
      <c r="H67" s="1297"/>
      <c r="I67" s="1297"/>
      <c r="J67" s="1297"/>
      <c r="K67" s="1367"/>
      <c r="L67" s="1367"/>
      <c r="M67" s="1297"/>
    </row>
    <row r="68" spans="2:13" ht="11.25" customHeight="1" x14ac:dyDescent="0.2">
      <c r="B68" s="1297" t="s">
        <v>1586</v>
      </c>
      <c r="G68" s="317"/>
      <c r="H68" s="317"/>
      <c r="I68" s="317"/>
      <c r="J68" s="317"/>
    </row>
    <row r="69" spans="2:13" ht="11.1" customHeight="1" x14ac:dyDescent="0.2">
      <c r="B69" s="1297"/>
      <c r="G69" s="317"/>
      <c r="H69" s="317"/>
      <c r="I69" s="317"/>
      <c r="J69" s="317"/>
    </row>
    <row r="70" spans="2:13" ht="11.1" customHeight="1" x14ac:dyDescent="0.2">
      <c r="B70" s="1297"/>
      <c r="G70" s="317"/>
      <c r="H70" s="317"/>
      <c r="I70" s="317"/>
      <c r="J70" s="317"/>
    </row>
    <row r="71" spans="2:13" ht="13.5" customHeight="1" x14ac:dyDescent="0.2">
      <c r="M71" s="1370"/>
    </row>
    <row r="72" spans="2:13" ht="13.5" customHeight="1" x14ac:dyDescent="0.2">
      <c r="M72" s="1370"/>
    </row>
    <row r="73" spans="2:13" ht="13.5" customHeight="1" x14ac:dyDescent="0.2">
      <c r="M73" s="1370"/>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4"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Orland SD 135</v>
      </c>
      <c r="B1" s="2449"/>
      <c r="C1" s="2449"/>
      <c r="D1" s="2449"/>
      <c r="E1" s="2449"/>
      <c r="F1" s="2449"/>
    </row>
    <row r="2" spans="1:7" ht="13.5" customHeight="1" x14ac:dyDescent="0.2">
      <c r="A2" s="2437">
        <f>'Single Audit Cover'!E7</f>
        <v>7016135002</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2130</v>
      </c>
      <c r="B7" s="2448"/>
      <c r="C7" s="2448"/>
      <c r="D7" s="2448"/>
      <c r="E7" s="2448"/>
      <c r="F7" s="244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2087</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t="s">
        <v>2088</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2089</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110" zoomScaleNormal="110" workbookViewId="0">
      <selection activeCell="D26" sqref="D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2062</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2062</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36100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v>15372</v>
      </c>
      <c r="I85" s="276"/>
      <c r="J85" s="277">
        <f>SUM(E85:I85)</f>
        <v>15372</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15372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2082</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2147</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42" zoomScale="110" zoomScaleNormal="110" workbookViewId="0">
      <selection activeCell="N49" sqref="N4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Orland SD 135</v>
      </c>
      <c r="C1" s="2464"/>
      <c r="D1" s="2464"/>
      <c r="E1" s="2464"/>
      <c r="F1" s="2464"/>
      <c r="G1" s="2464"/>
      <c r="H1" s="2464"/>
      <c r="I1" s="2464"/>
      <c r="J1" s="1406"/>
    </row>
    <row r="2" spans="2:10" s="317" customFormat="1" ht="12.75" customHeight="1" x14ac:dyDescent="0.2">
      <c r="B2" s="2465">
        <f>'Single Audit Cover'!E7</f>
        <v>7016135002</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t="s">
        <v>2090</v>
      </c>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t="s">
        <v>2090</v>
      </c>
      <c r="E29" s="2470"/>
      <c r="F29" s="2470"/>
      <c r="G29" s="2470"/>
      <c r="H29" s="2470"/>
      <c r="I29" s="247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1" t="s">
        <v>1748</v>
      </c>
      <c r="D37" s="2472"/>
      <c r="E37" s="2472"/>
      <c r="F37" s="2473"/>
      <c r="G37" s="2471" t="s">
        <v>1592</v>
      </c>
      <c r="H37" s="2472"/>
      <c r="I37" s="2473"/>
    </row>
    <row r="38" spans="2:9" ht="16.5" customHeight="1" x14ac:dyDescent="0.2">
      <c r="B38" s="1428" t="s">
        <v>2091</v>
      </c>
      <c r="C38" s="2459" t="s">
        <v>2092</v>
      </c>
      <c r="D38" s="2460"/>
      <c r="E38" s="2460"/>
      <c r="F38" s="2461"/>
      <c r="G38" s="2474">
        <v>764200</v>
      </c>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764200</v>
      </c>
      <c r="H43" s="2455"/>
      <c r="I43" s="2455"/>
    </row>
    <row r="44" spans="2:9" ht="12.75" customHeight="1" x14ac:dyDescent="0.2"/>
    <row r="45" spans="2:9" ht="12.75" customHeight="1" x14ac:dyDescent="0.2">
      <c r="B45" s="1419" t="s">
        <v>2059</v>
      </c>
      <c r="D45" s="2456">
        <v>2301450</v>
      </c>
      <c r="E45" s="2457"/>
    </row>
    <row r="46" spans="2:9" ht="5.25" customHeight="1" x14ac:dyDescent="0.2">
      <c r="B46" s="1429"/>
      <c r="D46" s="1430"/>
      <c r="E46" s="1431"/>
    </row>
    <row r="47" spans="2:9" ht="12.75" customHeight="1" x14ac:dyDescent="0.2">
      <c r="B47" s="1297" t="s">
        <v>1594</v>
      </c>
      <c r="C47" s="1297"/>
      <c r="D47" s="1432">
        <f>+G43/D45</f>
        <v>0.33205153272936627</v>
      </c>
      <c r="E47" s="1433"/>
      <c r="F47" s="1434"/>
      <c r="I47" s="1435"/>
    </row>
    <row r="48" spans="2:9" ht="9.9499999999999993" customHeight="1" x14ac:dyDescent="0.2"/>
    <row r="49" spans="1:9" x14ac:dyDescent="0.2">
      <c r="B49" s="1365" t="s">
        <v>1273</v>
      </c>
      <c r="C49" s="1279"/>
      <c r="D49" s="1279"/>
      <c r="E49" s="2458">
        <v>750000</v>
      </c>
      <c r="F49" s="2458"/>
      <c r="G49" s="2458"/>
      <c r="H49" s="322"/>
    </row>
    <row r="51" spans="1:9" ht="13.5" customHeight="1" x14ac:dyDescent="0.2">
      <c r="B51" s="1365" t="s">
        <v>1272</v>
      </c>
      <c r="C51" s="1279"/>
      <c r="E51" s="1422" t="s">
        <v>2062</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Orland SD 135</v>
      </c>
      <c r="C1" s="2463"/>
      <c r="D1" s="2463"/>
      <c r="E1" s="2463"/>
      <c r="F1" s="2463"/>
      <c r="G1" s="2463"/>
      <c r="H1" s="2463"/>
      <c r="I1" s="2463"/>
      <c r="J1" s="2463"/>
      <c r="K1" s="2463"/>
      <c r="L1" s="1371"/>
      <c r="M1" s="1371"/>
    </row>
    <row r="2" spans="1:13" ht="12" customHeight="1" x14ac:dyDescent="0.2">
      <c r="B2" s="2465">
        <f>'Single Audit Cover'!E7</f>
        <v>7016135002</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2093</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Orland SD 135</v>
      </c>
      <c r="C1" s="2486"/>
      <c r="D1" s="2486"/>
      <c r="E1" s="2486"/>
      <c r="F1" s="2486"/>
      <c r="G1" s="2486"/>
      <c r="H1" s="2486"/>
      <c r="I1" s="2486"/>
      <c r="J1" s="2486"/>
      <c r="K1" s="2486"/>
      <c r="L1" s="1449"/>
    </row>
    <row r="2" spans="1:12" ht="12.75" customHeight="1" x14ac:dyDescent="0.2">
      <c r="B2" s="2487">
        <f>'Single Audit Cover'!E7</f>
        <v>7016135002</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2093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Orland SD 135</v>
      </c>
      <c r="C1" s="2463"/>
      <c r="D1" s="2463"/>
      <c r="E1" s="1469"/>
    </row>
    <row r="2" spans="2:5" s="1279" customFormat="1" ht="12.75" customHeight="1" x14ac:dyDescent="0.2">
      <c r="B2" s="2465">
        <f>'Single Audit Cover'!E7</f>
        <v>7016135002</v>
      </c>
      <c r="C2" s="2465"/>
      <c r="D2" s="2465"/>
      <c r="E2" s="1470"/>
    </row>
    <row r="3" spans="2:5" ht="12.75" customHeight="1" x14ac:dyDescent="0.2">
      <c r="B3" s="2479" t="s">
        <v>1763</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2088</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6" colorId="8" zoomScale="110" zoomScaleNormal="110" workbookViewId="0">
      <selection activeCell="A24" sqref="A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2162889651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2.5788999999999999E-2</v>
      </c>
      <c r="E10" s="356" t="s">
        <v>1005</v>
      </c>
      <c r="F10" s="355">
        <v>2.493E-3</v>
      </c>
      <c r="G10" s="356" t="s">
        <v>1005</v>
      </c>
      <c r="H10" s="355">
        <v>1.4499999999999999E-3</v>
      </c>
      <c r="I10" s="356" t="s">
        <v>1006</v>
      </c>
      <c r="J10" s="1732">
        <f>ROUND(D10+F10+H10,5)</f>
        <v>2.9729999999999999E-2</v>
      </c>
      <c r="K10" s="222"/>
      <c r="L10" s="355">
        <v>0</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75380796</v>
      </c>
      <c r="E16" s="356"/>
      <c r="F16" s="1733">
        <f>SUM('Acct Summary 7-8'!C17,'Acct Summary 7-8'!D17,'Acct Summary 7-8'!F17)</f>
        <v>77338710</v>
      </c>
      <c r="G16" s="356"/>
      <c r="H16" s="1733">
        <f>SUM(D16-F16)</f>
        <v>-1957914</v>
      </c>
      <c r="I16" s="222"/>
      <c r="J16" s="1733">
        <f>SUM('Acct Summary 7-8'!C81,'Acct Summary 7-8'!D81,'Acct Summary 7-8'!F81,'Acct Summary 7-8'!I81)</f>
        <v>38944627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149239385.919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9886926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2" zoomScale="110" zoomScaleNormal="110" workbookViewId="0">
      <selection activeCell="A24" sqref="A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Orland SD 135</v>
      </c>
      <c r="E7" s="391"/>
      <c r="G7" s="252"/>
      <c r="H7" s="387"/>
      <c r="I7" s="387"/>
      <c r="J7" s="387"/>
      <c r="K7" s="387"/>
      <c r="L7" s="329"/>
      <c r="M7" s="329"/>
      <c r="N7" s="329"/>
      <c r="O7" s="329"/>
      <c r="P7" s="329"/>
    </row>
    <row r="8" spans="1:18" ht="12.75" x14ac:dyDescent="0.2">
      <c r="A8" s="329"/>
      <c r="B8" s="329"/>
      <c r="C8" s="389" t="s">
        <v>1125</v>
      </c>
      <c r="D8" s="392">
        <f>COVER!A13</f>
        <v>7016135002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38944627</v>
      </c>
      <c r="I12" s="404"/>
      <c r="J12" s="404"/>
      <c r="K12" s="405">
        <f>TRUNC((H12/H13*100000),5)/100000</f>
        <v>0.51663857459999996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75380796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77338710</v>
      </c>
      <c r="I17" s="404"/>
      <c r="J17" s="416"/>
      <c r="K17" s="405">
        <f>TRUNC((H17/H18*100000),5)/100000</f>
        <v>1.0259736444999998</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75380796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16.040820699999998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41989110</v>
      </c>
      <c r="I24" s="422"/>
      <c r="J24" s="422"/>
      <c r="K24" s="423">
        <f>TRUNC(((H24/H25*100000)/100000),2)</f>
        <v>195.45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214829.75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54657302.9256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9886926</v>
      </c>
      <c r="I32" s="420"/>
      <c r="J32" s="420"/>
      <c r="K32" s="423">
        <f>TRUNC(100-((((H32/H33*100))*100)/100),2)</f>
        <v>93.37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149239385.919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33" activePane="bottomLeft" state="frozen"/>
      <selection activeCell="A24" sqref="A24"/>
      <selection pane="bottomLeft" activeCell="A24" sqref="A24:B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21939461</v>
      </c>
      <c r="D4" s="466">
        <v>2657354</v>
      </c>
      <c r="E4" s="466">
        <v>434469</v>
      </c>
      <c r="F4" s="466"/>
      <c r="G4" s="466">
        <v>258930</v>
      </c>
      <c r="H4" s="466">
        <v>205197</v>
      </c>
      <c r="I4" s="466">
        <v>17392295</v>
      </c>
      <c r="J4" s="467"/>
      <c r="K4" s="466">
        <v>215231</v>
      </c>
      <c r="L4" s="466">
        <v>183659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29364399</v>
      </c>
      <c r="D6" s="466">
        <v>2796352</v>
      </c>
      <c r="E6" s="466"/>
      <c r="F6" s="466">
        <v>1627480</v>
      </c>
      <c r="G6" s="471">
        <v>1601341</v>
      </c>
      <c r="H6" s="471"/>
      <c r="I6" s="466"/>
      <c r="J6" s="474"/>
      <c r="K6" s="471"/>
      <c r="L6" s="475"/>
      <c r="M6" s="468"/>
      <c r="N6" s="469"/>
    </row>
    <row r="7" spans="1:14" ht="13.5" customHeight="1" x14ac:dyDescent="0.2">
      <c r="A7" s="473" t="s">
        <v>418</v>
      </c>
      <c r="B7" s="470">
        <v>140</v>
      </c>
      <c r="C7" s="476">
        <v>61671</v>
      </c>
      <c r="D7" s="467"/>
      <c r="E7" s="467"/>
      <c r="F7" s="467"/>
      <c r="G7" s="467"/>
      <c r="H7" s="467"/>
      <c r="I7" s="467"/>
      <c r="J7" s="467"/>
      <c r="K7" s="467"/>
      <c r="L7" s="477"/>
      <c r="M7" s="468"/>
      <c r="N7" s="469"/>
    </row>
    <row r="8" spans="1:14" ht="13.5" customHeight="1" x14ac:dyDescent="0.2">
      <c r="A8" s="473" t="s">
        <v>269</v>
      </c>
      <c r="B8" s="470">
        <v>150</v>
      </c>
      <c r="C8" s="476">
        <v>1018774</v>
      </c>
      <c r="D8" s="467"/>
      <c r="E8" s="467"/>
      <c r="F8" s="467">
        <v>959983</v>
      </c>
      <c r="G8" s="478"/>
      <c r="H8" s="467"/>
      <c r="I8" s="474"/>
      <c r="J8" s="474"/>
      <c r="K8" s="479"/>
      <c r="L8" s="480"/>
      <c r="M8" s="468"/>
      <c r="N8" s="469"/>
    </row>
    <row r="9" spans="1:14" ht="13.5" customHeight="1" x14ac:dyDescent="0.2">
      <c r="A9" s="473" t="s">
        <v>270</v>
      </c>
      <c r="B9" s="470">
        <v>160</v>
      </c>
      <c r="C9" s="476"/>
      <c r="D9" s="467"/>
      <c r="E9" s="467"/>
      <c r="F9" s="467"/>
      <c r="G9" s="467"/>
      <c r="H9" s="478"/>
      <c r="I9" s="467">
        <v>111754</v>
      </c>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52384305</v>
      </c>
      <c r="D13" s="1737">
        <f t="shared" ref="D13:L13" si="0">SUM(D4:D12)</f>
        <v>5453706</v>
      </c>
      <c r="E13" s="1737">
        <f t="shared" si="0"/>
        <v>434469</v>
      </c>
      <c r="F13" s="1737">
        <f t="shared" si="0"/>
        <v>2587463</v>
      </c>
      <c r="G13" s="1737">
        <f t="shared" si="0"/>
        <v>1860271</v>
      </c>
      <c r="H13" s="1737">
        <f t="shared" si="0"/>
        <v>205197</v>
      </c>
      <c r="I13" s="1737">
        <f t="shared" si="0"/>
        <v>17504049</v>
      </c>
      <c r="J13" s="1737">
        <f t="shared" si="0"/>
        <v>0</v>
      </c>
      <c r="K13" s="1737">
        <f t="shared" si="0"/>
        <v>215231</v>
      </c>
      <c r="L13" s="1737">
        <f t="shared" si="0"/>
        <v>183659</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458880</v>
      </c>
      <c r="N16" s="484"/>
    </row>
    <row r="17" spans="1:14" s="485" customFormat="1" ht="12.75" customHeight="1" x14ac:dyDescent="0.2">
      <c r="A17" s="482" t="s">
        <v>1403</v>
      </c>
      <c r="B17" s="483">
        <v>230</v>
      </c>
      <c r="C17" s="477"/>
      <c r="D17" s="477"/>
      <c r="E17" s="477"/>
      <c r="F17" s="477"/>
      <c r="G17" s="477"/>
      <c r="H17" s="477"/>
      <c r="I17" s="477"/>
      <c r="J17" s="477"/>
      <c r="K17" s="477"/>
      <c r="L17" s="477"/>
      <c r="M17" s="467">
        <f>72487777-44142799</f>
        <v>28344978</v>
      </c>
      <c r="N17" s="484"/>
    </row>
    <row r="18" spans="1:14" s="485" customFormat="1" ht="12.75" customHeight="1" x14ac:dyDescent="0.2">
      <c r="A18" s="482" t="s">
        <v>1404</v>
      </c>
      <c r="B18" s="483">
        <v>240</v>
      </c>
      <c r="C18" s="477"/>
      <c r="D18" s="477"/>
      <c r="E18" s="477"/>
      <c r="F18" s="477"/>
      <c r="G18" s="477"/>
      <c r="H18" s="477"/>
      <c r="I18" s="477"/>
      <c r="J18" s="477"/>
      <c r="K18" s="477"/>
      <c r="L18" s="477"/>
      <c r="M18" s="467">
        <f>3830898-2407573</f>
        <v>1423325</v>
      </c>
      <c r="N18" s="484"/>
    </row>
    <row r="19" spans="1:14" s="485" customFormat="1" ht="12.75" customHeight="1" x14ac:dyDescent="0.2">
      <c r="A19" s="482" t="s">
        <v>1405</v>
      </c>
      <c r="B19" s="483">
        <v>250</v>
      </c>
      <c r="C19" s="477"/>
      <c r="D19" s="477"/>
      <c r="E19" s="477"/>
      <c r="F19" s="477"/>
      <c r="G19" s="477"/>
      <c r="H19" s="477"/>
      <c r="I19" s="477"/>
      <c r="J19" s="477"/>
      <c r="K19" s="477"/>
      <c r="L19" s="477"/>
      <c r="M19" s="467">
        <f>4909461-3791180</f>
        <v>1118281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434469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9452457</v>
      </c>
    </row>
    <row r="23" spans="1:14" ht="13.5" customHeight="1" thickBot="1" x14ac:dyDescent="0.25">
      <c r="A23" s="1736" t="s">
        <v>643</v>
      </c>
      <c r="B23" s="1741"/>
      <c r="C23" s="468"/>
      <c r="D23" s="468"/>
      <c r="E23" s="468"/>
      <c r="F23" s="468"/>
      <c r="G23" s="468"/>
      <c r="H23" s="468"/>
      <c r="I23" s="468"/>
      <c r="J23" s="468"/>
      <c r="K23" s="468"/>
      <c r="L23" s="468"/>
      <c r="M23" s="1688">
        <f>SUM(M15:M22)</f>
        <v>31345464</v>
      </c>
      <c r="N23" s="1688">
        <f>SUM(N21:N22)</f>
        <v>9886926</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61671</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638463</v>
      </c>
      <c r="D27" s="467">
        <v>44427</v>
      </c>
      <c r="E27" s="467"/>
      <c r="F27" s="467">
        <v>26223</v>
      </c>
      <c r="G27" s="467"/>
      <c r="H27" s="467">
        <v>455230</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3671655</v>
      </c>
      <c r="D30" s="474"/>
      <c r="E30" s="467"/>
      <c r="F30" s="467"/>
      <c r="G30" s="467">
        <v>284</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723287+29364399+15369</f>
        <v>30103055</v>
      </c>
      <c r="D32" s="492">
        <v>2796352</v>
      </c>
      <c r="E32" s="474"/>
      <c r="F32" s="474">
        <v>1627480</v>
      </c>
      <c r="G32" s="474">
        <v>1601341</v>
      </c>
      <c r="H32" s="474"/>
      <c r="I32" s="474"/>
      <c r="J32" s="474"/>
      <c r="K32" s="479"/>
      <c r="L32" s="468"/>
      <c r="M32" s="468"/>
      <c r="N32" s="468"/>
    </row>
    <row r="33" spans="1:14" ht="13.5" customHeight="1" x14ac:dyDescent="0.2">
      <c r="A33" s="493" t="s">
        <v>303</v>
      </c>
      <c r="B33" s="491">
        <v>493</v>
      </c>
      <c r="C33" s="467">
        <v>15570</v>
      </c>
      <c r="D33" s="467"/>
      <c r="E33" s="467"/>
      <c r="F33" s="467"/>
      <c r="G33" s="467"/>
      <c r="H33" s="467"/>
      <c r="I33" s="467"/>
      <c r="J33" s="467"/>
      <c r="K33" s="467"/>
      <c r="L33" s="467">
        <v>183659</v>
      </c>
      <c r="M33" s="468"/>
      <c r="N33" s="469"/>
    </row>
    <row r="34" spans="1:14" ht="13.5" customHeight="1" thickBot="1" x14ac:dyDescent="0.25">
      <c r="A34" s="1738" t="s">
        <v>654</v>
      </c>
      <c r="B34" s="1739"/>
      <c r="C34" s="1740">
        <f>SUM(C25:C33)</f>
        <v>34428743</v>
      </c>
      <c r="D34" s="1740">
        <f t="shared" ref="D34:K34" si="1">SUM(D25:D33)</f>
        <v>2840779</v>
      </c>
      <c r="E34" s="1740">
        <f t="shared" si="1"/>
        <v>0</v>
      </c>
      <c r="F34" s="1740">
        <f t="shared" si="1"/>
        <v>1715374</v>
      </c>
      <c r="G34" s="1740">
        <f t="shared" si="1"/>
        <v>1601625</v>
      </c>
      <c r="H34" s="1740">
        <f t="shared" si="1"/>
        <v>455230</v>
      </c>
      <c r="I34" s="1740">
        <f t="shared" si="1"/>
        <v>0</v>
      </c>
      <c r="J34" s="1740">
        <f t="shared" si="1"/>
        <v>0</v>
      </c>
      <c r="K34" s="1740">
        <f t="shared" si="1"/>
        <v>0</v>
      </c>
      <c r="L34" s="1721">
        <f>SUM(L33)</f>
        <v>183659</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9886926</v>
      </c>
    </row>
    <row r="37" spans="1:14" ht="13.5" thickBot="1" x14ac:dyDescent="0.25">
      <c r="A37" s="1736" t="s">
        <v>653</v>
      </c>
      <c r="B37" s="1741"/>
      <c r="C37" s="477"/>
      <c r="D37" s="477"/>
      <c r="E37" s="477"/>
      <c r="F37" s="477"/>
      <c r="G37" s="477"/>
      <c r="H37" s="477"/>
      <c r="I37" s="477"/>
      <c r="J37" s="477"/>
      <c r="K37" s="477"/>
      <c r="L37" s="480"/>
      <c r="M37" s="468"/>
      <c r="N37" s="1688">
        <f>SUM(N36:N36)</f>
        <v>9886926</v>
      </c>
    </row>
    <row r="38" spans="1:14" s="329" customFormat="1" ht="13.5" customHeight="1" thickTop="1" x14ac:dyDescent="0.2">
      <c r="A38" s="496" t="s">
        <v>420</v>
      </c>
      <c r="B38" s="483">
        <v>714</v>
      </c>
      <c r="C38" s="466">
        <v>190294</v>
      </c>
      <c r="D38" s="466">
        <v>2612927</v>
      </c>
      <c r="E38" s="466">
        <v>434469</v>
      </c>
      <c r="F38" s="466">
        <v>872089</v>
      </c>
      <c r="G38" s="466">
        <v>258646</v>
      </c>
      <c r="H38" s="466"/>
      <c r="I38" s="466">
        <v>17504049</v>
      </c>
      <c r="J38" s="467"/>
      <c r="K38" s="466">
        <v>215231</v>
      </c>
      <c r="L38" s="481"/>
      <c r="M38" s="497"/>
      <c r="N38" s="497"/>
    </row>
    <row r="39" spans="1:14" s="329" customFormat="1" ht="13.5" customHeight="1" x14ac:dyDescent="0.2">
      <c r="A39" s="496" t="s">
        <v>342</v>
      </c>
      <c r="B39" s="483">
        <v>730</v>
      </c>
      <c r="C39" s="466">
        <v>17765268</v>
      </c>
      <c r="D39" s="466"/>
      <c r="E39" s="466"/>
      <c r="F39" s="466"/>
      <c r="G39" s="466"/>
      <c r="H39" s="466">
        <v>-250033</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31345464</v>
      </c>
      <c r="N40" s="497"/>
    </row>
    <row r="41" spans="1:14" ht="13.5" customHeight="1" thickBot="1" x14ac:dyDescent="0.25">
      <c r="A41" s="1736" t="s">
        <v>655</v>
      </c>
      <c r="B41" s="1706"/>
      <c r="C41" s="1688">
        <f>(SUM(C34,C37,C38,C39))</f>
        <v>52384305</v>
      </c>
      <c r="D41" s="1688">
        <f t="shared" ref="D41:L41" si="2">SUM(D34,D37,D38:D39)</f>
        <v>5453706</v>
      </c>
      <c r="E41" s="1688">
        <f t="shared" si="2"/>
        <v>434469</v>
      </c>
      <c r="F41" s="1688">
        <f t="shared" si="2"/>
        <v>2587463</v>
      </c>
      <c r="G41" s="1688">
        <f t="shared" si="2"/>
        <v>1860271</v>
      </c>
      <c r="H41" s="1688">
        <f t="shared" si="2"/>
        <v>205197</v>
      </c>
      <c r="I41" s="1688">
        <f t="shared" si="2"/>
        <v>17504049</v>
      </c>
      <c r="J41" s="1688">
        <f t="shared" si="2"/>
        <v>0</v>
      </c>
      <c r="K41" s="1688">
        <f t="shared" si="2"/>
        <v>215231</v>
      </c>
      <c r="L41" s="1688">
        <f t="shared" si="2"/>
        <v>183659</v>
      </c>
      <c r="M41" s="1688">
        <f>SUM(M40)</f>
        <v>31345464</v>
      </c>
      <c r="N41" s="1688">
        <f>SUM(N37)</f>
        <v>9886926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66" activePane="bottomLeft" state="frozen"/>
      <selection activeCell="A24" sqref="A24"/>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55374754</v>
      </c>
      <c r="D4" s="1742">
        <f>'Revenues 9-14'!D109</f>
        <v>5593434</v>
      </c>
      <c r="E4" s="1742">
        <f>'Revenues 9-14'!E109</f>
        <v>-87660</v>
      </c>
      <c r="F4" s="1742">
        <f>'Revenues 9-14'!F109</f>
        <v>3115183</v>
      </c>
      <c r="G4" s="1742">
        <f>'Revenues 9-14'!G109</f>
        <v>2859054</v>
      </c>
      <c r="H4" s="1742">
        <f>'Revenues 9-14'!H109</f>
        <v>99244</v>
      </c>
      <c r="I4" s="1742">
        <f>'Revenues 9-14'!I109</f>
        <v>322761</v>
      </c>
      <c r="J4" s="1742">
        <f>'Revenues 9-14'!J109</f>
        <v>0</v>
      </c>
      <c r="K4" s="1742">
        <f>'Revenues 9-14'!K109</f>
        <v>4079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3484423</v>
      </c>
      <c r="D6" s="1743">
        <f>'Revenues 9-14'!D170</f>
        <v>0</v>
      </c>
      <c r="E6" s="1743">
        <f>'Revenues 9-14'!E170</f>
        <v>1388106</v>
      </c>
      <c r="F6" s="1743">
        <f>'Revenues 9-14'!F170</f>
        <v>4966608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2523633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61382810</v>
      </c>
      <c r="D8" s="1688">
        <f t="shared" ref="D8:K8" si="0">SUM(D4:D7)</f>
        <v>5593434</v>
      </c>
      <c r="E8" s="1688">
        <f t="shared" si="0"/>
        <v>1300446</v>
      </c>
      <c r="F8" s="1688">
        <f t="shared" si="0"/>
        <v>8081791</v>
      </c>
      <c r="G8" s="1688">
        <f t="shared" si="0"/>
        <v>2859054</v>
      </c>
      <c r="H8" s="1688">
        <f t="shared" si="0"/>
        <v>99244</v>
      </c>
      <c r="I8" s="1688">
        <f t="shared" si="0"/>
        <v>322761</v>
      </c>
      <c r="J8" s="1688">
        <f t="shared" si="0"/>
        <v>0</v>
      </c>
      <c r="K8" s="1688">
        <f t="shared" si="0"/>
        <v>4079</v>
      </c>
      <c r="L8" s="347"/>
    </row>
    <row r="9" spans="1:13" ht="15.75" thickTop="1" x14ac:dyDescent="0.2">
      <c r="A9" s="514" t="s">
        <v>1653</v>
      </c>
      <c r="B9" s="515">
        <v>3998</v>
      </c>
      <c r="C9" s="481">
        <v>26797518</v>
      </c>
      <c r="D9" s="516"/>
      <c r="E9" s="481"/>
      <c r="F9" s="481"/>
      <c r="G9" s="517"/>
      <c r="H9" s="481"/>
      <c r="I9" s="509" t="s">
        <v>1169</v>
      </c>
      <c r="J9" s="478"/>
      <c r="K9" s="481"/>
      <c r="L9" s="347"/>
    </row>
    <row r="10" spans="1:13" s="519" customFormat="1" ht="13.5" thickBot="1" x14ac:dyDescent="0.25">
      <c r="A10" s="1736" t="s">
        <v>1173</v>
      </c>
      <c r="B10" s="1709"/>
      <c r="C10" s="1688">
        <f>SUM(C8:C9)</f>
        <v>88180328</v>
      </c>
      <c r="D10" s="1688">
        <f t="shared" ref="D10:K10" si="1">SUM(D8:D9)</f>
        <v>5593434</v>
      </c>
      <c r="E10" s="1688">
        <f t="shared" si="1"/>
        <v>1300446</v>
      </c>
      <c r="F10" s="1688">
        <f t="shared" si="1"/>
        <v>8081791</v>
      </c>
      <c r="G10" s="1688">
        <f t="shared" si="1"/>
        <v>2859054</v>
      </c>
      <c r="H10" s="1688">
        <f t="shared" si="1"/>
        <v>99244</v>
      </c>
      <c r="I10" s="1688">
        <f t="shared" si="1"/>
        <v>322761</v>
      </c>
      <c r="J10" s="1688">
        <f t="shared" si="1"/>
        <v>0</v>
      </c>
      <c r="K10" s="1688">
        <f t="shared" si="1"/>
        <v>4079</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45832113</v>
      </c>
      <c r="D12" s="520" t="s">
        <v>1169</v>
      </c>
      <c r="E12" s="468" t="s">
        <v>1169</v>
      </c>
      <c r="F12" s="468" t="s">
        <v>1169</v>
      </c>
      <c r="G12" s="1742">
        <f>'Expenditures 15-22'!K229</f>
        <v>1130962</v>
      </c>
      <c r="H12" s="521"/>
      <c r="I12" s="468" t="s">
        <v>1169</v>
      </c>
      <c r="J12" s="468" t="s">
        <v>1169</v>
      </c>
      <c r="K12" s="521" t="s">
        <v>1169</v>
      </c>
      <c r="L12" s="347"/>
    </row>
    <row r="13" spans="1:13" ht="15.75" customHeight="1" x14ac:dyDescent="0.2">
      <c r="A13" s="1576" t="s">
        <v>457</v>
      </c>
      <c r="B13" s="1578">
        <v>2000</v>
      </c>
      <c r="C13" s="1743">
        <f>'Expenditures 15-22'!K74</f>
        <v>18571422</v>
      </c>
      <c r="D13" s="1743">
        <f>'Expenditures 15-22'!K129</f>
        <v>5467074</v>
      </c>
      <c r="E13" s="469" t="s">
        <v>1169</v>
      </c>
      <c r="F13" s="1743">
        <f>'Expenditures 15-22'!K184</f>
        <v>7106928</v>
      </c>
      <c r="G13" s="1743">
        <f>'Expenditures 15-22'!K279</f>
        <v>1626931</v>
      </c>
      <c r="H13" s="1743">
        <f>'Expenditures 15-22'!K303</f>
        <v>1142641</v>
      </c>
      <c r="I13" s="468" t="s">
        <v>1169</v>
      </c>
      <c r="J13" s="1743">
        <f>'Expenditures 15-22'!K330</f>
        <v>0</v>
      </c>
      <c r="K13" s="1747">
        <f>'Expenditures 15-22'!K352</f>
        <v>0</v>
      </c>
      <c r="L13" s="347"/>
    </row>
    <row r="14" spans="1:13" ht="15.75" customHeight="1" x14ac:dyDescent="0.2">
      <c r="A14" s="1576" t="s">
        <v>449</v>
      </c>
      <c r="B14" s="1578">
        <v>3000</v>
      </c>
      <c r="C14" s="1743">
        <f>'Expenditures 15-22'!K75</f>
        <v>106468</v>
      </c>
      <c r="D14" s="1743">
        <f>'Expenditures 15-22'!K130</f>
        <v>0</v>
      </c>
      <c r="E14" s="520" t="s">
        <v>1169</v>
      </c>
      <c r="F14" s="1743">
        <f>'Expenditures 15-22'!K185</f>
        <v>0</v>
      </c>
      <c r="G14" s="1743">
        <f>'Expenditures 15-22'!K280</f>
        <v>781</v>
      </c>
      <c r="H14" s="512"/>
      <c r="I14" s="468" t="s">
        <v>1169</v>
      </c>
      <c r="J14" s="468" t="s">
        <v>1169</v>
      </c>
      <c r="K14" s="512" t="s">
        <v>1169</v>
      </c>
      <c r="L14" s="347"/>
    </row>
    <row r="15" spans="1:13" ht="15.75" customHeight="1" x14ac:dyDescent="0.2">
      <c r="A15" s="1576" t="s">
        <v>107</v>
      </c>
      <c r="B15" s="1578">
        <v>4000</v>
      </c>
      <c r="C15" s="1743">
        <f>'Expenditures 15-22'!K102</f>
        <v>254705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1373840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64764708</v>
      </c>
      <c r="D17" s="1688">
        <f t="shared" si="2"/>
        <v>5467074</v>
      </c>
      <c r="E17" s="1688">
        <f t="shared" si="2"/>
        <v>1373840</v>
      </c>
      <c r="F17" s="1688">
        <f t="shared" si="2"/>
        <v>7106928</v>
      </c>
      <c r="G17" s="1688">
        <f t="shared" si="2"/>
        <v>2758674</v>
      </c>
      <c r="H17" s="1688">
        <f t="shared" si="2"/>
        <v>1142641</v>
      </c>
      <c r="I17" s="468"/>
      <c r="J17" s="1688">
        <f>SUM(J12:J16)</f>
        <v>0</v>
      </c>
      <c r="K17" s="1688">
        <f>SUM(K12:K16)</f>
        <v>0</v>
      </c>
      <c r="L17" s="347"/>
    </row>
    <row r="18" spans="1:12" ht="15" customHeight="1" thickTop="1" x14ac:dyDescent="0.2">
      <c r="A18" s="1744" t="s">
        <v>1654</v>
      </c>
      <c r="B18" s="1745">
        <v>4180</v>
      </c>
      <c r="C18" s="1742">
        <f t="shared" ref="C18:H18" si="3">C9</f>
        <v>26797518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91562226</v>
      </c>
      <c r="D19" s="1688">
        <f t="shared" si="4"/>
        <v>5467074</v>
      </c>
      <c r="E19" s="1688">
        <f t="shared" si="4"/>
        <v>1373840</v>
      </c>
      <c r="F19" s="1688">
        <f t="shared" si="4"/>
        <v>7106928</v>
      </c>
      <c r="G19" s="1688">
        <f t="shared" si="4"/>
        <v>2758674</v>
      </c>
      <c r="H19" s="1688">
        <f t="shared" si="4"/>
        <v>1142641</v>
      </c>
      <c r="I19" s="468"/>
      <c r="J19" s="1688">
        <f>SUM(J17:J18)</f>
        <v>0</v>
      </c>
      <c r="K19" s="1688">
        <f>SUM(K17:K18)</f>
        <v>0</v>
      </c>
      <c r="L19" s="347"/>
    </row>
    <row r="20" spans="1:12" ht="16.5" thickTop="1" thickBot="1" x14ac:dyDescent="0.25">
      <c r="A20" s="2129" t="s">
        <v>1655</v>
      </c>
      <c r="B20" s="2130"/>
      <c r="C20" s="1746">
        <f>C8-C17</f>
        <v>-3381898</v>
      </c>
      <c r="D20" s="1746">
        <f t="shared" ref="D20:K20" si="5">D8-D17</f>
        <v>126360</v>
      </c>
      <c r="E20" s="1746">
        <f t="shared" si="5"/>
        <v>-73394</v>
      </c>
      <c r="F20" s="1746">
        <f t="shared" si="5"/>
        <v>974863</v>
      </c>
      <c r="G20" s="1746">
        <f t="shared" si="5"/>
        <v>100380</v>
      </c>
      <c r="H20" s="1746">
        <f t="shared" si="5"/>
        <v>-1043397</v>
      </c>
      <c r="I20" s="1746">
        <f t="shared" si="5"/>
        <v>322761</v>
      </c>
      <c r="J20" s="1746">
        <f t="shared" si="5"/>
        <v>0</v>
      </c>
      <c r="K20" s="1746">
        <f t="shared" si="5"/>
        <v>4079</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v>700000</v>
      </c>
      <c r="G25" s="467"/>
      <c r="H25" s="467">
        <v>1600000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v>6800000</v>
      </c>
      <c r="F33" s="467"/>
      <c r="G33" s="477"/>
      <c r="H33" s="467"/>
      <c r="I33" s="467">
        <v>3060000</v>
      </c>
      <c r="J33" s="467"/>
      <c r="K33" s="467"/>
      <c r="L33" s="524"/>
    </row>
    <row r="34" spans="1:12" s="485" customFormat="1" x14ac:dyDescent="0.2">
      <c r="A34" s="1489" t="s">
        <v>1001</v>
      </c>
      <c r="B34" s="525">
        <v>7220</v>
      </c>
      <c r="C34" s="467"/>
      <c r="D34" s="467"/>
      <c r="E34" s="467">
        <v>38849</v>
      </c>
      <c r="F34" s="467"/>
      <c r="G34" s="477"/>
      <c r="H34" s="478"/>
      <c r="I34" s="478">
        <v>268530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6838849</v>
      </c>
      <c r="F44" s="1703">
        <f t="shared" si="6"/>
        <v>700000</v>
      </c>
      <c r="G44" s="1703">
        <f t="shared" si="6"/>
        <v>0</v>
      </c>
      <c r="H44" s="1703">
        <f t="shared" si="6"/>
        <v>1600000</v>
      </c>
      <c r="I44" s="1703">
        <f t="shared" si="6"/>
        <v>3328530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2300000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6688673</v>
      </c>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6688673</v>
      </c>
      <c r="F76" s="1703">
        <f t="shared" si="7"/>
        <v>0</v>
      </c>
      <c r="G76" s="1703">
        <f t="shared" si="7"/>
        <v>0</v>
      </c>
      <c r="H76" s="1703">
        <f t="shared" si="7"/>
        <v>0</v>
      </c>
      <c r="I76" s="1703">
        <f t="shared" si="7"/>
        <v>2300000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150176</v>
      </c>
      <c r="F77" s="1703">
        <f t="shared" si="8"/>
        <v>700000</v>
      </c>
      <c r="G77" s="1703">
        <f t="shared" si="8"/>
        <v>0</v>
      </c>
      <c r="H77" s="1703">
        <f t="shared" si="8"/>
        <v>1600000</v>
      </c>
      <c r="I77" s="1703">
        <f t="shared" si="8"/>
        <v>1028530</v>
      </c>
      <c r="J77" s="1703">
        <f t="shared" si="8"/>
        <v>0</v>
      </c>
      <c r="K77" s="1703">
        <f t="shared" si="8"/>
        <v>0</v>
      </c>
      <c r="L77" s="347"/>
    </row>
    <row r="78" spans="1:12" ht="21.75" customHeight="1" thickTop="1" thickBot="1" x14ac:dyDescent="0.25">
      <c r="A78" s="2125" t="s">
        <v>597</v>
      </c>
      <c r="B78" s="2126"/>
      <c r="C78" s="1702">
        <f t="shared" ref="C78:K78" si="9">C20+C77</f>
        <v>-3381898</v>
      </c>
      <c r="D78" s="1702">
        <f t="shared" si="9"/>
        <v>126360</v>
      </c>
      <c r="E78" s="1702">
        <f t="shared" si="9"/>
        <v>76782</v>
      </c>
      <c r="F78" s="1702">
        <f t="shared" si="9"/>
        <v>1674863</v>
      </c>
      <c r="G78" s="1702">
        <f t="shared" si="9"/>
        <v>100380</v>
      </c>
      <c r="H78" s="1702">
        <f t="shared" si="9"/>
        <v>556603</v>
      </c>
      <c r="I78" s="1702">
        <f t="shared" si="9"/>
        <v>1351291</v>
      </c>
      <c r="J78" s="1702">
        <f t="shared" si="9"/>
        <v>0</v>
      </c>
      <c r="K78" s="1702">
        <f t="shared" si="9"/>
        <v>4079</v>
      </c>
      <c r="L78" s="533"/>
    </row>
    <row r="79" spans="1:12" ht="13.5" thickTop="1" x14ac:dyDescent="0.2">
      <c r="A79" s="1494" t="s">
        <v>1944</v>
      </c>
      <c r="B79" s="534"/>
      <c r="C79" s="478">
        <v>21337460</v>
      </c>
      <c r="D79" s="535">
        <v>2486567</v>
      </c>
      <c r="E79" s="535">
        <v>357687</v>
      </c>
      <c r="F79" s="535">
        <v>-802774</v>
      </c>
      <c r="G79" s="535">
        <v>158266</v>
      </c>
      <c r="H79" s="535">
        <v>-806636</v>
      </c>
      <c r="I79" s="535">
        <v>16152758</v>
      </c>
      <c r="J79" s="535"/>
      <c r="K79" s="535">
        <v>211152</v>
      </c>
      <c r="L79" s="347"/>
    </row>
    <row r="80" spans="1:12" x14ac:dyDescent="0.2">
      <c r="A80" s="2131" t="s">
        <v>1792</v>
      </c>
      <c r="B80" s="2132"/>
      <c r="C80" s="467"/>
      <c r="D80" s="467"/>
      <c r="E80" s="467"/>
      <c r="F80" s="467"/>
      <c r="G80" s="467"/>
      <c r="H80" s="467"/>
      <c r="I80" s="467"/>
      <c r="J80" s="467"/>
      <c r="K80" s="467"/>
      <c r="L80" s="347"/>
    </row>
    <row r="81" spans="1:12" ht="13.5" thickBot="1" x14ac:dyDescent="0.25">
      <c r="A81" s="2123" t="s">
        <v>1945</v>
      </c>
      <c r="B81" s="2124"/>
      <c r="C81" s="1688">
        <f>(SUM(C78:C80))</f>
        <v>17955562</v>
      </c>
      <c r="D81" s="1688">
        <f>SUM(D78:D80)</f>
        <v>2612927</v>
      </c>
      <c r="E81" s="1688">
        <f t="shared" ref="E81:K81" si="10">SUM(E78:E80)</f>
        <v>434469</v>
      </c>
      <c r="F81" s="1688">
        <f t="shared" si="10"/>
        <v>872089</v>
      </c>
      <c r="G81" s="1688">
        <f t="shared" si="10"/>
        <v>258646</v>
      </c>
      <c r="H81" s="1688">
        <f t="shared" si="10"/>
        <v>-250033</v>
      </c>
      <c r="I81" s="1688">
        <f t="shared" si="10"/>
        <v>17504049</v>
      </c>
      <c r="J81" s="1688">
        <f t="shared" si="10"/>
        <v>0</v>
      </c>
      <c r="K81" s="1688">
        <f t="shared" si="10"/>
        <v>215231</v>
      </c>
      <c r="L81" s="347"/>
    </row>
    <row r="82" spans="1:12" ht="0.75" customHeight="1" thickTop="1" thickBot="1" x14ac:dyDescent="0.25">
      <c r="A82" s="536" t="s">
        <v>343</v>
      </c>
      <c r="B82" s="537"/>
      <c r="C82" s="538">
        <f>(C81-C79)</f>
        <v>-3381898</v>
      </c>
      <c r="D82" s="538">
        <f t="shared" ref="D82:K82" si="11">(D81-D79)</f>
        <v>126360</v>
      </c>
      <c r="E82" s="538">
        <f t="shared" si="11"/>
        <v>76782</v>
      </c>
      <c r="F82" s="538">
        <f t="shared" si="11"/>
        <v>1674863</v>
      </c>
      <c r="G82" s="538">
        <f t="shared" si="11"/>
        <v>100380</v>
      </c>
      <c r="H82" s="538">
        <f t="shared" si="11"/>
        <v>556603</v>
      </c>
      <c r="I82" s="538">
        <f t="shared" si="11"/>
        <v>1351291</v>
      </c>
      <c r="J82" s="538">
        <f t="shared" si="11"/>
        <v>0</v>
      </c>
      <c r="K82" s="538">
        <f t="shared" si="11"/>
        <v>4079</v>
      </c>
    </row>
    <row r="83" spans="1:12" ht="14.25" hidden="1" thickTop="1" thickBot="1" x14ac:dyDescent="0.25">
      <c r="A83" s="539" t="s">
        <v>344</v>
      </c>
      <c r="B83" s="464"/>
      <c r="C83" s="540">
        <f>C82/C81</f>
        <v>-0.18834821210274566</v>
      </c>
      <c r="D83" s="540">
        <f t="shared" ref="D83:K83" si="12">D82/D81</f>
        <v>4.8359559987707273E-2</v>
      </c>
      <c r="E83" s="540">
        <f t="shared" si="12"/>
        <v>0.17672607251610586</v>
      </c>
      <c r="F83" s="540">
        <f t="shared" si="12"/>
        <v>1.9205184333250391</v>
      </c>
      <c r="G83" s="540">
        <f t="shared" si="12"/>
        <v>0.38809801814062461</v>
      </c>
      <c r="H83" s="540">
        <f t="shared" si="12"/>
        <v>-2.2261181524038829</v>
      </c>
      <c r="I83" s="540">
        <f t="shared" si="12"/>
        <v>7.7198766982427891E-2</v>
      </c>
      <c r="J83" s="540" t="e">
        <f t="shared" si="12"/>
        <v>#DIV/0!</v>
      </c>
      <c r="K83" s="540">
        <f t="shared" si="12"/>
        <v>1.8951730930953255E-2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90" zoomScaleNormal="90" zoomScaleSheetLayoutView="75" workbookViewId="0">
      <pane ySplit="2" topLeftCell="A237" activePane="bottomLeft" state="frozen"/>
      <selection activeCell="A24" sqref="A24"/>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1799</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50878360</v>
      </c>
      <c r="D5" s="481">
        <v>5289202</v>
      </c>
      <c r="E5" s="466">
        <v>-108563</v>
      </c>
      <c r="F5" s="548">
        <v>3041976</v>
      </c>
      <c r="G5" s="466">
        <v>1536277</v>
      </c>
      <c r="H5" s="466"/>
      <c r="I5" s="466">
        <v>4646</v>
      </c>
      <c r="J5" s="467"/>
      <c r="K5" s="466"/>
    </row>
    <row r="6" spans="1:12" ht="15" x14ac:dyDescent="0.2">
      <c r="A6" s="463" t="s">
        <v>1662</v>
      </c>
      <c r="B6" s="470">
        <v>1130</v>
      </c>
      <c r="C6" s="466">
        <v>367686</v>
      </c>
      <c r="D6" s="466"/>
      <c r="E6" s="475"/>
      <c r="F6" s="475"/>
      <c r="G6" s="468"/>
      <c r="H6" s="468"/>
      <c r="I6" s="468"/>
      <c r="J6" s="468"/>
      <c r="K6" s="468"/>
    </row>
    <row r="7" spans="1:12" x14ac:dyDescent="0.2">
      <c r="A7" s="463" t="s">
        <v>110</v>
      </c>
      <c r="B7" s="549">
        <v>1140</v>
      </c>
      <c r="C7" s="466">
        <v>409766</v>
      </c>
      <c r="D7" s="466"/>
      <c r="E7" s="468"/>
      <c r="F7" s="467"/>
      <c r="G7" s="467"/>
      <c r="H7" s="467"/>
      <c r="I7" s="468"/>
      <c r="J7" s="468"/>
      <c r="K7" s="468"/>
    </row>
    <row r="8" spans="1:12" x14ac:dyDescent="0.2">
      <c r="A8" s="463" t="s">
        <v>413</v>
      </c>
      <c r="B8" s="470">
        <v>1150</v>
      </c>
      <c r="C8" s="475"/>
      <c r="D8" s="475"/>
      <c r="E8" s="477"/>
      <c r="F8" s="477"/>
      <c r="G8" s="481">
        <v>1255959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51655812</v>
      </c>
      <c r="D12" s="1707">
        <f t="shared" si="0"/>
        <v>5289202</v>
      </c>
      <c r="E12" s="1707">
        <f t="shared" si="0"/>
        <v>-108563</v>
      </c>
      <c r="F12" s="1707">
        <f t="shared" si="0"/>
        <v>3041976</v>
      </c>
      <c r="G12" s="1707">
        <f t="shared" si="0"/>
        <v>2792236</v>
      </c>
      <c r="H12" s="1707">
        <f t="shared" si="0"/>
        <v>0</v>
      </c>
      <c r="I12" s="1707">
        <f t="shared" si="0"/>
        <v>4646</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279978</v>
      </c>
      <c r="D16" s="466"/>
      <c r="E16" s="466"/>
      <c r="F16" s="466"/>
      <c r="G16" s="466">
        <v>55626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279978</v>
      </c>
      <c r="D18" s="1710">
        <f t="shared" ref="D18:K18" si="1">SUM(D14:D17)</f>
        <v>0</v>
      </c>
      <c r="E18" s="1710">
        <f t="shared" si="1"/>
        <v>0</v>
      </c>
      <c r="F18" s="1710">
        <f t="shared" si="1"/>
        <v>0</v>
      </c>
      <c r="G18" s="1710">
        <f t="shared" si="1"/>
        <v>55626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9790</v>
      </c>
      <c r="D24" s="468"/>
      <c r="E24" s="468"/>
      <c r="F24" s="468"/>
      <c r="G24" s="468"/>
      <c r="H24" s="468"/>
      <c r="I24" s="468"/>
      <c r="J24" s="468"/>
      <c r="K24" s="468"/>
    </row>
    <row r="25" spans="1:11" ht="12.75" customHeight="1" x14ac:dyDescent="0.2">
      <c r="A25" s="463" t="s">
        <v>833</v>
      </c>
      <c r="B25" s="470">
        <v>1322</v>
      </c>
      <c r="C25" s="551">
        <v>12205</v>
      </c>
      <c r="D25" s="468"/>
      <c r="E25" s="468"/>
      <c r="F25" s="468"/>
      <c r="G25" s="468"/>
      <c r="H25" s="468"/>
      <c r="I25" s="468"/>
      <c r="J25" s="468"/>
      <c r="K25" s="468"/>
    </row>
    <row r="26" spans="1:11" ht="12.75" customHeight="1" x14ac:dyDescent="0.2">
      <c r="A26" s="463" t="s">
        <v>1101</v>
      </c>
      <c r="B26" s="470">
        <v>1323</v>
      </c>
      <c r="C26" s="551">
        <v>4095</v>
      </c>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26090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66550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66550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554549</v>
      </c>
      <c r="D65" s="466">
        <v>61226</v>
      </c>
      <c r="E65" s="466">
        <v>20903</v>
      </c>
      <c r="F65" s="467">
        <v>6657</v>
      </c>
      <c r="G65" s="466">
        <v>11192</v>
      </c>
      <c r="H65" s="466">
        <v>1037</v>
      </c>
      <c r="I65" s="466">
        <v>318115</v>
      </c>
      <c r="J65" s="467"/>
      <c r="K65" s="466">
        <v>4079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554549</v>
      </c>
      <c r="D67" s="1688">
        <f t="shared" ref="D67:K67" si="2">SUM(D65:D66)</f>
        <v>61226</v>
      </c>
      <c r="E67" s="1688">
        <f t="shared" si="2"/>
        <v>20903</v>
      </c>
      <c r="F67" s="1688">
        <f t="shared" si="2"/>
        <v>6657</v>
      </c>
      <c r="G67" s="1688">
        <f t="shared" si="2"/>
        <v>11192</v>
      </c>
      <c r="H67" s="1688">
        <f t="shared" si="2"/>
        <v>1037</v>
      </c>
      <c r="I67" s="1688">
        <f t="shared" si="2"/>
        <v>318115</v>
      </c>
      <c r="J67" s="1688">
        <f t="shared" si="2"/>
        <v>0</v>
      </c>
      <c r="K67" s="1688">
        <f t="shared" si="2"/>
        <v>4079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928539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22159</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478475</v>
      </c>
      <c r="D74" s="468"/>
      <c r="E74" s="468"/>
      <c r="F74" s="468"/>
      <c r="G74" s="468"/>
      <c r="H74" s="468"/>
      <c r="I74" s="468"/>
      <c r="J74" s="468"/>
      <c r="K74" s="468"/>
    </row>
    <row r="75" spans="1:11" ht="12.75" customHeight="1" thickBot="1" x14ac:dyDescent="0.25">
      <c r="A75" s="1708" t="s">
        <v>548</v>
      </c>
      <c r="B75" s="1709"/>
      <c r="C75" s="1688">
        <f>SUM(C69:C74)</f>
        <v>1429173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493047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37875</v>
      </c>
      <c r="D81" s="466"/>
      <c r="E81" s="468"/>
      <c r="F81" s="468"/>
      <c r="G81" s="468"/>
      <c r="H81" s="468"/>
      <c r="I81" s="468"/>
      <c r="J81" s="468"/>
      <c r="K81" s="468"/>
    </row>
    <row r="82" spans="1:11" ht="12.75" customHeight="1" thickBot="1" x14ac:dyDescent="0.25">
      <c r="A82" s="1708" t="s">
        <v>241</v>
      </c>
      <c r="B82" s="1709"/>
      <c r="C82" s="1707">
        <f>SUM(C77:C81)</f>
        <v>530922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500727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500727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239506</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v>66442</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1522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v>11782</v>
      </c>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236713</v>
      </c>
      <c r="D106" s="489"/>
      <c r="E106" s="467"/>
      <c r="F106" s="467"/>
      <c r="G106" s="467"/>
      <c r="H106" s="467"/>
      <c r="I106" s="521"/>
      <c r="J106" s="467"/>
      <c r="K106" s="467"/>
    </row>
    <row r="107" spans="1:12" ht="12.75" customHeight="1" x14ac:dyDescent="0.2">
      <c r="A107" s="463" t="s">
        <v>78</v>
      </c>
      <c r="B107" s="470">
        <v>1999</v>
      </c>
      <c r="C107" s="551">
        <v>147486</v>
      </c>
      <c r="D107" s="466">
        <v>3500</v>
      </c>
      <c r="E107" s="466"/>
      <c r="F107" s="466"/>
      <c r="G107" s="466"/>
      <c r="H107" s="466">
        <v>31765</v>
      </c>
      <c r="I107" s="466"/>
      <c r="J107" s="467"/>
      <c r="K107" s="466"/>
    </row>
    <row r="108" spans="1:12" ht="12.75" customHeight="1" thickBot="1" x14ac:dyDescent="0.25">
      <c r="A108" s="1708" t="s">
        <v>487</v>
      </c>
      <c r="B108" s="1712"/>
      <c r="C108" s="1707">
        <f>SUM(C95:C107)</f>
        <v>397503</v>
      </c>
      <c r="D108" s="1707">
        <f t="shared" ref="D108:K108" si="3">SUM(D95:D107)</f>
        <v>243006</v>
      </c>
      <c r="E108" s="1707">
        <f t="shared" si="3"/>
        <v>0</v>
      </c>
      <c r="F108" s="1707">
        <f t="shared" si="3"/>
        <v>0</v>
      </c>
      <c r="G108" s="1707">
        <f t="shared" si="3"/>
        <v>0</v>
      </c>
      <c r="H108" s="1707">
        <f t="shared" si="3"/>
        <v>98207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55374754</v>
      </c>
      <c r="D109" s="1715">
        <f t="shared" si="4"/>
        <v>5593434</v>
      </c>
      <c r="E109" s="1715">
        <f t="shared" si="4"/>
        <v>-87660</v>
      </c>
      <c r="F109" s="1715">
        <f t="shared" si="4"/>
        <v>3115183</v>
      </c>
      <c r="G109" s="1715">
        <f t="shared" si="4"/>
        <v>2859054</v>
      </c>
      <c r="H109" s="1715">
        <f t="shared" si="4"/>
        <v>99244</v>
      </c>
      <c r="I109" s="1715">
        <f t="shared" si="4"/>
        <v>322761</v>
      </c>
      <c r="J109" s="1715">
        <f t="shared" si="4"/>
        <v>0</v>
      </c>
      <c r="K109" s="1702">
        <f t="shared" si="4"/>
        <v>4079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2876212</v>
      </c>
      <c r="D117" s="481"/>
      <c r="E117" s="466">
        <v>1388106</v>
      </c>
      <c r="F117" s="481">
        <v>98301</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2876212</v>
      </c>
      <c r="D122" s="1707">
        <f t="shared" si="5"/>
        <v>0</v>
      </c>
      <c r="E122" s="1707">
        <f t="shared" si="5"/>
        <v>1388106</v>
      </c>
      <c r="F122" s="1707">
        <f t="shared" si="5"/>
        <v>98301</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481888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119234</v>
      </c>
      <c r="D128" s="561"/>
      <c r="E128" s="468"/>
      <c r="F128" s="466"/>
      <c r="G128" s="468"/>
      <c r="H128" s="468"/>
      <c r="I128" s="468"/>
      <c r="J128" s="468"/>
      <c r="K128" s="468"/>
    </row>
    <row r="129" spans="1:11" ht="12.75" customHeight="1" x14ac:dyDescent="0.2">
      <c r="A129" s="463" t="s">
        <v>1447</v>
      </c>
      <c r="B129" s="562">
        <v>3130</v>
      </c>
      <c r="C129" s="466">
        <v>2121</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603243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4968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4968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3803644</v>
      </c>
      <c r="G152" s="467"/>
      <c r="H152" s="468"/>
      <c r="I152" s="468"/>
      <c r="J152" s="468"/>
      <c r="K152" s="468"/>
    </row>
    <row r="153" spans="1:11" ht="12.75" customHeight="1" x14ac:dyDescent="0.2">
      <c r="A153" s="463" t="s">
        <v>1057</v>
      </c>
      <c r="B153" s="562">
        <v>3510</v>
      </c>
      <c r="C153" s="551"/>
      <c r="D153" s="466"/>
      <c r="E153" s="561"/>
      <c r="F153" s="466">
        <v>1064663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4868307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608211</v>
      </c>
      <c r="D169" s="1722">
        <f t="shared" si="6"/>
        <v>0</v>
      </c>
      <c r="E169" s="1722">
        <f t="shared" si="6"/>
        <v>0</v>
      </c>
      <c r="F169" s="1722">
        <f t="shared" si="6"/>
        <v>4868307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3484423</v>
      </c>
      <c r="D170" s="1715">
        <f t="shared" si="7"/>
        <v>0</v>
      </c>
      <c r="E170" s="1715">
        <f t="shared" si="7"/>
        <v>1388106</v>
      </c>
      <c r="F170" s="1715">
        <f t="shared" si="7"/>
        <v>4966608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1800</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49248</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49248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764200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764200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41071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41071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48155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1096978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1145133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79460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122689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97821</v>
      </c>
      <c r="D263" s="576"/>
      <c r="E263" s="468"/>
      <c r="F263" s="576"/>
      <c r="G263" s="576"/>
      <c r="H263" s="468"/>
      <c r="I263" s="468"/>
      <c r="J263" s="468"/>
      <c r="K263" s="468"/>
    </row>
    <row r="264" spans="1:11" ht="12.75" customHeight="1" thickTop="1" thickBot="1" x14ac:dyDescent="0.25">
      <c r="A264" s="463" t="s">
        <v>377</v>
      </c>
      <c r="B264" s="470">
        <v>4992</v>
      </c>
      <c r="C264" s="575">
        <v>224011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2523633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2523633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61382810</v>
      </c>
      <c r="D268" s="1715">
        <f t="shared" si="12"/>
        <v>5593434</v>
      </c>
      <c r="E268" s="1715">
        <f t="shared" si="12"/>
        <v>1300446</v>
      </c>
      <c r="F268" s="1715">
        <f t="shared" si="12"/>
        <v>8081791</v>
      </c>
      <c r="G268" s="1715">
        <f t="shared" si="12"/>
        <v>2859054</v>
      </c>
      <c r="H268" s="1715">
        <f t="shared" si="12"/>
        <v>99244</v>
      </c>
      <c r="I268" s="1715">
        <f t="shared" si="12"/>
        <v>322761</v>
      </c>
      <c r="J268" s="1715">
        <f t="shared" si="12"/>
        <v>0</v>
      </c>
      <c r="K268" s="1702">
        <f t="shared" si="12"/>
        <v>4079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366" activePane="bottomLeft" state="frozen"/>
      <selection activeCell="A24" sqref="A24"/>
      <selection pane="bottomLeft" activeCell="D168" sqref="D16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19693305</v>
      </c>
      <c r="D5" s="466">
        <v>5836041</v>
      </c>
      <c r="E5" s="466">
        <v>19331</v>
      </c>
      <c r="F5" s="466">
        <v>859270</v>
      </c>
      <c r="G5" s="466"/>
      <c r="H5" s="466">
        <v>8141</v>
      </c>
      <c r="I5" s="467">
        <v>90586</v>
      </c>
      <c r="J5" s="467">
        <v>315917</v>
      </c>
      <c r="K5" s="1671">
        <f>SUM(C5:J5)</f>
        <v>26822591</v>
      </c>
      <c r="L5" s="466">
        <v>25123171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9102435</v>
      </c>
      <c r="D8" s="466">
        <v>2284708</v>
      </c>
      <c r="E8" s="466">
        <v>64392</v>
      </c>
      <c r="F8" s="466">
        <v>62510</v>
      </c>
      <c r="G8" s="466"/>
      <c r="H8" s="466">
        <v>300</v>
      </c>
      <c r="I8" s="467"/>
      <c r="J8" s="467"/>
      <c r="K8" s="1671">
        <f t="shared" si="0"/>
        <v>11514345</v>
      </c>
      <c r="L8" s="466">
        <v>11683657</v>
      </c>
    </row>
    <row r="9" spans="1:14" x14ac:dyDescent="0.2">
      <c r="A9" s="1504" t="s">
        <v>721</v>
      </c>
      <c r="B9" s="614" t="s">
        <v>968</v>
      </c>
      <c r="C9" s="467"/>
      <c r="D9" s="467"/>
      <c r="E9" s="467">
        <v>59850</v>
      </c>
      <c r="F9" s="467">
        <v>16182</v>
      </c>
      <c r="G9" s="467"/>
      <c r="H9" s="467"/>
      <c r="I9" s="467">
        <v>3873</v>
      </c>
      <c r="J9" s="467"/>
      <c r="K9" s="1671">
        <f t="shared" si="0"/>
        <v>79905</v>
      </c>
      <c r="L9" s="466">
        <v>73000</v>
      </c>
    </row>
    <row r="10" spans="1:14" x14ac:dyDescent="0.2">
      <c r="A10" s="1504" t="s">
        <v>722</v>
      </c>
      <c r="B10" s="614">
        <v>1250</v>
      </c>
      <c r="C10" s="466">
        <v>2298774</v>
      </c>
      <c r="D10" s="466">
        <v>348399</v>
      </c>
      <c r="E10" s="466"/>
      <c r="F10" s="466"/>
      <c r="G10" s="466"/>
      <c r="H10" s="466"/>
      <c r="I10" s="467"/>
      <c r="J10" s="467"/>
      <c r="K10" s="1671">
        <f t="shared" si="0"/>
        <v>2647173</v>
      </c>
      <c r="L10" s="466">
        <v>2811300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1900</v>
      </c>
      <c r="F13" s="466">
        <v>3125</v>
      </c>
      <c r="G13" s="466"/>
      <c r="H13" s="466"/>
      <c r="I13" s="467"/>
      <c r="J13" s="467"/>
      <c r="K13" s="1671">
        <f t="shared" si="0"/>
        <v>5025</v>
      </c>
      <c r="L13" s="466">
        <v>5905</v>
      </c>
    </row>
    <row r="14" spans="1:14" x14ac:dyDescent="0.2">
      <c r="A14" s="1504" t="s">
        <v>963</v>
      </c>
      <c r="B14" s="614">
        <v>1500</v>
      </c>
      <c r="C14" s="466">
        <v>297292</v>
      </c>
      <c r="D14" s="466">
        <v>6527</v>
      </c>
      <c r="E14" s="466"/>
      <c r="F14" s="466"/>
      <c r="G14" s="466"/>
      <c r="H14" s="466">
        <v>17085</v>
      </c>
      <c r="I14" s="467"/>
      <c r="J14" s="467"/>
      <c r="K14" s="1671">
        <f t="shared" si="0"/>
        <v>320904</v>
      </c>
      <c r="L14" s="466">
        <v>330314</v>
      </c>
    </row>
    <row r="15" spans="1:14" x14ac:dyDescent="0.2">
      <c r="A15" s="1504" t="s">
        <v>964</v>
      </c>
      <c r="B15" s="614">
        <v>1600</v>
      </c>
      <c r="C15" s="466">
        <v>191348</v>
      </c>
      <c r="D15" s="466">
        <v>3867</v>
      </c>
      <c r="E15" s="466"/>
      <c r="F15" s="466">
        <v>16392</v>
      </c>
      <c r="G15" s="466"/>
      <c r="H15" s="466"/>
      <c r="I15" s="467"/>
      <c r="J15" s="467"/>
      <c r="K15" s="1671">
        <f t="shared" si="0"/>
        <v>211607</v>
      </c>
      <c r="L15" s="466">
        <v>149400</v>
      </c>
    </row>
    <row r="16" spans="1:14" x14ac:dyDescent="0.2">
      <c r="A16" s="1504" t="s">
        <v>987</v>
      </c>
      <c r="B16" s="614" t="s">
        <v>424</v>
      </c>
      <c r="C16" s="466">
        <v>823066</v>
      </c>
      <c r="D16" s="466">
        <v>159727</v>
      </c>
      <c r="E16" s="466"/>
      <c r="F16" s="466">
        <v>318</v>
      </c>
      <c r="G16" s="466"/>
      <c r="H16" s="466"/>
      <c r="I16" s="467"/>
      <c r="J16" s="467"/>
      <c r="K16" s="1671">
        <f t="shared" si="0"/>
        <v>983111</v>
      </c>
      <c r="L16" s="466">
        <v>1003410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1572050</v>
      </c>
      <c r="D18" s="466">
        <v>305593</v>
      </c>
      <c r="E18" s="466">
        <v>62311</v>
      </c>
      <c r="F18" s="466">
        <v>15102</v>
      </c>
      <c r="G18" s="466"/>
      <c r="H18" s="466"/>
      <c r="I18" s="467"/>
      <c r="J18" s="467"/>
      <c r="K18" s="1671">
        <f t="shared" si="0"/>
        <v>1955056</v>
      </c>
      <c r="L18" s="466">
        <v>2079365</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1292396</v>
      </c>
      <c r="I22" s="616"/>
      <c r="J22" s="477"/>
      <c r="K22" s="1671">
        <f t="shared" si="0"/>
        <v>1292396</v>
      </c>
      <c r="L22" s="471">
        <v>981000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33978270</v>
      </c>
      <c r="D33" s="1670">
        <f t="shared" ref="D33:L33" si="1">SUM(D5:D32)</f>
        <v>8944862</v>
      </c>
      <c r="E33" s="1670">
        <f t="shared" si="1"/>
        <v>207784</v>
      </c>
      <c r="F33" s="1670">
        <f t="shared" si="1"/>
        <v>972899</v>
      </c>
      <c r="G33" s="1670">
        <f t="shared" si="1"/>
        <v>0</v>
      </c>
      <c r="H33" s="1670">
        <f t="shared" si="1"/>
        <v>1317922</v>
      </c>
      <c r="I33" s="1670">
        <f t="shared" si="1"/>
        <v>94459</v>
      </c>
      <c r="J33" s="1670">
        <f t="shared" si="1"/>
        <v>315917</v>
      </c>
      <c r="K33" s="1670">
        <f t="shared" si="1"/>
        <v>45832113</v>
      </c>
      <c r="L33" s="1670">
        <f t="shared" si="1"/>
        <v>44240522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1080740</v>
      </c>
      <c r="D36" s="481">
        <v>220727</v>
      </c>
      <c r="E36" s="481"/>
      <c r="F36" s="481"/>
      <c r="G36" s="481"/>
      <c r="H36" s="481"/>
      <c r="I36" s="467"/>
      <c r="J36" s="467"/>
      <c r="K36" s="1671">
        <f t="shared" ref="K36:K41" si="2">SUM(C36:J36)</f>
        <v>1301467</v>
      </c>
      <c r="L36" s="466">
        <v>1327000</v>
      </c>
    </row>
    <row r="37" spans="1:14" x14ac:dyDescent="0.2">
      <c r="A37" s="1504" t="s">
        <v>1090</v>
      </c>
      <c r="B37" s="614">
        <v>2120</v>
      </c>
      <c r="C37" s="466">
        <v>181614</v>
      </c>
      <c r="D37" s="466">
        <v>43080</v>
      </c>
      <c r="E37" s="466">
        <v>47610</v>
      </c>
      <c r="F37" s="466">
        <v>17632</v>
      </c>
      <c r="G37" s="466"/>
      <c r="H37" s="466"/>
      <c r="I37" s="467"/>
      <c r="J37" s="467"/>
      <c r="K37" s="1671">
        <f t="shared" si="2"/>
        <v>289936</v>
      </c>
      <c r="L37" s="466">
        <v>373600</v>
      </c>
    </row>
    <row r="38" spans="1:14" x14ac:dyDescent="0.2">
      <c r="A38" s="1504" t="s">
        <v>198</v>
      </c>
      <c r="B38" s="614">
        <v>2130</v>
      </c>
      <c r="C38" s="466">
        <v>1214273</v>
      </c>
      <c r="D38" s="466">
        <v>279154</v>
      </c>
      <c r="E38" s="466">
        <v>61518</v>
      </c>
      <c r="F38" s="466">
        <v>5594</v>
      </c>
      <c r="G38" s="466"/>
      <c r="H38" s="466"/>
      <c r="I38" s="467"/>
      <c r="J38" s="467"/>
      <c r="K38" s="1671">
        <f t="shared" si="2"/>
        <v>1560539</v>
      </c>
      <c r="L38" s="466">
        <v>1588800</v>
      </c>
    </row>
    <row r="39" spans="1:14" x14ac:dyDescent="0.2">
      <c r="A39" s="1504" t="s">
        <v>199</v>
      </c>
      <c r="B39" s="614">
        <v>2140</v>
      </c>
      <c r="C39" s="466">
        <v>484665</v>
      </c>
      <c r="D39" s="466">
        <v>89772</v>
      </c>
      <c r="E39" s="466"/>
      <c r="F39" s="466">
        <v>95</v>
      </c>
      <c r="G39" s="466"/>
      <c r="H39" s="466"/>
      <c r="I39" s="467"/>
      <c r="J39" s="467"/>
      <c r="K39" s="1671">
        <f t="shared" si="2"/>
        <v>574532</v>
      </c>
      <c r="L39" s="466">
        <v>648300</v>
      </c>
    </row>
    <row r="40" spans="1:14" x14ac:dyDescent="0.2">
      <c r="A40" s="1504" t="s">
        <v>200</v>
      </c>
      <c r="B40" s="614">
        <v>2150</v>
      </c>
      <c r="C40" s="466">
        <v>1162230</v>
      </c>
      <c r="D40" s="466">
        <v>193230</v>
      </c>
      <c r="E40" s="466">
        <v>1000</v>
      </c>
      <c r="F40" s="466"/>
      <c r="G40" s="466"/>
      <c r="H40" s="466"/>
      <c r="I40" s="467"/>
      <c r="J40" s="467"/>
      <c r="K40" s="1671">
        <f t="shared" si="2"/>
        <v>1356460</v>
      </c>
      <c r="L40" s="466">
        <v>1424000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4123522</v>
      </c>
      <c r="D42" s="1670">
        <f t="shared" ref="D42:L42" si="3">SUM(D36:D41)</f>
        <v>825963</v>
      </c>
      <c r="E42" s="1670">
        <f t="shared" si="3"/>
        <v>110128</v>
      </c>
      <c r="F42" s="1670">
        <f t="shared" si="3"/>
        <v>23321</v>
      </c>
      <c r="G42" s="1670">
        <f t="shared" si="3"/>
        <v>0</v>
      </c>
      <c r="H42" s="1670">
        <f t="shared" si="3"/>
        <v>0</v>
      </c>
      <c r="I42" s="1670">
        <f t="shared" si="3"/>
        <v>0</v>
      </c>
      <c r="J42" s="1670">
        <f t="shared" si="3"/>
        <v>0</v>
      </c>
      <c r="K42" s="1670">
        <f t="shared" si="3"/>
        <v>5082934</v>
      </c>
      <c r="L42" s="1670">
        <f t="shared" si="3"/>
        <v>5361700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548424</v>
      </c>
      <c r="D44" s="481">
        <v>99750</v>
      </c>
      <c r="E44" s="481">
        <v>303403</v>
      </c>
      <c r="F44" s="481">
        <v>72099</v>
      </c>
      <c r="G44" s="481"/>
      <c r="H44" s="481">
        <v>6468</v>
      </c>
      <c r="I44" s="467"/>
      <c r="J44" s="467"/>
      <c r="K44" s="1672">
        <f>SUM(C44:J44)</f>
        <v>1030144</v>
      </c>
      <c r="L44" s="481">
        <v>1182808</v>
      </c>
    </row>
    <row r="45" spans="1:14" x14ac:dyDescent="0.2">
      <c r="A45" s="1504" t="s">
        <v>815</v>
      </c>
      <c r="B45" s="614">
        <v>2220</v>
      </c>
      <c r="C45" s="466">
        <v>1959570</v>
      </c>
      <c r="D45" s="466">
        <v>331741</v>
      </c>
      <c r="E45" s="466">
        <v>454195</v>
      </c>
      <c r="F45" s="466">
        <v>72976</v>
      </c>
      <c r="G45" s="466">
        <v>89670</v>
      </c>
      <c r="H45" s="466"/>
      <c r="I45" s="467">
        <v>546164</v>
      </c>
      <c r="J45" s="467"/>
      <c r="K45" s="1672">
        <f>SUM(C45:J45)</f>
        <v>3454316</v>
      </c>
      <c r="L45" s="466">
        <v>3895411</v>
      </c>
    </row>
    <row r="46" spans="1:14" x14ac:dyDescent="0.2">
      <c r="A46" s="1504" t="s">
        <v>816</v>
      </c>
      <c r="B46" s="614">
        <v>2230</v>
      </c>
      <c r="C46" s="466">
        <v>11696</v>
      </c>
      <c r="D46" s="466">
        <v>1327</v>
      </c>
      <c r="E46" s="466">
        <v>239928</v>
      </c>
      <c r="F46" s="466">
        <v>17997</v>
      </c>
      <c r="G46" s="466"/>
      <c r="H46" s="466"/>
      <c r="I46" s="467"/>
      <c r="J46" s="467"/>
      <c r="K46" s="1672">
        <f>SUM(C46:J46)</f>
        <v>270948</v>
      </c>
      <c r="L46" s="466">
        <v>166900</v>
      </c>
    </row>
    <row r="47" spans="1:14" ht="12.75" customHeight="1" thickBot="1" x14ac:dyDescent="0.25">
      <c r="A47" s="1668" t="s">
        <v>561</v>
      </c>
      <c r="B47" s="1669" t="s">
        <v>32</v>
      </c>
      <c r="C47" s="1670">
        <f>SUM(C44:C46)</f>
        <v>2519690</v>
      </c>
      <c r="D47" s="1670">
        <f t="shared" ref="D47:K47" si="4">SUM(D44:D46)</f>
        <v>432818</v>
      </c>
      <c r="E47" s="1670">
        <f t="shared" si="4"/>
        <v>997526</v>
      </c>
      <c r="F47" s="1670">
        <f t="shared" si="4"/>
        <v>163072</v>
      </c>
      <c r="G47" s="1670">
        <f t="shared" si="4"/>
        <v>89670</v>
      </c>
      <c r="H47" s="1670">
        <f t="shared" si="4"/>
        <v>6468</v>
      </c>
      <c r="I47" s="1670">
        <f t="shared" si="4"/>
        <v>546164</v>
      </c>
      <c r="J47" s="1670">
        <f t="shared" si="4"/>
        <v>0</v>
      </c>
      <c r="K47" s="1670">
        <f t="shared" si="4"/>
        <v>4755408</v>
      </c>
      <c r="L47" s="1670">
        <f>SUM(L44:L46)</f>
        <v>5245119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78869</v>
      </c>
      <c r="D49" s="481">
        <v>37610</v>
      </c>
      <c r="E49" s="481">
        <v>1059958</v>
      </c>
      <c r="F49" s="481"/>
      <c r="G49" s="481"/>
      <c r="H49" s="481">
        <v>9782</v>
      </c>
      <c r="I49" s="467"/>
      <c r="J49" s="467"/>
      <c r="K49" s="1672">
        <f>SUM(C49:J49)</f>
        <v>1186219</v>
      </c>
      <c r="L49" s="481">
        <v>1086619</v>
      </c>
    </row>
    <row r="50" spans="1:14" x14ac:dyDescent="0.2">
      <c r="A50" s="1504" t="s">
        <v>818</v>
      </c>
      <c r="B50" s="614">
        <v>2320</v>
      </c>
      <c r="C50" s="466">
        <v>354527</v>
      </c>
      <c r="D50" s="466">
        <v>57645</v>
      </c>
      <c r="E50" s="466">
        <v>1819</v>
      </c>
      <c r="F50" s="466">
        <v>8940</v>
      </c>
      <c r="G50" s="466"/>
      <c r="H50" s="466">
        <v>5395</v>
      </c>
      <c r="I50" s="467"/>
      <c r="J50" s="467"/>
      <c r="K50" s="1672">
        <f>SUM(C50:J50)</f>
        <v>428326</v>
      </c>
      <c r="L50" s="466">
        <v>488452</v>
      </c>
    </row>
    <row r="51" spans="1:14" x14ac:dyDescent="0.2">
      <c r="A51" s="1504" t="s">
        <v>42</v>
      </c>
      <c r="B51" s="614">
        <v>2330</v>
      </c>
      <c r="C51" s="466">
        <v>295224</v>
      </c>
      <c r="D51" s="466">
        <v>68876</v>
      </c>
      <c r="E51" s="466">
        <v>13</v>
      </c>
      <c r="F51" s="466">
        <v>1692</v>
      </c>
      <c r="G51" s="466"/>
      <c r="H51" s="466">
        <v>575</v>
      </c>
      <c r="I51" s="467"/>
      <c r="J51" s="467"/>
      <c r="K51" s="1672">
        <f>SUM(C51:J51)</f>
        <v>366380</v>
      </c>
      <c r="L51" s="466">
        <v>357050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728620</v>
      </c>
      <c r="D53" s="1670">
        <f t="shared" ref="D53:L53" si="5">SUM(D49:D52)</f>
        <v>164131</v>
      </c>
      <c r="E53" s="1670">
        <f t="shared" si="5"/>
        <v>1061790</v>
      </c>
      <c r="F53" s="1670">
        <f t="shared" si="5"/>
        <v>10632</v>
      </c>
      <c r="G53" s="1670">
        <f t="shared" si="5"/>
        <v>0</v>
      </c>
      <c r="H53" s="1670">
        <f t="shared" si="5"/>
        <v>15752</v>
      </c>
      <c r="I53" s="1670">
        <f t="shared" si="5"/>
        <v>0</v>
      </c>
      <c r="J53" s="1670">
        <f t="shared" si="5"/>
        <v>0</v>
      </c>
      <c r="K53" s="1670">
        <f t="shared" si="5"/>
        <v>1980925</v>
      </c>
      <c r="L53" s="1670">
        <f t="shared" si="5"/>
        <v>1932121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2746240</v>
      </c>
      <c r="D55" s="481">
        <v>569200</v>
      </c>
      <c r="E55" s="481">
        <v>13698</v>
      </c>
      <c r="F55" s="481">
        <v>8485</v>
      </c>
      <c r="G55" s="481"/>
      <c r="H55" s="481">
        <v>9754</v>
      </c>
      <c r="I55" s="467"/>
      <c r="J55" s="467"/>
      <c r="K55" s="1672">
        <f>SUM(C55:J55)</f>
        <v>3347377</v>
      </c>
      <c r="L55" s="481">
        <v>3560346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2746240</v>
      </c>
      <c r="D57" s="1674">
        <f t="shared" ref="D57:K57" si="6">SUM(D55:D56)</f>
        <v>569200</v>
      </c>
      <c r="E57" s="1674">
        <f t="shared" si="6"/>
        <v>13698</v>
      </c>
      <c r="F57" s="1674">
        <f t="shared" si="6"/>
        <v>8485</v>
      </c>
      <c r="G57" s="1674">
        <f t="shared" si="6"/>
        <v>0</v>
      </c>
      <c r="H57" s="1674">
        <f t="shared" si="6"/>
        <v>9754</v>
      </c>
      <c r="I57" s="1674">
        <f t="shared" si="6"/>
        <v>0</v>
      </c>
      <c r="J57" s="1674">
        <f t="shared" si="6"/>
        <v>0</v>
      </c>
      <c r="K57" s="1674">
        <f t="shared" si="6"/>
        <v>3347377</v>
      </c>
      <c r="L57" s="1670">
        <f>SUM(L55:L56)</f>
        <v>3560346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268650</v>
      </c>
      <c r="D60" s="466">
        <v>46104</v>
      </c>
      <c r="E60" s="466">
        <v>221998</v>
      </c>
      <c r="F60" s="466">
        <v>46433</v>
      </c>
      <c r="G60" s="466"/>
      <c r="H60" s="466">
        <v>3825</v>
      </c>
      <c r="I60" s="467"/>
      <c r="J60" s="467"/>
      <c r="K60" s="1672">
        <f t="shared" si="7"/>
        <v>587010</v>
      </c>
      <c r="L60" s="466">
        <v>1048700</v>
      </c>
      <c r="M60" s="609"/>
      <c r="N60" s="609"/>
    </row>
    <row r="61" spans="1:14" s="343" customFormat="1" x14ac:dyDescent="0.2">
      <c r="A61" s="1504" t="s">
        <v>197</v>
      </c>
      <c r="B61" s="614">
        <v>2540</v>
      </c>
      <c r="C61" s="466">
        <v>143340</v>
      </c>
      <c r="D61" s="466">
        <v>8849</v>
      </c>
      <c r="E61" s="466">
        <v>25851</v>
      </c>
      <c r="F61" s="466">
        <v>144460</v>
      </c>
      <c r="G61" s="466"/>
      <c r="H61" s="466">
        <v>356</v>
      </c>
      <c r="I61" s="467"/>
      <c r="J61" s="467"/>
      <c r="K61" s="1672">
        <f t="shared" si="7"/>
        <v>322856</v>
      </c>
      <c r="L61" s="466">
        <v>330310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418198</v>
      </c>
      <c r="D63" s="466">
        <v>2035</v>
      </c>
      <c r="E63" s="466">
        <v>40000</v>
      </c>
      <c r="F63" s="466">
        <v>1341586</v>
      </c>
      <c r="G63" s="466"/>
      <c r="H63" s="466"/>
      <c r="I63" s="467"/>
      <c r="J63" s="467"/>
      <c r="K63" s="1672">
        <f t="shared" si="7"/>
        <v>1801819</v>
      </c>
      <c r="L63" s="466">
        <v>1948780</v>
      </c>
    </row>
    <row r="64" spans="1:14" s="609" customFormat="1" x14ac:dyDescent="0.2">
      <c r="A64" s="1509" t="s">
        <v>101</v>
      </c>
      <c r="B64" s="630">
        <v>2570</v>
      </c>
      <c r="C64" s="481"/>
      <c r="D64" s="481"/>
      <c r="E64" s="481">
        <v>100822</v>
      </c>
      <c r="F64" s="481"/>
      <c r="G64" s="481"/>
      <c r="H64" s="481"/>
      <c r="I64" s="467"/>
      <c r="J64" s="467"/>
      <c r="K64" s="1672">
        <f t="shared" si="7"/>
        <v>100822</v>
      </c>
      <c r="L64" s="481">
        <v>152000</v>
      </c>
    </row>
    <row r="65" spans="1:14" s="343" customFormat="1" ht="12.75" customHeight="1" thickBot="1" x14ac:dyDescent="0.25">
      <c r="A65" s="1668" t="s">
        <v>719</v>
      </c>
      <c r="B65" s="1669" t="s">
        <v>35</v>
      </c>
      <c r="C65" s="1670">
        <f>SUM(C59:C64)</f>
        <v>830188</v>
      </c>
      <c r="D65" s="1670">
        <f t="shared" ref="D65:L65" si="8">SUM(D59:D64)</f>
        <v>56988</v>
      </c>
      <c r="E65" s="1670">
        <f t="shared" si="8"/>
        <v>388671</v>
      </c>
      <c r="F65" s="1670">
        <f t="shared" si="8"/>
        <v>1532479</v>
      </c>
      <c r="G65" s="1670">
        <f t="shared" si="8"/>
        <v>0</v>
      </c>
      <c r="H65" s="1670">
        <f t="shared" si="8"/>
        <v>4181</v>
      </c>
      <c r="I65" s="1670">
        <f t="shared" si="8"/>
        <v>0</v>
      </c>
      <c r="J65" s="1670">
        <f t="shared" si="8"/>
        <v>0</v>
      </c>
      <c r="K65" s="1670">
        <f t="shared" si="8"/>
        <v>2812507</v>
      </c>
      <c r="L65" s="1670">
        <f t="shared" si="8"/>
        <v>3479790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69304</v>
      </c>
      <c r="D69" s="466">
        <v>4932</v>
      </c>
      <c r="E69" s="466">
        <v>35371</v>
      </c>
      <c r="F69" s="466">
        <v>2079</v>
      </c>
      <c r="G69" s="466"/>
      <c r="H69" s="466">
        <v>250</v>
      </c>
      <c r="I69" s="467"/>
      <c r="J69" s="467"/>
      <c r="K69" s="1672">
        <f>SUM(C69:J69)</f>
        <v>111936</v>
      </c>
      <c r="L69" s="466">
        <v>135104</v>
      </c>
      <c r="M69" s="609"/>
      <c r="N69" s="609"/>
    </row>
    <row r="70" spans="1:14" s="343" customFormat="1" x14ac:dyDescent="0.2">
      <c r="A70" s="1504" t="s">
        <v>403</v>
      </c>
      <c r="B70" s="614">
        <v>2640</v>
      </c>
      <c r="C70" s="466">
        <v>393034</v>
      </c>
      <c r="D70" s="466">
        <v>46302</v>
      </c>
      <c r="E70" s="466">
        <v>27953</v>
      </c>
      <c r="F70" s="466">
        <v>3816</v>
      </c>
      <c r="G70" s="466"/>
      <c r="H70" s="466">
        <v>750</v>
      </c>
      <c r="I70" s="467"/>
      <c r="J70" s="467"/>
      <c r="K70" s="1672">
        <f>SUM(C70:J70)</f>
        <v>471855</v>
      </c>
      <c r="L70" s="466">
        <v>502538</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462338</v>
      </c>
      <c r="D72" s="1670">
        <f t="shared" ref="D72:K72" si="9">SUM(D67:D71)</f>
        <v>51234</v>
      </c>
      <c r="E72" s="1670">
        <f t="shared" si="9"/>
        <v>63324</v>
      </c>
      <c r="F72" s="1670">
        <f t="shared" si="9"/>
        <v>5895</v>
      </c>
      <c r="G72" s="1670">
        <f t="shared" si="9"/>
        <v>0</v>
      </c>
      <c r="H72" s="1670">
        <f t="shared" si="9"/>
        <v>1000</v>
      </c>
      <c r="I72" s="1670">
        <f t="shared" si="9"/>
        <v>0</v>
      </c>
      <c r="J72" s="1670">
        <f t="shared" si="9"/>
        <v>0</v>
      </c>
      <c r="K72" s="1670">
        <f t="shared" si="9"/>
        <v>583791</v>
      </c>
      <c r="L72" s="1670">
        <f>SUM(L67:L71)</f>
        <v>637642</v>
      </c>
      <c r="M72" s="609"/>
      <c r="N72" s="609"/>
    </row>
    <row r="73" spans="1:14" s="343" customFormat="1" ht="14.25" thickTop="1" thickBot="1" x14ac:dyDescent="0.25">
      <c r="A73" s="1510" t="s">
        <v>980</v>
      </c>
      <c r="B73" s="632" t="s">
        <v>574</v>
      </c>
      <c r="C73" s="573"/>
      <c r="D73" s="573"/>
      <c r="E73" s="573"/>
      <c r="F73" s="573">
        <v>8480</v>
      </c>
      <c r="G73" s="573"/>
      <c r="H73" s="573"/>
      <c r="I73" s="531"/>
      <c r="J73" s="531"/>
      <c r="K73" s="1670">
        <f>SUM(C73:J73)</f>
        <v>8480</v>
      </c>
      <c r="L73" s="576">
        <v>10000</v>
      </c>
      <c r="M73" s="609"/>
      <c r="N73" s="609"/>
    </row>
    <row r="74" spans="1:14" ht="12.75" customHeight="1" thickTop="1" thickBot="1" x14ac:dyDescent="0.25">
      <c r="A74" s="1668" t="s">
        <v>811</v>
      </c>
      <c r="B74" s="1676">
        <v>2000</v>
      </c>
      <c r="C74" s="1677">
        <f>SUM(C42,C47,C53,C57,C65,C72,C73)</f>
        <v>11410598</v>
      </c>
      <c r="D74" s="1677">
        <f t="shared" ref="D74:K74" si="10">SUM(D42,D47,D53,D57,D65,D72,D73)</f>
        <v>2100334</v>
      </c>
      <c r="E74" s="1677">
        <f t="shared" si="10"/>
        <v>2635137</v>
      </c>
      <c r="F74" s="1677">
        <f t="shared" si="10"/>
        <v>1752364</v>
      </c>
      <c r="G74" s="1677">
        <f t="shared" si="10"/>
        <v>89670</v>
      </c>
      <c r="H74" s="1677">
        <f t="shared" si="10"/>
        <v>37155</v>
      </c>
      <c r="I74" s="1677">
        <f t="shared" si="10"/>
        <v>546164</v>
      </c>
      <c r="J74" s="1677">
        <f t="shared" si="10"/>
        <v>0</v>
      </c>
      <c r="K74" s="1677">
        <f t="shared" si="10"/>
        <v>18571422</v>
      </c>
      <c r="L74" s="1677">
        <f>SUM(L42,L47,L53,L57,L65,L72,L73)</f>
        <v>20226718</v>
      </c>
    </row>
    <row r="75" spans="1:14" s="259" customFormat="1" ht="15.75" customHeight="1" thickTop="1" thickBot="1" x14ac:dyDescent="0.25">
      <c r="A75" s="1610" t="s">
        <v>47</v>
      </c>
      <c r="B75" s="1611" t="s">
        <v>575</v>
      </c>
      <c r="C75" s="573">
        <v>42780</v>
      </c>
      <c r="D75" s="573">
        <v>4837</v>
      </c>
      <c r="E75" s="573">
        <v>6558</v>
      </c>
      <c r="F75" s="573">
        <v>52293</v>
      </c>
      <c r="G75" s="573"/>
      <c r="H75" s="573"/>
      <c r="I75" s="531"/>
      <c r="J75" s="531"/>
      <c r="K75" s="1670">
        <f>SUM(C75:J75)</f>
        <v>106468</v>
      </c>
      <c r="L75" s="576">
        <v>78770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254705</v>
      </c>
      <c r="I86" s="477"/>
      <c r="J86" s="477"/>
      <c r="K86" s="1677">
        <f t="shared" ref="K86:K98" si="12">H86</f>
        <v>254705</v>
      </c>
      <c r="L86" s="530">
        <v>423000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254705</v>
      </c>
      <c r="I92" s="477"/>
      <c r="J92" s="477"/>
      <c r="K92" s="1677">
        <f t="shared" si="12"/>
        <v>254705</v>
      </c>
      <c r="L92" s="1670">
        <f>SUM(L85:L91)</f>
        <v>423000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254705</v>
      </c>
      <c r="I102" s="477"/>
      <c r="J102" s="477"/>
      <c r="K102" s="1677">
        <f>SUM(K84,K92,K100,K101)</f>
        <v>254705</v>
      </c>
      <c r="L102" s="1677">
        <f>SUM(L84,L92,L100,L101)</f>
        <v>423000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45431648</v>
      </c>
      <c r="D114" s="1670">
        <f t="shared" ref="D114:K114" si="13">SUM(D33,D74,D75,D102,D112,D113)</f>
        <v>11050033</v>
      </c>
      <c r="E114" s="1670">
        <f t="shared" si="13"/>
        <v>2849479</v>
      </c>
      <c r="F114" s="1670">
        <f t="shared" si="13"/>
        <v>2777556</v>
      </c>
      <c r="G114" s="1670">
        <f t="shared" si="13"/>
        <v>89670</v>
      </c>
      <c r="H114" s="1670">
        <f>SUM(H33,H74,H75,H102,H112,H113)</f>
        <v>1609782</v>
      </c>
      <c r="I114" s="1670">
        <f t="shared" si="13"/>
        <v>640623</v>
      </c>
      <c r="J114" s="1670">
        <f t="shared" si="13"/>
        <v>315917</v>
      </c>
      <c r="K114" s="1670">
        <f t="shared" si="13"/>
        <v>64764708</v>
      </c>
      <c r="L114" s="1670">
        <f>SUM(L33,L74,L75,L102,L112,L113)</f>
        <v>64969010</v>
      </c>
    </row>
    <row r="115" spans="1:14" ht="13.5" thickTop="1" x14ac:dyDescent="0.2">
      <c r="A115" s="2184" t="s">
        <v>996</v>
      </c>
      <c r="B115" s="2185"/>
      <c r="C115" s="618"/>
      <c r="D115" s="618"/>
      <c r="E115" s="618"/>
      <c r="F115" s="618"/>
      <c r="G115" s="618"/>
      <c r="H115" s="618"/>
      <c r="I115" s="618"/>
      <c r="J115" s="618"/>
      <c r="K115" s="1684">
        <f>'Revenues 9-14'!C268-'Expenditures 15-22'!K114</f>
        <v>-3381898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3088863</v>
      </c>
      <c r="D124" s="466">
        <v>766177</v>
      </c>
      <c r="E124" s="466">
        <v>491883</v>
      </c>
      <c r="F124" s="466">
        <v>1120151</v>
      </c>
      <c r="G124" s="466"/>
      <c r="H124" s="466"/>
      <c r="I124" s="467"/>
      <c r="J124" s="467"/>
      <c r="K124" s="1670">
        <f>SUM(C124:J124)</f>
        <v>5467074</v>
      </c>
      <c r="L124" s="466">
        <v>5950830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3088863</v>
      </c>
      <c r="D127" s="1670">
        <f t="shared" ref="D127:L127" si="14">SUM(D122:D126)</f>
        <v>766177</v>
      </c>
      <c r="E127" s="1670">
        <f t="shared" si="14"/>
        <v>491883</v>
      </c>
      <c r="F127" s="1670">
        <f t="shared" si="14"/>
        <v>1120151</v>
      </c>
      <c r="G127" s="1670">
        <f t="shared" si="14"/>
        <v>0</v>
      </c>
      <c r="H127" s="1670">
        <f t="shared" si="14"/>
        <v>0</v>
      </c>
      <c r="I127" s="1670">
        <f t="shared" si="14"/>
        <v>0</v>
      </c>
      <c r="J127" s="1670">
        <f t="shared" si="14"/>
        <v>0</v>
      </c>
      <c r="K127" s="1670">
        <f t="shared" si="14"/>
        <v>5467074</v>
      </c>
      <c r="L127" s="1670">
        <f t="shared" si="14"/>
        <v>5950830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3088863</v>
      </c>
      <c r="D129" s="1677">
        <f t="shared" ref="D129:L129" si="15">SUM(D120,D127,D128)</f>
        <v>766177</v>
      </c>
      <c r="E129" s="1677">
        <f t="shared" si="15"/>
        <v>491883</v>
      </c>
      <c r="F129" s="1677">
        <f t="shared" si="15"/>
        <v>1120151</v>
      </c>
      <c r="G129" s="1677">
        <f t="shared" si="15"/>
        <v>0</v>
      </c>
      <c r="H129" s="1677">
        <f t="shared" si="15"/>
        <v>0</v>
      </c>
      <c r="I129" s="1677">
        <f t="shared" si="15"/>
        <v>0</v>
      </c>
      <c r="J129" s="1677">
        <f t="shared" si="15"/>
        <v>0</v>
      </c>
      <c r="K129" s="1677">
        <f t="shared" si="15"/>
        <v>5467074</v>
      </c>
      <c r="L129" s="1677">
        <f t="shared" si="15"/>
        <v>5950830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3088863</v>
      </c>
      <c r="D151" s="1670">
        <f t="shared" ref="D151:K151" si="16">SUM(D129,D130,D139,D149,D150)</f>
        <v>766177</v>
      </c>
      <c r="E151" s="1670">
        <f t="shared" si="16"/>
        <v>491883</v>
      </c>
      <c r="F151" s="1670">
        <f t="shared" si="16"/>
        <v>1120151</v>
      </c>
      <c r="G151" s="1670">
        <f t="shared" si="16"/>
        <v>0</v>
      </c>
      <c r="H151" s="1670">
        <f t="shared" si="16"/>
        <v>0</v>
      </c>
      <c r="I151" s="1670">
        <f t="shared" si="16"/>
        <v>0</v>
      </c>
      <c r="J151" s="1670">
        <f t="shared" si="16"/>
        <v>0</v>
      </c>
      <c r="K151" s="1670">
        <f t="shared" si="16"/>
        <v>5467074</v>
      </c>
      <c r="L151" s="1670">
        <f>SUM(L129,L130,L139,L149,L150)</f>
        <v>5950830</v>
      </c>
    </row>
    <row r="152" spans="1:14" ht="12.75" customHeight="1" thickTop="1" x14ac:dyDescent="0.2">
      <c r="A152" s="2177" t="s">
        <v>1178</v>
      </c>
      <c r="B152" s="2178"/>
      <c r="C152" s="618"/>
      <c r="D152" s="618"/>
      <c r="E152" s="618"/>
      <c r="F152" s="618"/>
      <c r="G152" s="618"/>
      <c r="H152" s="618"/>
      <c r="I152" s="618"/>
      <c r="J152" s="616"/>
      <c r="K152" s="1684">
        <f>'Revenues 9-14'!D268-'Expenditures 15-22'!K151</f>
        <v>126360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240111</v>
      </c>
      <c r="I169" s="616"/>
      <c r="J169" s="616"/>
      <c r="K169" s="1671">
        <f>SUM(C169:H169)</f>
        <v>240111</v>
      </c>
      <c r="L169" s="656">
        <v>236500</v>
      </c>
    </row>
    <row r="170" spans="1:14" ht="33.75" customHeight="1" x14ac:dyDescent="0.2">
      <c r="A170" s="669" t="s">
        <v>1670</v>
      </c>
      <c r="B170" s="671" t="s">
        <v>31</v>
      </c>
      <c r="C170" s="616"/>
      <c r="D170" s="616"/>
      <c r="E170" s="616"/>
      <c r="F170" s="616"/>
      <c r="G170" s="616"/>
      <c r="H170" s="569">
        <v>973045</v>
      </c>
      <c r="I170" s="616"/>
      <c r="J170" s="616"/>
      <c r="K170" s="1671">
        <f>SUM(C170:J170)</f>
        <v>973045</v>
      </c>
      <c r="L170" s="569">
        <v>895000</v>
      </c>
    </row>
    <row r="171" spans="1:14" ht="15.75" customHeight="1" x14ac:dyDescent="0.2">
      <c r="A171" s="621" t="s">
        <v>766</v>
      </c>
      <c r="B171" s="672" t="s">
        <v>84</v>
      </c>
      <c r="C171" s="616"/>
      <c r="D171" s="616"/>
      <c r="E171" s="466">
        <v>160684</v>
      </c>
      <c r="F171" s="616"/>
      <c r="G171" s="616"/>
      <c r="H171" s="569"/>
      <c r="I171" s="477"/>
      <c r="J171" s="616"/>
      <c r="K171" s="1671">
        <f>SUM(C171:J171)</f>
        <v>160684</v>
      </c>
      <c r="L171" s="569">
        <v>1200</v>
      </c>
    </row>
    <row r="172" spans="1:14" ht="12.75" customHeight="1" thickBot="1" x14ac:dyDescent="0.25">
      <c r="A172" s="1668" t="s">
        <v>638</v>
      </c>
      <c r="B172" s="1669" t="s">
        <v>492</v>
      </c>
      <c r="C172" s="616"/>
      <c r="D172" s="616"/>
      <c r="E172" s="1677">
        <f>SUM(E168,E169,E170,E171)</f>
        <v>160684</v>
      </c>
      <c r="F172" s="616"/>
      <c r="G172" s="616"/>
      <c r="H172" s="1677">
        <f>SUM(H168,H169,H170,H171)</f>
        <v>1213156</v>
      </c>
      <c r="I172" s="638"/>
      <c r="J172" s="616"/>
      <c r="K172" s="1677">
        <f>SUM(K168,K169,K170,K171)</f>
        <v>1373840</v>
      </c>
      <c r="L172" s="1677">
        <f>SUM(L168,L169,L170,L171)</f>
        <v>1132700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160684</v>
      </c>
      <c r="F174" s="616"/>
      <c r="G174" s="616"/>
      <c r="H174" s="1677">
        <f>SUM(H160,H172,H173)</f>
        <v>1213156</v>
      </c>
      <c r="I174" s="638"/>
      <c r="J174" s="616"/>
      <c r="K174" s="1677">
        <f>SUM(K160,K172,K173)</f>
        <v>1373840</v>
      </c>
      <c r="L174" s="1677">
        <f>SUM(L160,L172,L173)</f>
        <v>1132700</v>
      </c>
    </row>
    <row r="175" spans="1:14" ht="13.5" thickTop="1" x14ac:dyDescent="0.2">
      <c r="A175" s="2184" t="s">
        <v>996</v>
      </c>
      <c r="B175" s="2185"/>
      <c r="C175" s="616"/>
      <c r="D175" s="616"/>
      <c r="E175" s="616"/>
      <c r="F175" s="616"/>
      <c r="G175" s="616"/>
      <c r="H175" s="618"/>
      <c r="I175" s="616"/>
      <c r="J175" s="616"/>
      <c r="K175" s="1684">
        <f>'Revenues 9-14'!E268-'Expenditures 15-22'!K174</f>
        <v>-73394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289401</v>
      </c>
      <c r="D182" s="466">
        <v>3982</v>
      </c>
      <c r="E182" s="466">
        <v>6813545</v>
      </c>
      <c r="F182" s="466"/>
      <c r="G182" s="466"/>
      <c r="H182" s="466"/>
      <c r="I182" s="467"/>
      <c r="J182" s="467"/>
      <c r="K182" s="1671">
        <f>SUM(C182:J182)</f>
        <v>7106928</v>
      </c>
      <c r="L182" s="466">
        <v>7204650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289401</v>
      </c>
      <c r="D184" s="1677">
        <f t="shared" ref="D184:J184" si="17">SUM(D180,D182,D183)</f>
        <v>3982</v>
      </c>
      <c r="E184" s="1677">
        <f t="shared" si="17"/>
        <v>6813545</v>
      </c>
      <c r="F184" s="1677">
        <f t="shared" si="17"/>
        <v>0</v>
      </c>
      <c r="G184" s="1677">
        <f t="shared" si="17"/>
        <v>0</v>
      </c>
      <c r="H184" s="1677">
        <f t="shared" si="17"/>
        <v>0</v>
      </c>
      <c r="I184" s="1677">
        <f t="shared" si="17"/>
        <v>0</v>
      </c>
      <c r="J184" s="1677">
        <f t="shared" si="17"/>
        <v>0</v>
      </c>
      <c r="K184" s="1677">
        <f>SUM(K180,K182,K183)</f>
        <v>7106928</v>
      </c>
      <c r="L184" s="1677">
        <f>SUM(L180, L182:L183)</f>
        <v>7204650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289401</v>
      </c>
      <c r="D210" s="1670">
        <f>SUM(D184,D185)</f>
        <v>3982</v>
      </c>
      <c r="E210" s="1670">
        <f>SUM(E184,E185,E196)</f>
        <v>6813545</v>
      </c>
      <c r="F210" s="1670">
        <f>SUM(F184,F185)</f>
        <v>0</v>
      </c>
      <c r="G210" s="1670">
        <f>SUM(G184,G185)</f>
        <v>0</v>
      </c>
      <c r="H210" s="1670">
        <f>SUM(H184,H185,H196,H208,H209)</f>
        <v>0</v>
      </c>
      <c r="I210" s="1670">
        <f>SUM(I184,I185)</f>
        <v>0</v>
      </c>
      <c r="J210" s="1670">
        <f>SUM(J184,J185)</f>
        <v>0</v>
      </c>
      <c r="K210" s="1671">
        <f>SUM(K184,K185,K196,K208,K209)</f>
        <v>7106928</v>
      </c>
      <c r="L210" s="1670">
        <f>SUM(L184,L185,L196,L208,L209)</f>
        <v>7204650</v>
      </c>
    </row>
    <row r="211" spans="1:14" ht="13.5" thickTop="1" x14ac:dyDescent="0.2">
      <c r="A211" s="2184" t="s">
        <v>996</v>
      </c>
      <c r="B211" s="2185"/>
      <c r="C211" s="618"/>
      <c r="D211" s="618"/>
      <c r="E211" s="618"/>
      <c r="F211" s="618"/>
      <c r="G211" s="618"/>
      <c r="H211" s="618"/>
      <c r="I211" s="616"/>
      <c r="J211" s="616"/>
      <c r="K211" s="1684">
        <f>'Revenues 9-14'!F268-'Expenditures 15-22'!K210</f>
        <v>974863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276794</v>
      </c>
      <c r="E215" s="616"/>
      <c r="F215" s="616"/>
      <c r="G215" s="616"/>
      <c r="H215" s="616"/>
      <c r="I215" s="616"/>
      <c r="J215" s="616"/>
      <c r="K215" s="1671">
        <f>D215</f>
        <v>276794</v>
      </c>
      <c r="L215" s="466">
        <v>276930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771726</v>
      </c>
      <c r="E217" s="616"/>
      <c r="F217" s="616"/>
      <c r="G217" s="616"/>
      <c r="H217" s="616"/>
      <c r="I217" s="616"/>
      <c r="J217" s="616"/>
      <c r="K217" s="1671">
        <f t="shared" si="19"/>
        <v>771726</v>
      </c>
      <c r="L217" s="466">
        <v>804700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32129</v>
      </c>
      <c r="E219" s="616"/>
      <c r="F219" s="616"/>
      <c r="G219" s="616"/>
      <c r="H219" s="616"/>
      <c r="I219" s="616"/>
      <c r="J219" s="616"/>
      <c r="K219" s="1671">
        <f t="shared" si="19"/>
        <v>32129</v>
      </c>
      <c r="L219" s="466">
        <v>29300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v>65</v>
      </c>
    </row>
    <row r="223" spans="1:14" x14ac:dyDescent="0.2">
      <c r="A223" s="1504" t="s">
        <v>963</v>
      </c>
      <c r="B223" s="614">
        <v>1500</v>
      </c>
      <c r="C223" s="616"/>
      <c r="D223" s="466">
        <v>4480</v>
      </c>
      <c r="E223" s="616"/>
      <c r="F223" s="616"/>
      <c r="G223" s="616"/>
      <c r="H223" s="616"/>
      <c r="I223" s="616"/>
      <c r="J223" s="616"/>
      <c r="K223" s="1671">
        <f t="shared" si="19"/>
        <v>4480</v>
      </c>
      <c r="L223" s="466">
        <v>4440</v>
      </c>
    </row>
    <row r="224" spans="1:14" x14ac:dyDescent="0.2">
      <c r="A224" s="1504" t="s">
        <v>964</v>
      </c>
      <c r="B224" s="614">
        <v>1600</v>
      </c>
      <c r="C224" s="616"/>
      <c r="D224" s="466">
        <v>12628</v>
      </c>
      <c r="E224" s="616"/>
      <c r="F224" s="616"/>
      <c r="G224" s="616"/>
      <c r="H224" s="616"/>
      <c r="I224" s="616"/>
      <c r="J224" s="616"/>
      <c r="K224" s="1671">
        <f t="shared" si="19"/>
        <v>12628</v>
      </c>
      <c r="L224" s="466">
        <v>10960</v>
      </c>
    </row>
    <row r="225" spans="1:12" x14ac:dyDescent="0.2">
      <c r="A225" s="1504" t="s">
        <v>987</v>
      </c>
      <c r="B225" s="614">
        <v>1650</v>
      </c>
      <c r="C225" s="616"/>
      <c r="D225" s="466">
        <v>11285</v>
      </c>
      <c r="E225" s="616"/>
      <c r="F225" s="616"/>
      <c r="G225" s="616"/>
      <c r="H225" s="616"/>
      <c r="I225" s="616"/>
      <c r="J225" s="616"/>
      <c r="K225" s="1671">
        <f t="shared" si="19"/>
        <v>11285</v>
      </c>
      <c r="L225" s="466">
        <v>11500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21920</v>
      </c>
      <c r="E227" s="616"/>
      <c r="F227" s="616"/>
      <c r="G227" s="616"/>
      <c r="H227" s="616"/>
      <c r="I227" s="616"/>
      <c r="J227" s="616"/>
      <c r="K227" s="1671">
        <f t="shared" si="19"/>
        <v>21920</v>
      </c>
      <c r="L227" s="466">
        <v>25090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1130962</v>
      </c>
      <c r="E229" s="616"/>
      <c r="F229" s="616"/>
      <c r="G229" s="616"/>
      <c r="H229" s="616"/>
      <c r="I229" s="616"/>
      <c r="J229" s="616"/>
      <c r="K229" s="1670">
        <f>SUM(K215:K228)</f>
        <v>1130962</v>
      </c>
      <c r="L229" s="1670">
        <f>SUM(L215:L228)</f>
        <v>1162985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15009</v>
      </c>
      <c r="E232" s="616"/>
      <c r="F232" s="616"/>
      <c r="G232" s="616"/>
      <c r="H232" s="616"/>
      <c r="I232" s="616"/>
      <c r="J232" s="616"/>
      <c r="K232" s="1671">
        <f t="shared" ref="K232:K237" si="20">D232</f>
        <v>15009</v>
      </c>
      <c r="L232" s="466">
        <v>14300</v>
      </c>
    </row>
    <row r="233" spans="1:12" x14ac:dyDescent="0.2">
      <c r="A233" s="1504" t="s">
        <v>1090</v>
      </c>
      <c r="B233" s="614">
        <v>2120</v>
      </c>
      <c r="C233" s="616"/>
      <c r="D233" s="466">
        <v>37858</v>
      </c>
      <c r="E233" s="616"/>
      <c r="F233" s="616"/>
      <c r="G233" s="616"/>
      <c r="H233" s="616"/>
      <c r="I233" s="616"/>
      <c r="J233" s="616"/>
      <c r="K233" s="1671">
        <f t="shared" si="20"/>
        <v>37858</v>
      </c>
      <c r="L233" s="466">
        <v>76060</v>
      </c>
    </row>
    <row r="234" spans="1:12" x14ac:dyDescent="0.2">
      <c r="A234" s="1504" t="s">
        <v>198</v>
      </c>
      <c r="B234" s="614">
        <v>2130</v>
      </c>
      <c r="C234" s="616"/>
      <c r="D234" s="466">
        <v>202550</v>
      </c>
      <c r="E234" s="616"/>
      <c r="F234" s="616"/>
      <c r="G234" s="616"/>
      <c r="H234" s="616"/>
      <c r="I234" s="616"/>
      <c r="J234" s="616"/>
      <c r="K234" s="1671">
        <f t="shared" si="20"/>
        <v>202550</v>
      </c>
      <c r="L234" s="466">
        <v>207500</v>
      </c>
    </row>
    <row r="235" spans="1:12" x14ac:dyDescent="0.2">
      <c r="A235" s="1504" t="s">
        <v>199</v>
      </c>
      <c r="B235" s="614">
        <v>2140</v>
      </c>
      <c r="C235" s="616"/>
      <c r="D235" s="466">
        <v>6865</v>
      </c>
      <c r="E235" s="616"/>
      <c r="F235" s="616"/>
      <c r="G235" s="616"/>
      <c r="H235" s="616"/>
      <c r="I235" s="616"/>
      <c r="J235" s="616"/>
      <c r="K235" s="1671">
        <f t="shared" si="20"/>
        <v>6865</v>
      </c>
      <c r="L235" s="466">
        <v>8100</v>
      </c>
    </row>
    <row r="236" spans="1:12" x14ac:dyDescent="0.2">
      <c r="A236" s="1504" t="s">
        <v>200</v>
      </c>
      <c r="B236" s="614">
        <v>2150</v>
      </c>
      <c r="C236" s="616"/>
      <c r="D236" s="466">
        <v>16186</v>
      </c>
      <c r="E236" s="616"/>
      <c r="F236" s="616"/>
      <c r="G236" s="616"/>
      <c r="H236" s="616"/>
      <c r="I236" s="616"/>
      <c r="J236" s="616"/>
      <c r="K236" s="1671">
        <f t="shared" si="20"/>
        <v>16186</v>
      </c>
      <c r="L236" s="466">
        <v>16500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278468</v>
      </c>
      <c r="E238" s="616"/>
      <c r="F238" s="616"/>
      <c r="G238" s="616"/>
      <c r="H238" s="616"/>
      <c r="I238" s="616"/>
      <c r="J238" s="616"/>
      <c r="K238" s="1670">
        <f>SUM(K232:K237)</f>
        <v>278468</v>
      </c>
      <c r="L238" s="1670">
        <f>SUM(L232:L237)</f>
        <v>322460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41271</v>
      </c>
      <c r="E240" s="616"/>
      <c r="F240" s="616"/>
      <c r="G240" s="616"/>
      <c r="H240" s="616"/>
      <c r="I240" s="616"/>
      <c r="J240" s="616"/>
      <c r="K240" s="1672">
        <f>D240</f>
        <v>41271</v>
      </c>
      <c r="L240" s="481">
        <v>68250</v>
      </c>
    </row>
    <row r="241" spans="1:12" x14ac:dyDescent="0.2">
      <c r="A241" s="1504" t="s">
        <v>815</v>
      </c>
      <c r="B241" s="614">
        <v>2220</v>
      </c>
      <c r="C241" s="616"/>
      <c r="D241" s="466">
        <v>223159</v>
      </c>
      <c r="E241" s="616"/>
      <c r="F241" s="616"/>
      <c r="G241" s="616"/>
      <c r="H241" s="616"/>
      <c r="I241" s="616"/>
      <c r="J241" s="616"/>
      <c r="K241" s="1672">
        <f>D241</f>
        <v>223159</v>
      </c>
      <c r="L241" s="466">
        <v>247000</v>
      </c>
    </row>
    <row r="242" spans="1:12" x14ac:dyDescent="0.2">
      <c r="A242" s="1504" t="s">
        <v>816</v>
      </c>
      <c r="B242" s="614">
        <v>2230</v>
      </c>
      <c r="C242" s="616"/>
      <c r="D242" s="466">
        <v>166</v>
      </c>
      <c r="E242" s="616"/>
      <c r="F242" s="616"/>
      <c r="G242" s="616"/>
      <c r="H242" s="616"/>
      <c r="I242" s="616"/>
      <c r="J242" s="616"/>
      <c r="K242" s="1672">
        <f>D242</f>
        <v>166</v>
      </c>
      <c r="L242" s="466">
        <v>100</v>
      </c>
    </row>
    <row r="243" spans="1:12" ht="12.75" customHeight="1" thickBot="1" x14ac:dyDescent="0.25">
      <c r="A243" s="1694" t="s">
        <v>561</v>
      </c>
      <c r="B243" s="1695">
        <v>2200</v>
      </c>
      <c r="C243" s="616"/>
      <c r="D243" s="1670">
        <f>SUM(D240:D242)</f>
        <v>264596</v>
      </c>
      <c r="E243" s="616"/>
      <c r="F243" s="616"/>
      <c r="G243" s="616"/>
      <c r="H243" s="616"/>
      <c r="I243" s="616"/>
      <c r="J243" s="616"/>
      <c r="K243" s="1670">
        <f>SUM(K240:K242)</f>
        <v>264596</v>
      </c>
      <c r="L243" s="1670">
        <f>SUM(L240:L242)</f>
        <v>315350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17467</v>
      </c>
      <c r="E245" s="616"/>
      <c r="F245" s="616"/>
      <c r="G245" s="616"/>
      <c r="H245" s="616"/>
      <c r="I245" s="616"/>
      <c r="J245" s="616"/>
      <c r="K245" s="1672">
        <f>D245</f>
        <v>17467</v>
      </c>
      <c r="L245" s="481">
        <v>17400</v>
      </c>
    </row>
    <row r="246" spans="1:12" x14ac:dyDescent="0.2">
      <c r="A246" s="1504" t="s">
        <v>818</v>
      </c>
      <c r="B246" s="614">
        <v>2320</v>
      </c>
      <c r="C246" s="616"/>
      <c r="D246" s="466">
        <v>5105</v>
      </c>
      <c r="E246" s="616"/>
      <c r="F246" s="616"/>
      <c r="G246" s="616"/>
      <c r="H246" s="616"/>
      <c r="I246" s="616"/>
      <c r="J246" s="616"/>
      <c r="K246" s="1672">
        <f t="shared" ref="K246:K256" si="21">D246</f>
        <v>5105</v>
      </c>
      <c r="L246" s="466">
        <v>5000</v>
      </c>
    </row>
    <row r="247" spans="1:12" x14ac:dyDescent="0.2">
      <c r="A247" s="1504" t="s">
        <v>819</v>
      </c>
      <c r="B247" s="614">
        <v>2330</v>
      </c>
      <c r="C247" s="616"/>
      <c r="D247" s="466">
        <v>5841</v>
      </c>
      <c r="E247" s="616"/>
      <c r="F247" s="616"/>
      <c r="G247" s="616"/>
      <c r="H247" s="616"/>
      <c r="I247" s="616"/>
      <c r="J247" s="616"/>
      <c r="K247" s="1672">
        <f t="shared" si="21"/>
        <v>5841</v>
      </c>
      <c r="L247" s="466">
        <v>37500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28413</v>
      </c>
      <c r="E257" s="616"/>
      <c r="F257" s="616"/>
      <c r="G257" s="616"/>
      <c r="H257" s="616"/>
      <c r="I257" s="616"/>
      <c r="J257" s="616"/>
      <c r="K257" s="1670">
        <f>SUM(K245:K256)</f>
        <v>28413</v>
      </c>
      <c r="L257" s="1670">
        <f>SUM(L245:L256)</f>
        <v>59900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188204</v>
      </c>
      <c r="E259" s="616"/>
      <c r="F259" s="616"/>
      <c r="G259" s="616"/>
      <c r="H259" s="616"/>
      <c r="I259" s="616"/>
      <c r="J259" s="616"/>
      <c r="K259" s="1672">
        <f>D259</f>
        <v>188204</v>
      </c>
      <c r="L259" s="481">
        <v>195390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188204</v>
      </c>
      <c r="E261" s="616"/>
      <c r="F261" s="616"/>
      <c r="G261" s="616"/>
      <c r="H261" s="616"/>
      <c r="I261" s="616"/>
      <c r="J261" s="616"/>
      <c r="K261" s="1670">
        <f>SUM(K259:K260)</f>
        <v>188204</v>
      </c>
      <c r="L261" s="1670">
        <f>SUM(L259:L260)</f>
        <v>195390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57780</v>
      </c>
      <c r="E264" s="616"/>
      <c r="F264" s="616"/>
      <c r="G264" s="616"/>
      <c r="H264" s="616"/>
      <c r="I264" s="616"/>
      <c r="J264" s="616"/>
      <c r="K264" s="1672">
        <f t="shared" ref="K264:K269" si="22">D264</f>
        <v>57780</v>
      </c>
      <c r="L264" s="466">
        <v>110000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704195</v>
      </c>
      <c r="E266" s="616"/>
      <c r="F266" s="616"/>
      <c r="G266" s="616"/>
      <c r="H266" s="616"/>
      <c r="I266" s="616"/>
      <c r="J266" s="616"/>
      <c r="K266" s="1672">
        <f t="shared" si="22"/>
        <v>704195</v>
      </c>
      <c r="L266" s="466">
        <v>876700</v>
      </c>
    </row>
    <row r="267" spans="1:14" x14ac:dyDescent="0.2">
      <c r="A267" s="1504" t="s">
        <v>953</v>
      </c>
      <c r="B267" s="614">
        <v>2550</v>
      </c>
      <c r="C267" s="616"/>
      <c r="D267" s="466">
        <v>13151</v>
      </c>
      <c r="E267" s="616"/>
      <c r="F267" s="616"/>
      <c r="G267" s="616"/>
      <c r="H267" s="616"/>
      <c r="I267" s="616"/>
      <c r="J267" s="616"/>
      <c r="K267" s="1672">
        <f t="shared" si="22"/>
        <v>13151</v>
      </c>
      <c r="L267" s="466">
        <v>12460</v>
      </c>
    </row>
    <row r="268" spans="1:14" x14ac:dyDescent="0.2">
      <c r="A268" s="1504" t="s">
        <v>100</v>
      </c>
      <c r="B268" s="614">
        <v>2560</v>
      </c>
      <c r="C268" s="616"/>
      <c r="D268" s="466">
        <v>24958</v>
      </c>
      <c r="E268" s="616"/>
      <c r="F268" s="616"/>
      <c r="G268" s="616"/>
      <c r="H268" s="616"/>
      <c r="I268" s="616"/>
      <c r="J268" s="616"/>
      <c r="K268" s="1672">
        <f t="shared" si="22"/>
        <v>24958</v>
      </c>
      <c r="L268" s="466">
        <v>25110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800084</v>
      </c>
      <c r="E270" s="616"/>
      <c r="F270" s="616"/>
      <c r="G270" s="616"/>
      <c r="H270" s="616"/>
      <c r="I270" s="616"/>
      <c r="J270" s="616"/>
      <c r="K270" s="1670">
        <f>SUM(K263:K269)</f>
        <v>800084</v>
      </c>
      <c r="L270" s="1670">
        <f>SUM(L263:L269)</f>
        <v>1024270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15348</v>
      </c>
      <c r="E274" s="616"/>
      <c r="F274" s="616"/>
      <c r="G274" s="616"/>
      <c r="H274" s="616"/>
      <c r="I274" s="616"/>
      <c r="J274" s="616"/>
      <c r="K274" s="1672">
        <f>D274</f>
        <v>15348</v>
      </c>
      <c r="L274" s="466">
        <v>15200</v>
      </c>
    </row>
    <row r="275" spans="1:12" x14ac:dyDescent="0.2">
      <c r="A275" s="1504" t="s">
        <v>403</v>
      </c>
      <c r="B275" s="614">
        <v>2640</v>
      </c>
      <c r="C275" s="616"/>
      <c r="D275" s="466">
        <v>51818</v>
      </c>
      <c r="E275" s="616"/>
      <c r="F275" s="616"/>
      <c r="G275" s="616"/>
      <c r="H275" s="616"/>
      <c r="I275" s="616"/>
      <c r="J275" s="616"/>
      <c r="K275" s="1672">
        <f>D275</f>
        <v>51818</v>
      </c>
      <c r="L275" s="466">
        <v>51340</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67166</v>
      </c>
      <c r="E277" s="616"/>
      <c r="F277" s="616"/>
      <c r="G277" s="616"/>
      <c r="H277" s="616"/>
      <c r="I277" s="616"/>
      <c r="J277" s="616"/>
      <c r="K277" s="1670">
        <f>SUM(K272:K276)</f>
        <v>67166</v>
      </c>
      <c r="L277" s="1670">
        <f>SUM(L272:L276)</f>
        <v>66540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1626931</v>
      </c>
      <c r="E279" s="616"/>
      <c r="F279" s="616"/>
      <c r="G279" s="616"/>
      <c r="H279" s="616"/>
      <c r="I279" s="616"/>
      <c r="J279" s="616"/>
      <c r="K279" s="1677">
        <f>SUM(K238,K243,K257,K261,K270,K277,K278)</f>
        <v>1626931</v>
      </c>
      <c r="L279" s="1677">
        <f>SUM(L238,L243,L257,L261,L270,L277,L278)</f>
        <v>1983910</v>
      </c>
    </row>
    <row r="280" spans="1:12" ht="15.75" customHeight="1" thickTop="1" thickBot="1" x14ac:dyDescent="0.25">
      <c r="A280" s="1624" t="s">
        <v>875</v>
      </c>
      <c r="B280" s="1613">
        <v>3000</v>
      </c>
      <c r="C280" s="616"/>
      <c r="D280" s="576">
        <v>781</v>
      </c>
      <c r="E280" s="616"/>
      <c r="F280" s="616"/>
      <c r="G280" s="616"/>
      <c r="H280" s="616"/>
      <c r="I280" s="616"/>
      <c r="J280" s="616"/>
      <c r="K280" s="1679">
        <f>D280</f>
        <v>781</v>
      </c>
      <c r="L280" s="576">
        <v>215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2758674</v>
      </c>
      <c r="E295" s="616"/>
      <c r="F295" s="616"/>
      <c r="G295" s="616"/>
      <c r="H295" s="1670">
        <f>H293</f>
        <v>0</v>
      </c>
      <c r="I295" s="616"/>
      <c r="J295" s="616"/>
      <c r="K295" s="1670">
        <f>SUM(K229,K279,K280,K285,K293,K294)</f>
        <v>2758674</v>
      </c>
      <c r="L295" s="1670">
        <f>SUM(L229,L279,L280,L285,L293,L294)</f>
        <v>3147110</v>
      </c>
    </row>
    <row r="296" spans="1:14" ht="13.5" thickTop="1" x14ac:dyDescent="0.2">
      <c r="A296" s="2184" t="s">
        <v>996</v>
      </c>
      <c r="B296" s="2185"/>
      <c r="C296" s="616"/>
      <c r="D296" s="618"/>
      <c r="E296" s="616"/>
      <c r="F296" s="616"/>
      <c r="G296" s="616"/>
      <c r="H296" s="687"/>
      <c r="I296" s="616"/>
      <c r="J296" s="616"/>
      <c r="K296" s="1684">
        <f>'Revenues 9-14'!G268-'Expenditures 15-22'!K295</f>
        <v>100380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43842</v>
      </c>
      <c r="F301" s="466"/>
      <c r="G301" s="466">
        <v>828633</v>
      </c>
      <c r="H301" s="466"/>
      <c r="I301" s="467">
        <v>270166</v>
      </c>
      <c r="J301" s="467"/>
      <c r="K301" s="1671">
        <f>SUM(C301:J301)</f>
        <v>1142641</v>
      </c>
      <c r="L301" s="467">
        <v>750000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43842</v>
      </c>
      <c r="F303" s="1677">
        <f t="shared" si="23"/>
        <v>0</v>
      </c>
      <c r="G303" s="1677">
        <f t="shared" si="23"/>
        <v>828633</v>
      </c>
      <c r="H303" s="1677">
        <f t="shared" si="23"/>
        <v>0</v>
      </c>
      <c r="I303" s="1677">
        <f t="shared" si="23"/>
        <v>270166</v>
      </c>
      <c r="J303" s="1677">
        <f t="shared" si="23"/>
        <v>0</v>
      </c>
      <c r="K303" s="1677">
        <f t="shared" si="23"/>
        <v>1142641</v>
      </c>
      <c r="L303" s="1677">
        <f t="shared" si="23"/>
        <v>750000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43842</v>
      </c>
      <c r="F312" s="1670">
        <f>SUM(F303)</f>
        <v>0</v>
      </c>
      <c r="G312" s="1670">
        <f>SUM(G303)</f>
        <v>828633</v>
      </c>
      <c r="H312" s="1670">
        <f>SUM(H303,H310)</f>
        <v>0</v>
      </c>
      <c r="I312" s="1670">
        <f>SUM(I303)</f>
        <v>270166</v>
      </c>
      <c r="J312" s="1670">
        <f>SUM(J303)</f>
        <v>0</v>
      </c>
      <c r="K312" s="1670">
        <f>SUM(K303,K310,K311)</f>
        <v>1142641</v>
      </c>
      <c r="L312" s="1670">
        <f>SUM(L303,L310,L311)</f>
        <v>750000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-1043397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4079</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terms/"/>
    <ds:schemaRef ds:uri="6ce3111e-7420-4802-b50a-75d4e9a0b980"/>
    <ds:schemaRef ds:uri="d21dc803-237d-4c68-8692-8d731fd29118"/>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2019-10-01T15:27:31Z</cp:lastPrinted>
  <dcterms:created xsi:type="dcterms:W3CDTF">2003-10-29T19:06:34Z</dcterms:created>
  <dcterms:modified xsi:type="dcterms:W3CDTF">2020-01-08T19:17:37Z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