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0" windowWidth="28815" windowHeight="6450" tabRatio="96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0" i="181" l="1"/>
  <c r="F18" i="181"/>
  <c r="L124" i="29" l="1"/>
  <c r="L123" i="29"/>
  <c r="L71" i="29"/>
  <c r="L5" i="29"/>
  <c r="L342" i="2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1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E19" i="181"/>
  <c r="F19" i="181" s="1"/>
  <c r="F25" i="181" l="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E17" i="18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E29" i="108" l="1"/>
  <c r="G26" i="108"/>
  <c r="E26" i="108"/>
  <c r="G15" i="145"/>
  <c r="B1274" i="106"/>
  <c r="D1274" i="106" s="1"/>
  <c r="B2724" i="106"/>
  <c r="D2724" i="106" s="1"/>
  <c r="L13" i="11"/>
  <c r="B2060" i="106" s="1"/>
  <c r="D2060" i="106" s="1"/>
  <c r="L5" i="11"/>
  <c r="B2056" i="106" s="1"/>
  <c r="D205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B1328" i="106"/>
  <c r="D1328" i="106" s="1"/>
  <c r="F41" i="108"/>
  <c r="G43" i="108" s="1"/>
  <c r="D41" i="108"/>
  <c r="E43" i="108" s="1"/>
  <c r="C114" i="29"/>
  <c r="B757" i="106" s="1"/>
  <c r="D757" i="106" s="1"/>
  <c r="B5527" i="106"/>
  <c r="D5527" i="106" s="1"/>
  <c r="L16" i="11"/>
  <c r="B2061" i="106" s="1"/>
  <c r="D2061"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<sst xmlns="http://schemas.openxmlformats.org/spreadsheetml/2006/main" count="5107" uniqueCount="2121">
  <si>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</si>
  <si>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</si>
  <si>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</si>
  <si>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</si>
  <si>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</si>
  <si>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</si>
  <si>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</si>
  <si>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</si>
  <si>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</si>
  <si>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</si>
  <si>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</si>
  <si>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</si>
  <si>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</si>
  <si>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</si>
  <si>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</si>
  <si>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</si>
  <si>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</si>
  <si>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</si>
  <si>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</si>
  <si>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</si>
  <si>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</si>
  <si>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</si>
  <si>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</si>
  <si>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</si>
  <si>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</si>
  <si>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</si>
  <si>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</si>
  <si>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</si>
  <si>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</si>
  <si>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</si>
  <si>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</si>
  <si>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</si>
  <si>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</si>
  <si>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</si>
  <si>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</si>
  <si>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</si>
  <si>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</si>
  <si>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</si>
  <si>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</si>
  <si>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</si>
  <si>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</si>
  <si>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</si>
  <si>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</si>
  <si>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</si>
  <si>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</si>
  <si>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</si>
  <si>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</si>
  <si>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</si>
  <si>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</si>
  <si>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</si>
  <si>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</si>
  <si>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</si>
  <si>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</si>
  <si>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</si>
  <si>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</si>
  <si>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</si>
  <si>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</si>
  <si>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</si>
  <si>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</si>
  <si>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</si>
  <si>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</si>
  <si>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</si>
  <si>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</si>
  <si>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</si>
  <si>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</si>
  <si>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</si>
  <si>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</si>
  <si>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</si>
  <si>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</si>
  <si>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</si>
  <si>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</si>
  <si>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</si>
  <si>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</si>
  <si>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</si>
  <si>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</si>
  <si>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</si>
  <si>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</si>
  <si>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</si>
  <si>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</si>
  <si>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</si>
  <si>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</si>
  <si>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</si>
  <si>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</si>
  <si>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</si>
  <si>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</si>
  <si>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</si>
  <si>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</si>
  <si>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</si>
  <si>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</si>
  <si>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</si>
  <si>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</si>
  <si>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</si>
  <si>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</si>
  <si>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</si>
  <si>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</si>
  <si>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</si>
  <si>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</si>
  <si>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</si>
  <si>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</si>
  <si>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</si>
  <si>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</si>
  <si>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</si>
  <si>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</si>
  <si>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</si>
  <si>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</si>
  <si>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</si>
  <si>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</si>
  <si>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</si>
  <si>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</si>
  <si>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</si>
  <si>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</si>
  <si>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</si>
  <si>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</si>
  <si>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</si>
  <si>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</si>
  <si>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</si>
  <si>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</si>
  <si>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</si>
  <si>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</si>
  <si>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</si>
  <si>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</si>
  <si>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</si>
  <si>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</si>
  <si>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</si>
  <si>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</si>
  <si>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</si>
  <si>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</si>
  <si>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</si>
  <si>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</si>
  <si>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</si>
  <si>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</si>
  <si>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</si>
  <si>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</si>
  <si>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</si>
  <si>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</si>
  <si>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</si>
  <si>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</si>
  <si>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</si>
  <si>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</si>
  <si>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</si>
  <si>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</si>
  <si>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</si>
  <si>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</si>
  <si>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</si>
  <si>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</si>
  <si>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</si>
  <si>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</si>
  <si>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</si>
  <si>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</si>
  <si>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</si>
  <si>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</si>
  <si>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</si>
  <si>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</si>
  <si>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</si>
  <si>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</si>
  <si>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</si>
  <si>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</si>
  <si>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</si>
  <si>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</si>
  <si>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</si>
  <si>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</si>
  <si>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</si>
  <si>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</si>
  <si>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</si>
  <si>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</si>
  <si>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</si>
  <si>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</si>
  <si>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</si>
  <si>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</si>
  <si>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</si>
  <si>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</si>
  <si>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</si>
  <si>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</si>
  <si>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</si>
  <si>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</si>
  <si>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</si>
  <si>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</si>
  <si>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</si>
  <si>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</si>
  <si>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</si>
  <si>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</si>
  <si>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</si>
  <si>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</si>
  <si>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</si>
  <si>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</si>
  <si>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</si>
  <si>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</si>
  <si>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</si>
  <si>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</si>
  <si>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</si>
  <si>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</si>
  <si>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</si>
  <si>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</si>
  <si>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</si>
  <si>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</si>
  <si>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</si>
  <si>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</si>
  <si>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</si>
  <si>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</si>
  <si>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</si>
  <si>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</si>
  <si>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</si>
  <si>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</si>
  <si>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</si>
  <si>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</si>
  <si>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</si>
  <si>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</si>
  <si>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</si>
  <si>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</si>
  <si>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</si>
  <si>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</si>
  <si>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</si>
  <si>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</si>
  <si>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</si>
  <si>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</si>
  <si>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</si>
  <si>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</si>
  <si>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</si>
  <si>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</si>
  <si>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</si>
  <si>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</si>
  <si>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</si>
  <si>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</si>
  <si>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</si>
  <si>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</si>
  <si>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</si>
  <si>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</si>
  <si>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</si>
  <si>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</si>
  <si>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</si>
  <si>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</si>
  <si>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</si>
  <si>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</si>
  <si>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</si>
  <si>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</si>
  <si>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</si>
  <si>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</si>
  <si>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</si>
  <si>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</si>
  <si>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</si>
  <si>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</si>
  <si>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</si>
  <si>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</si>
  <si>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</si>
  <si>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</si>
  <si>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</si>
  <si>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</si>
  <si>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</si>
  <si>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</si>
  <si>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</si>
  <si>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</si>
  <si>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</si>
  <si>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</si>
  <si>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</si>
  <si>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</si>
  <si>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</si>
  <si>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</si>
  <si>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</si>
  <si>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</si>
  <si>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</si>
  <si>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</si>
  <si>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</si>
  <si>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</si>
  <si>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</si>
  <si>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</si>
  <si>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</si>
  <si>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</si>
  <si>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</si>
  <si>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</si>
  <si>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</si>
  <si>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</si>
  <si>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</si>
  <si>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</si>
  <si>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</si>
  <si>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</si>
  <si>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</si>
  <si>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</si>
  <si>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</si>
  <si>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</si>
  <si>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</si>
  <si>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</si>
  <si>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</si>
  <si>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</si>
  <si>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</si>
  <si>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</si>
  <si>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</si>
  <si>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</si>
  <si>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</si>
  <si>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</si>
  <si>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</si>
  <si>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</si>
  <si>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</si>
  <si>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</si>
  <si>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</si>
  <si>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</si>
  <si>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</si>
  <si>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</si>
  <si>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</si>
  <si>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</si>
  <si>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</si>
  <si>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</si>
  <si>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</si>
  <si>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</si>
  <si>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</si>
  <si>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</si>
  <si>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</si>
  <si>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</si>
  <si>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</si>
  <si>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</si>
  <si>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</si>
  <si>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</si>
  <si>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</si>
  <si>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</si>
  <si>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</si>
  <si>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</si>
  <si>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</si>
  <si>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</si>
  <si>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</si>
  <si>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</si>
  <si>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</si>
  <si>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</si>
  <si>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</si>
  <si>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</si>
  <si>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</si>
  <si>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</si>
  <si>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</si>
  <si>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</si>
  <si>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</si>
  <si>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</si>
  <si>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</si>
  <si>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</si>
  <si>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</si>
  <si>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</si>
  <si>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</si>
  <si>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</si>
  <si>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</si>
  <si>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</si>
  <si>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</si>
  <si>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</si>
  <si>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</si>
  <si>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</si>
  <si>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</si>
  <si>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</si>
  <si>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</si>
  <si>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</si>
  <si>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</si>
  <si>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</si>
  <si>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</si>
  <si>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</si>
  <si>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</si>
  <si>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</si>
  <si>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</si>
  <si>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</si>
  <si>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</si>
  <si>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</si>
  <si>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</si>
  <si>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</si>
  <si>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</si>
  <si>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</si>
  <si>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</si>
  <si>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</si>
  <si>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</si>
  <si>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</si>
  <si>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</si>
  <si>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</si>
  <si>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</si>
  <si>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</si>
  <si>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</si>
  <si>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</si>
  <si>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</si>
  <si>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</si>
  <si>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</si>
  <si>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</si>
  <si>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</si>
  <si>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</si>
  <si>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</si>
  <si>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</si>
  <si>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</si>
  <si>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</si>
  <si>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</si>
  <si>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</si>
  <si>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</si>
  <si>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</si>
  <si>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</si>
  <si>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</si>
  <si>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</si>
  <si>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</si>
  <si>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</si>
  <si>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</si>
  <si>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</si>
  <si>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</si>
  <si>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</si>
  <si>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</si>
  <si>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</si>
  <si>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</si>
  <si>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</si>
  <si>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</si>
  <si>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</si>
  <si>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</si>
  <si>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</si>
  <si>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</si>
  <si>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</si>
  <si>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</si>
  <si>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</si>
  <si>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</si>
  <si>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</si>
  <si>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</si>
  <si>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</si>
  <si>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</si>
  <si>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</si>
  <si>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</si>
  <si>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</si>
  <si>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</si>
  <si>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</si>
  <si>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</si>
  <si>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</si>
  <si>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</si>
  <si>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</si>
  <si>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</si>
  <si>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</si>
  <si>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</si>
  <si>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</si>
  <si>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</si>
  <si>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</si>
  <si>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</si>
  <si>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</si>
  <si>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</si>
  <si>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</si>
  <si>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</si>
  <si>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</si>
  <si>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</si>
  <si>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</si>
  <si>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</si>
  <si>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</si>
  <si>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</si>
  <si>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</si>
  <si>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</si>
  <si>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</si>
  <si>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</si>
  <si>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</si>
  <si>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</si>
  <si>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</si>
  <si>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</si>
  <si>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</si>
  <si>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</si>
  <si>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</si>
  <si>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</si>
  <si>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</si>
  <si>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</si>
  <si>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</si>
  <si>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</si>
  <si>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</si>
  <si>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</si>
  <si>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</si>
  <si>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</si>
  <si>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</si>
  <si>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</si>
  <si>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</si>
  <si>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</si>
  <si>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</si>
  <si>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</si>
  <si>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</si>
  <si>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</si>
  <si>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</si>
  <si>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</si>
  <si>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</si>
  <si>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</si>
  <si>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</si>
  <si>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</si>
  <si>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</si>
  <si>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</si>
  <si>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</si>
  <si>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</si>
  <si>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</si>
  <si>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</si>
  <si>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</si>
  <si>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</si>
  <si>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</si>
  <si>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</si>
  <si>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</si>
  <si>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</si>
  <si>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</si>
  <si>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</si>
  <si>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</si>
  <si>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</si>
  <si>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</si>
  <si>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</si>
  <si>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</si>
  <si>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</si>
  <si>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</si>
  <si>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</si>
  <si>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</si>
  <si>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</si>
  <si>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</si>
  <si>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</si>
  <si>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</si>
  <si>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</si>
  <si>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</si>
  <si>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</si>
  <si>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</si>
  <si>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</si>
  <si>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</si>
  <si>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</si>
  <si>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</si>
  <si>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</si>
  <si>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</si>
  <si>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</si>
  <si>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</si>
  <si>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</si>
  <si>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</si>
  <si>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</si>
  <si>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</si>
  <si>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</si>
  <si>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</si>
  <si>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</si>
  <si>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</si>
  <si>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</si>
  <si>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</si>
  <si>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</si>
  <si>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</si>
  <si>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</si>
  <si>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</si>
  <si>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</si>
  <si>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</si>
  <si>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</si>
  <si>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</si>
  <si>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</si>
  <si>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</si>
  <si>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</si>
  <si>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</si>
  <si>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</si>
  <si>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</si>
  <si>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</si>
  <si>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</si>
  <si>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</si>
  <si>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</si>
  <si>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</si>
  <si>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</si>
  <si>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</si>
  <si>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</si>
  <si>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</si>
  <si>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</si>
  <si>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</si>
  <si>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</si>
  <si>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</si>
  <si>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</si>
  <si>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</si>
  <si>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</si>
  <si>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</si>
  <si>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</si>
  <si>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</si>
  <si>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</si>
  <si>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</si>
  <si>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</si>
  <si>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</si>
  <si>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</si>
  <si>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</si>
  <si>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</si>
  <si>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</si>
  <si>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</si>
  <si>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</si>
  <si>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</si>
  <si>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</si>
  <si>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</si>
  <si>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</si>
  <si>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</si>
  <si>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</si>
  <si>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</si>
  <si>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</si>
  <si>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</si>
  <si>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</si>
  <si>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</si>
  <si>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</si>
  <si>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</si>
  <si>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</si>
  <si>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</si>
  <si>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</si>
  <si>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</si>
  <si>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</si>
  <si>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</si>
  <si>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</si>
  <si>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</si>
  <si>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</si>
  <si>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</si>
  <si>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</si>
  <si>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</si>
  <si>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</si>
  <si>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</si>
  <si>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</si>
  <si>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</si>
  <si>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</si>
  <si>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</si>
  <si>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</si>
  <si>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</si>
  <si>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</si>
  <si>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</si>
  <si>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</si>
  <si>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</si>
  <si>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</si>
  <si>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</si>
  <si>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</si>
  <si>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</si>
  <si>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</si>
  <si>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</si>
  <si>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</si>
  <si>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</si>
  <si>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</si>
  <si>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</si>
  <si>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</si>
  <si>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</si>
  <si>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</si>
  <si>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</si>
  <si>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</si>
  <si>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</si>
  <si>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</si>
  <si>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</si>
  <si>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</si>
  <si>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</si>
  <si>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</si>
  <si>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</si>
  <si>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</si>
  <si>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</si>
  <si>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</si>
  <si>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</si>
  <si>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</si>
  <si>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</si>
  <si>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</si>
  <si>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</si>
  <si>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</si>
  <si>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</si>
  <si>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</si>
  <si>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</si>
  <si>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</si>
  <si>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</si>
  <si>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</si>
  <si>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</si>
  <si>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</si>
  <si>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</si>
  <si>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</si>
  <si>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</si>
  <si>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</si>
  <si>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</si>
  <si>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</si>
  <si>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</si>
  <si>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</si>
  <si>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</si>
  <si>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</si>
  <si>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</si>
  <si>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</si>
  <si>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</si>
  <si>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</si>
  <si>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</si>
  <si>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</si>
  <si>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</si>
  <si>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</si>
  <si>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</si>
  <si>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</si>
  <si>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</si>
  <si>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</si>
  <si>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</si>
  <si>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</si>
  <si>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</si>
  <si>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</si>
  <si>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</si>
  <si>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</si>
  <si>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</si>
  <si>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</si>
  <si>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</si>
  <si>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</si>
  <si>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</si>
  <si>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</si>
  <si>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</si>
  <si>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</si>
  <si>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</si>
  <si>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</si>
  <si>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</si>
  <si>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</si>
  <si>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</si>
  <si>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</si>
  <si>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</si>
  <si>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</si>
  <si>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</si>
  <si>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</si>
  <si>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</si>
  <si>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</si>
  <si>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</si>
  <si>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</si>
  <si>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</si>
  <si>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</si>
  <si>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</si>
  <si>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</si>
  <si>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</si>
  <si>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</si>
  <si>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</si>
  <si>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</si>
  <si>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</si>
  <si>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</si>
  <si>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</si>
  <si>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</si>
  <si>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</si>
  <si>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</si>
  <si>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</si>
  <si>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</si>
  <si>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</si>
  <si>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</si>
  <si>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</si>
  <si>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</si>
  <si>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</si>
  <si>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</si>
  <si>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</si>
  <si>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</si>
  <si>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</si>
  <si>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</si>
  <si>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</si>
  <si>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</si>
  <si>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</si>
  <si>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</si>
  <si>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</si>
  <si>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</si>
  <si>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</si>
  <si>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</si>
  <si>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</si>
  <si>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</si>
  <si>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</si>
  <si>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</si>
  <si>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</si>
  <si>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</si>
  <si>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</si>
  <si>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</si>
  <si>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</si>
  <si>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</si>
  <si>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</si>
  <si>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</si>
  <si>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</si>
  <si>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</si>
  <si>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</si>
  <si>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</si>
  <si>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</si>
  <si>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</si>
  <si>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</si>
  <si>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</si>
  <si>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</si>
  <si>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</si>
  <si>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</si>
  <si>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</si>
  <si>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</si>
  <si>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</si>
  <si>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</si>
  <si>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</si>
  <si>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</si>
  <si>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</si>
  <si>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</si>
  <si>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</si>
  <si>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</si>
  <si>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</si>
  <si>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</si>
  <si>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</si>
  <si>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</si>
  <si>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</si>
  <si>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</si>
  <si>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</si>
  <si>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</si>
  <si>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</si>
  <si>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</si>
  <si>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</si>
  <si>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</si>
  <si>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</si>
  <si>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</si>
  <si>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</si>
  <si>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</si>
  <si>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</si>
  <si>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</si>
  <si>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</si>
  <si>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</si>
  <si>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</si>
  <si>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</si>
  <si>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</si>
  <si>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</si>
  <si>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</si>
  <si>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</si>
  <si>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</si>
  <si>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</si>
  <si>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</si>
  <si>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</si>
  <si>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</si>
  <si>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</si>
  <si>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</si>
  <si>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</si>
  <si>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</si>
  <si>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</si>
  <si>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</si>
  <si>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</si>
  <si>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</si>
  <si>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</si>
  <si>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</si>
  <si>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</si>
  <si>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</si>
  <si>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</si>
  <si>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</si>
  <si>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</si>
  <si>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</si>
  <si>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</si>
  <si>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</si>
  <si>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</si>
  <si>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</si>
  <si>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</si>
  <si>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</si>
  <si>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</si>
  <si>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</si>
  <si>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</si>
  <si>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</si>
  <si>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</si>
  <si>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</si>
  <si>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</si>
  <si>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</si>
  <si>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</si>
  <si>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</si>
  <si>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</si>
  <si>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</si>
  <si>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</si>
  <si>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</si>
  <si>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</si>
  <si>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</si>
  <si>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</si>
  <si>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</si>
  <si>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</si>
  <si>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</si>
  <si>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</si>
  <si>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</si>
  <si>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</si>
  <si>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</si>
  <si>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</si>
  <si>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</si>
  <si>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</si>
  <si>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</si>
  <si>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</si>
  <si>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</si>
  <si>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</si>
  <si>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</si>
  <si>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</si>
  <si>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</si>
  <si>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</si>
  <si>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</si>
  <si>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</si>
  <si>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</si>
  <si>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</si>
  <si>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</si>
  <si>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</si>
  <si>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</si>
  <si>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</si>
  <si>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</si>
  <si>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</si>
  <si>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</si>
  <si>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</si>
  <si>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</si>
  <si>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</si>
  <si>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</si>
  <si>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</si>
  <si>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</si>
  <si>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</si>
  <si>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</si>
  <si>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</si>
  <si>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</si>
  <si>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</si>
  <si>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</si>
  <si>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</si>
  <si>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</si>
  <si>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</si>
  <si>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</si>
  <si>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</si>
  <si>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</si>
  <si>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</si>
  <si>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</si>
  <si>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</si>
  <si>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</si>
  <si>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</si>
  <si>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</si>
  <si>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</si>
  <si>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</si>
  <si>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</si>
  <si>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</si>
  <si>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</si>
  <si>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</si>
  <si>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</si>
  <si>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</si>
  <si>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</si>
  <si>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</si>
  <si>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</si>
  <si>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</si>
  <si>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</si>
  <si>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</si>
  <si>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</si>
  <si>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</si>
  <si>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</si>
  <si>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</si>
  <si>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</si>
  <si>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</si>
  <si>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</si>
  <si>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</si>
  <si>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</si>
  <si>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</si>
  <si>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</si>
  <si>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</si>
  <si>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</si>
  <si>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</si>
  <si>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</si>
  <si>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</si>
  <si>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</si>
  <si>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</si>
  <si>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</si>
  <si>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</si>
  <si>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</si>
  <si>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</si>
  <si>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</si>
  <si>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</si>
  <si>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</si>
  <si>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</si>
  <si>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</si>
  <si>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</si>
  <si>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</si>
  <si>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</si>
  <si>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</si>
  <si>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</si>
  <si>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</si>
  <si>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</si>
  <si>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</si>
  <si>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</si>
  <si>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</si>
  <si>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</si>
  <si>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</si>
  <si>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</si>
  <si>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</si>
  <si>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</si>
  <si>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</si>
  <si>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</si>
  <si>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</si>
  <si>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</si>
  <si>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</si>
  <si>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</si>
  <si>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</si>
  <si>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</si>
  <si>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</si>
  <si>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</si>
  <si>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</si>
  <si>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</si>
  <si>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</si>
  <si>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</si>
  <si>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</si>
  <si>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</si>
  <si>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</si>
  <si>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</si>
  <si>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</si>
  <si>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</si>
  <si>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</si>
  <si>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</si>
  <si>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</si>
  <si>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</si>
  <si>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</si>
  <si>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</si>
  <si>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</si>
  <si>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</si>
  <si>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</si>
  <si>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</si>
  <si>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</si>
  <si>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</si>
  <si>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</si>
  <si>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</si>
  <si>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</si>
  <si>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</si>
  <si>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</si>
  <si>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</si>
  <si>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</si>
  <si>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</si>
  <si>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</si>
  <si>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</si>
  <si>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</si>
  <si>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</si>
  <si>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</si>
  <si>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</si>
  <si>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</si>
  <si>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</si>
  <si>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</si>
  <si>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</si>
  <si>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</si>
  <si>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</si>
  <si>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</si>
  <si>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</si>
  <si>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</si>
  <si>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</si>
  <si>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</si>
  <si>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</si>
  <si>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</si>
  <si>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</si>
  <si>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</si>
  <si>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</si>
  <si>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</si>
  <si>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</si>
  <si>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</si>
  <si>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</si>
  <si>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</si>
  <si>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</si>
  <si>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</si>
  <si>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</si>
  <si>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</si>
  <si>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</si>
  <si>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</si>
  <si>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</si>
  <si>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</si>
  <si>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</si>
  <si>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</si>
  <si>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</si>
  <si>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</si>
  <si>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</si>
  <si>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</si>
  <si>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</si>
  <si>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</si>
  <si>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</si>
  <si>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</si>
  <si>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</si>
  <si>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</si>
  <si>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</si>
  <si>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</si>
  <si>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</si>
  <si>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</si>
  <si>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</si>
  <si>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</si>
  <si>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</si>
  <si>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</si>
  <si>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</si>
  <si>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</si>
  <si>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</si>
  <si>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</si>
  <si>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</si>
  <si>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</si>
  <si>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</si>
  <si>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</si>
  <si>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</si>
  <si>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</si>
  <si>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</si>
  <si>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</si>
  <si>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</si>
  <si>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</si>
  <si>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</si>
  <si>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</si>
  <si>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</si>
  <si>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</si>
  <si>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</si>
  <si>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</si>
  <si>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</si>
  <si>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</si>
  <si>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</si>
  <si>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</si>
  <si>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</si>
  <si>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</si>
  <si>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</si>
  <si>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</si>
  <si>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</si>
  <si>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</si>
  <si>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</si>
  <si>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</si>
  <si>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</si>
  <si>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</si>
  <si>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</si>
  <si>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</si>
  <si>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</si>
  <si>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</si>
  <si>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</si>
  <si>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</si>
  <si>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</si>
  <si>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</si>
  <si>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</si>
  <si>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</si>
  <si>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</si>
  <si>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</si>
  <si>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</si>
  <si>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</si>
  <si>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</si>
  <si>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</si>
  <si>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</si>
  <si>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</si>
  <si>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</si>
  <si>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</si>
  <si>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</si>
  <si>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</si>
  <si>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</si>
  <si>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</si>
  <si>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</si>
  <si>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</si>
  <si>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</si>
  <si>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</si>
  <si>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</si>
  <si>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</si>
  <si>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</si>
  <si>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</si>
  <si>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</si>
  <si>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</si>
  <si>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</si>
  <si>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</si>
  <si>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</si>
  <si>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</si>
  <si>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</si>
  <si>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</si>
  <si>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</si>
  <si>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</si>
  <si>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</si>
  <si>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</si>
  <si>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</si>
  <si>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</si>
  <si>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</si>
  <si>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</si>
  <si>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</si>
  <si>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</si>
  <si>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</si>
  <si>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</si>
  <si>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</si>
  <si>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</si>
  <si>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</si>
  <si>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</si>
  <si>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</si>
  <si>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</si>
  <si>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</si>
  <si>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</si>
  <si>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</si>
  <si>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</si>
  <si>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</si>
  <si>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</si>
  <si>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</si>
  <si>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</si>
  <si>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</si>
  <si>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</si>
  <si>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</si>
  <si>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</si>
  <si>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</si>
  <si>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</si>
  <si>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</si>
  <si>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</si>
  <si>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</si>
  <si>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</si>
  <si>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</si>
  <si>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</si>
  <si>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</si>
  <si>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</si>
  <si>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</si>
  <si>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</si>
  <si>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</si>
  <si>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</si>
  <si>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</si>
  <si>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</si>
  <si>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</si>
  <si>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</si>
  <si>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</si>
  <si>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</si>
  <si>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</si>
  <si>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</si>
  <si>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</si>
  <si>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</si>
  <si>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</si>
  <si>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</si>
  <si>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</si>
  <si>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</si>
  <si>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</si>
  <si>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</si>
  <si>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</si>
  <si>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</si>
  <si>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</si>
  <si>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</si>
  <si>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</si>
  <si>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</si>
  <si>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</si>
  <si>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</si>
  <si>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</si>
  <si>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</si>
  <si>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</si>
  <si>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</si>
  <si>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</si>
  <si>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</si>
  <si>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</si>
  <si>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</si>
  <si>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</si>
  <si>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</si>
  <si>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</si>
  <si>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</si>
  <si>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</si>
  <si>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</si>
  <si>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</si>
  <si>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</si>
  <si>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</si>
  <si>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</si>
  <si>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</si>
  <si>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</si>
  <si>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</si>
  <si>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</si>
  <si>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</si>
  <si>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</si>
  <si>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</si>
  <si>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</si>
  <si>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</si>
  <si>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</si>
  <si>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</si>
  <si>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</si>
  <si>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</si>
  <si>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</si>
  <si>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</si>
  <si>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</si>
  <si>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</si>
  <si>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</si>
  <si>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</si>
  <si>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</si>
  <si>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</si>
  <si>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</si>
  <si>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</si>
  <si>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</si>
  <si>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</si>
  <si>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</si>
  <si>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</si>
  <si>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</si>
  <si>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</si>
  <si>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</si>
  <si>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</si>
  <si>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</si>
  <si>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</si>
  <si>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</si>
  <si>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</si>
  <si>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</si>
  <si>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</si>
  <si>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</si>
  <si>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</si>
  <si>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</si>
  <si>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</si>
  <si>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</si>
  <si>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</si>
  <si>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</si>
  <si>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</si>
  <si>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</si>
  <si>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</si>
  <si>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</si>
  <si>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</si>
  <si>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</si>
  <si>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</si>
  <si>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</si>
  <si>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</si>
  <si>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</si>
  <si>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</si>
  <si>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</si>
  <si>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</si>
  <si>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</si>
  <si>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</si>
  <si>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</si>
  <si>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</si>
  <si>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</si>
  <si>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</si>
  <si>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</si>
  <si>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</si>
  <si>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</si>
  <si>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</si>
  <si>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</si>
  <si>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</si>
  <si>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</si>
  <si>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</si>
  <si>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</si>
  <si>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</si>
  <si>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</si>
  <si>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</si>
  <si>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</si>
  <si>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</si>
  <si>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</si>
  <si>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</si>
  <si>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</si>
  <si>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</si>
  <si>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</si>
  <si>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</si>
  <si>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</si>
  <si>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</si>
  <si>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</si>
  <si>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</si>
  <si>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</si>
  <si>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</si>
  <si>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</si>
  <si>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</si>
  <si>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</si>
  <si>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</si>
  <si>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</si>
  <si>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</si>
  <si>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</si>
  <si>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</si>
  <si>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</si>
  <si>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</si>
  <si>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</si>
  <si>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</si>
  <si>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</si>
  <si>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</si>
  <si>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</si>
  <si>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</si>
  <si>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</si>
  <si>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</si>
  <si>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</si>
  <si>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</si>
  <si>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</si>
  <si>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</si>
  <si>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</si>
  <si>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</si>
  <si>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</si>
  <si>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</si>
  <si>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</si>
  <si>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</si>
  <si>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</si>
  <si>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</si>
  <si>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</si>
  <si>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</si>
  <si>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</si>
  <si>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</si>
  <si>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</si>
  <si>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</si>
  <si>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</si>
  <si>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</si>
  <si>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</si>
  <si>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</si>
  <si>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</si>
  <si>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</si>
  <si>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</si>
  <si>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</si>
  <si>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</si>
  <si>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</si>
  <si>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</si>
  <si>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</si>
  <si>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</si>
  <si>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</si>
  <si>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</si>
  <si>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</si>
  <si>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</si>
  <si>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</si>
  <si>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</si>
  <si>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</si>
  <si>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</si>
  <si>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</si>
  <si>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</si>
  <si>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</si>
  <si>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</si>
  <si>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</si>
  <si>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</si>
  <si>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</si>
  <si>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</si>
  <si>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</si>
  <si>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</si>
  <si>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</si>
  <si>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</si>
  <si>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</si>
  <si>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</si>
  <si>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</si>
  <si>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</si>
  <si>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</si>
  <si>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</si>
  <si>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</si>
  <si>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</si>
  <si>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</si>
  <si>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</si>
  <si>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</si>
  <si>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</si>
  <si>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</si>
  <si>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</si>
  <si>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</si>
  <si>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</si>
  <si>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</si>
  <si>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</si>
  <si>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</si>
  <si>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</si>
  <si>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</si>
  <si>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</si>
  <si>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</si>
  <si>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</si>
  <si>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</si>
  <si>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</si>
  <si>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</si>
  <si>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</si>
  <si>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</si>
  <si>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</si>
  <si>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</si>
  <si>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</si>
  <si>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</si>
  <si>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</si>
  <si>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</si>
  <si>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</si>
  <si>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</si>
  <si>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</si>
  <si>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</si>
  <si>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</si>
  <si>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</si>
  <si>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</si>
  <si>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</si>
  <si>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</si>
  <si>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</si>
  <si>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</si>
  <si>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</si>
  <si>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</si>
  <si>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</si>
  <si>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</si>
  <si>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</si>
  <si>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</si>
  <si>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</si>
  <si>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</si>
  <si>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</si>
  <si>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</si>
  <si>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</si>
  <si>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</si>
  <si>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</si>
  <si>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</si>
  <si>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</si>
  <si>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</si>
  <si>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</si>
  <si>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</si>
  <si>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</si>
  <si>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</si>
  <si>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</si>
  <si>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</si>
  <si>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</si>
  <si>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</si>
  <si>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</si>
  <si>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</si>
  <si>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</si>
  <si>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</si>
  <si>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</si>
  <si>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</si>
  <si>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</si>
  <si>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</si>
  <si>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</si>
  <si>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</si>
  <si>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</si>
  <si>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</si>
  <si>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</si>
  <si>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</si>
  <si>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</si>
  <si>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</si>
  <si>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</si>
  <si>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</si>
  <si>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</si>
  <si>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</si>
  <si>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</si>
  <si>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</si>
  <si>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</si>
  <si>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</si>
  <si>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</si>
  <si>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</si>
  <si>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</si>
  <si>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</si>
  <si>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</si>
  <si>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</si>
  <si>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</si>
  <si>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</si>
  <si>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</si>
  <si>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</si>
  <si>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</si>
  <si>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</si>
  <si>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</si>
  <si>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</si>
  <si>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</si>
  <si>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</si>
  <si>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</si>
  <si>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</si>
  <si>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</si>
  <si>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</si>
  <si>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</si>
  <si>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</si>
  <si>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</si>
  <si>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</si>
  <si>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</si>
  <si>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</si>
  <si>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</si>
  <si>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</si>
  <si>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</si>
  <si>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</si>
  <si>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</si>
  <si>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</si>
  <si>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</si>
  <si>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</si>
  <si>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</si>
  <si>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</si>
  <si>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</si>
  <si>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</si>
  <si>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</si>
  <si>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</si>
  <si>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</si>
  <si>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</si>
  <si>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</si>
  <si>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</si>
  <si>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</si>
  <si>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</si>
  <si>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</si>
  <si>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</si>
  <si>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</si>
  <si>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</si>
  <si>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</si>
  <si>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</si>
  <si>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</si>
  <si>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</si>
  <si>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</si>
  <si>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</si>
  <si>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</si>
  <si>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</si>
  <si>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</si>
  <si>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</si>
  <si>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</si>
  <si>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</si>
  <si>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</si>
  <si>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</si>
  <si>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</si>
  <si>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</si>
  <si>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</si>
  <si>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</si>
  <si>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</si>
  <si>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</si>
  <si>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</si>
  <si>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</si>
  <si>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</si>
  <si>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</si>
  <si>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</si>
  <si>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</si>
  <si>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</si>
  <si>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</si>
  <si>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</si>
  <si>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</si>
  <si>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</si>
  <si>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</si>
  <si>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</si>
  <si>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</si>
  <si>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</si>
  <si>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</si>
  <si>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</si>
  <si>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</si>
  <si>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</si>
  <si>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</si>
  <si>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</si>
  <si>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</si>
  <si>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</si>
  <si>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</si>
  <si>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</si>
  <si>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</si>
  <si>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</si>
  <si>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</si>
  <si>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</si>
  <si>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</si>
  <si>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</si>
  <si>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</si>
  <si>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</si>
  <si>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</si>
  <si>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</si>
  <si>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</si>
  <si>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</si>
  <si>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</si>
  <si>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</si>
  <si>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</si>
  <si>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</si>
  <si>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</si>
  <si>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</si>
  <si>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</si>
  <si>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</si>
  <si>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</si>
  <si>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</si>
  <si>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</si>
  <si>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</si>
  <si>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</si>
  <si>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</si>
  <si>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</si>
  <si>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</si>
  <si>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</si>
  <si>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</si>
  <si>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</si>
  <si>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</si>
  <si>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</si>
  <si>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</si>
  <si>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</si>
  <si>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</si>
  <si>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</si>
  <si>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</si>
  <si>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</si>
  <si>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</si>
  <si>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</si>
  <si>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</si>
  <si>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</si>
  <si>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</si>
  <si>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</si>
  <si>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</si>
  <si>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</si>
  <si>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</si>
  <si>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</si>
  <si>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</si>
  <si>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</si>
  <si>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</si>
  <si>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</si>
  <si>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</si>
  <si>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</si>
  <si>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</si>
  <si>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</si>
  <si>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</si>
  <si>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</si>
  <si>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</si>
  <si>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</si>
  <si>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</si>
  <si>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</si>
  <si>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</si>
  <si>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</si>
  <si>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</si>
  <si>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</si>
  <si>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</si>
  <si>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</si>
  <si>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</si>
  <si>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</si>
  <si>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</si>
  <si>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</si>
  <si>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</si>
  <si>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</si>
  <si>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</si>
  <si>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</si>
  <si>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</si>
  <si>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</si>
  <si>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</si>
  <si>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</si>
  <si>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</si>
  <si>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</si>
  <si>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</si>
  <si>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</si>
  <si>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</si>
  <si>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</si>
  <si>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</si>
  <si>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</si>
  <si>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</si>
  <si>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</si>
  <si>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</si>
  <si>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</si>
  <si>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</si>
  <si>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</si>
  <si>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</si>
  <si>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</si>
  <si>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</si>
  <si>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</si>
  <si>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</si>
  <si>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</si>
  <si>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</si>
  <si>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</si>
  <si>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</si>
  <si>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</si>
  <si>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</si>
  <si>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</si>
  <si>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</si>
  <si>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</si>
  <si>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</si>
  <si>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</si>
  <si>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</si>
  <si>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</si>
  <si>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</si>
  <si>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</si>
  <si>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</si>
  <si>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</si>
  <si>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</si>
  <si>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</si>
  <si>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</si>
  <si>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</si>
  <si>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</si>
  <si>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</si>
  <si>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</si>
  <si>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</si>
  <si>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</si>
  <si>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</si>
  <si>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</si>
  <si>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</si>
  <si>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</si>
  <si>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</si>
  <si>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</si>
  <si>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</si>
  <si>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</si>
  <si>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</si>
  <si>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</si>
  <si>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</si>
  <si>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</si>
  <si>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</si>
  <si>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</si>
  <si>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</si>
  <si>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</si>
  <si>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</si>
  <si>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</si>
  <si>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</si>
  <si>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</si>
  <si>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</si>
  <si>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</si>
  <si>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</si>
  <si>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</si>
  <si>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</si>
  <si>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</si>
  <si>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</si>
  <si>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</si>
  <si>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</si>
  <si>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</si>
  <si>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</si>
  <si>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</si>
  <si>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</si>
  <si>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</si>
  <si>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</si>
  <si>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</si>
  <si>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</si>
  <si>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</si>
  <si>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</si>
  <si>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</si>
  <si>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</si>
  <si>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</si>
  <si>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</si>
  <si>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</si>
  <si>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</si>
  <si>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</si>
  <si>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</si>
  <si>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</si>
  <si>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</si>
  <si>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</si>
  <si>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</si>
  <si>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</si>
  <si>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</si>
  <si>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</si>
  <si>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</si>
  <si>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</si>
  <si>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</si>
  <si>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</si>
  <si>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</si>
  <si>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</si>
  <si>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</si>
  <si>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</si>
  <si>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</si>
  <si>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</si>
  <si>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</si>
  <si>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</si>
  <si>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</si>
  <si>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</si>
  <si>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</si>
  <si>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</si>
  <si>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</si>
  <si>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</si>
  <si>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</si>
  <si>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</si>
  <si>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</si>
  <si>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</si>
  <si>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</si>
  <si>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</si>
  <si>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</si>
  <si>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</si>
  <si>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</si>
  <si>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</si>
  <si>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</si>
  <si>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</si>
  <si>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</si>
  <si>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</si>
  <si>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</si>
  <si>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</si>
  <si>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</si>
  <si>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</si>
  <si>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</si>
  <si>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</si>
  <si>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</si>
  <si>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</si>
  <si>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</si>
  <si>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</si>
  <si>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</si>
  <si>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</si>
  <si>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</si>
  <si>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</si>
  <si>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</si>
  <si>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</si>
  <si>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</si>
  <si>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</si>
  <si>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</si>
  <si>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</si>
  <si>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</si>
  <si>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</si>
  <si>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</si>
  <si>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</si>
  <si>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</si>
  <si>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</si>
  <si>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</si>
  <si>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</si>
  <si>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</si>
  <si>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</si>
  <si>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</si>
  <si>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</si>
  <si>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</si>
  <si>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</si>
  <si>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</si>
  <si>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</si>
  <si>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</si>
  <si>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</si>
  <si>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</si>
  <si>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</si>
  <si>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</si>
  <si>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</si>
  <si>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</si>
  <si>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</si>
  <si>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</si>
  <si>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</si>
  <si>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</si>
  <si>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</si>
  <si>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</si>
  <si>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</si>
  <si>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</si>
  <si>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</si>
  <si>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</si>
  <si>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</si>
  <si>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</si>
  <si>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</si>
  <si>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</si>
  <si>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</si>
  <si>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</si>
  <si>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</si>
  <si>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</si>
  <si>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</si>
  <si>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</si>
  <si>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</si>
  <si>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</si>
  <si>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</si>
  <si>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</si>
  <si>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</si>
  <si>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</si>
  <si>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</si>
  <si>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</si>
  <si>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</si>
  <si>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</si>
  <si>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</si>
  <si>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</si>
  <si>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</si>
  <si>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</si>
  <si>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</si>
  <si>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</si>
  <si>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</si>
  <si>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</si>
  <si>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</si>
  <si>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</si>
  <si>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</si>
  <si>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</si>
  <si>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</si>
  <si>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</si>
  <si>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</si>
  <si>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</si>
  <si>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</si>
  <si>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</si>
  <si>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</si>
  <si>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</si>
  <si>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</si>
  <si>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</si>
  <si>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</si>
  <si>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</si>
  <si>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</si>
  <si>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</si>
  <si>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</si>
  <si>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</si>
  <si>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</si>
  <si>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</si>
  <si>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</si>
  <si>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</si>
  <si>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</si>
  <si>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</si>
  <si>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</si>
  <si>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</si>
  <si>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</si>
  <si>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</si>
  <si>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</si>
  <si>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</si>
  <si>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</si>
  <si>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</si>
  <si>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</si>
  <si>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</si>
  <si>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</si>
  <si>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</si>
  <si>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</si>
  <si>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</si>
  <si>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</si>
  <si>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</si>
  <si>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</si>
  <si>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</si>
  <si>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</si>
  <si>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</si>
  <si>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</si>
  <si>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</si>
  <si>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</si>
  <si>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</si>
  <si>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</si>
  <si>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</si>
  <si>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</si>
  <si>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</si>
  <si>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</si>
  <si>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</si>
  <si>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</si>
  <si>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</si>
  <si>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</si>
  <si>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</si>
  <si>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</si>
  <si>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</si>
  <si>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</si>
  <si>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</si>
  <si>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</si>
  <si>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</si>
  <si>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</si>
  <si>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</si>
  <si>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</si>
  <si>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</si>
  <si>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</si>
  <si>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</si>
  <si>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</si>
  <si>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</si>
  <si>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</si>
  <si>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</si>
  <si>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</si>
  <si>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</si>
  <si>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</si>
  <si>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</si>
  <si>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</si>
  <si>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</si>
  <si>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</si>
  <si>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</si>
  <si>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</si>
  <si>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</si>
  <si>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</si>
  <si>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</si>
  <si>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</si>
  <si>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</si>
  <si>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</si>
  <si>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</si>
  <si>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</si>
  <si>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</si>
  <si>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</si>
  <si>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</si>
  <si>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</si>
  <si>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</si>
  <si>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</si>
  <si>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</si>
  <si>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</si>
  <si>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</si>
  <si>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</si>
  <si>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</si>
  <si>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</si>
  <si>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</si>
  <si>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</si>
  <si>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</si>
  <si>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</si>
  <si>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</si>
  <si>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</si>
  <si>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</si>
  <si>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</si>
  <si>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</si>
  <si>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</si>
  <si>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</si>
  <si>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</si>
  <si>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</si>
  <si>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</si>
  <si>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</si>
  <si>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</si>
  <si>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</si>
  <si>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</si>
  <si>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</si>
  <si>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</si>
  <si>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</si>
  <si>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</si>
  <si>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</si>
  <si>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</si>
  <si>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</si>
  <si>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</si>
  <si>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</si>
  <si>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</si>
  <si>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</si>
  <si>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</si>
  <si>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</si>
  <si>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</si>
  <si>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</si>
  <si>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</si>
  <si>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</si>
  <si>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</si>
  <si>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</si>
  <si>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</si>
  <si>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</si>
  <si>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</si>
  <si>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</si>
  <si>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</si>
  <si>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</si>
  <si>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</si>
  <si>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</si>
  <si>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</si>
  <si>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</si>
  <si>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</si>
  <si>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</si>
  <si>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</si>
  <si>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</si>
  <si>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</si>
  <si>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</si>
  <si>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</si>
  <si>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</si>
  <si>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</si>
  <si>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</si>
  <si>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</si>
  <si>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</si>
  <si>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</si>
  <si>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</si>
  <si>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</si>
  <si>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</si>
  <si>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</si>
  <si>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</si>
  <si>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</si>
  <si>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</si>
  <si>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</si>
  <si>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</si>
  <si>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</si>
  <si>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</si>
  <si>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</si>
  <si>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</si>
  <si>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</si>
  <si>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</si>
  <si>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</si>
  <si>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</si>
  <si>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</si>
  <si>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</si>
  <si>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</si>
  <si>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</si>
  <si>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</si>
  <si>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</si>
  <si>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</si>
  <si>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</si>
  <si>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</si>
  <si>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</si>
  <si>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</si>
  <si>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</si>
  <si>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</si>
  <si>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</si>
  <si>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</si>
  <si>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</si>
  <si>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</si>
  <si>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</si>
  <si>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</si>
  <si>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</si>
  <si>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</si>
  <si>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</si>
  <si>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</si>
  <si>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</si>
  <si>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</si>
  <si>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</si>
  <si>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</si>
  <si>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</si>
  <si>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</si>
  <si>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</si>
  <si>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</si>
  <si>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</si>
  <si>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</si>
  <si>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</si>
  <si>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</si>
  <si>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</si>
  <si>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</si>
  <si>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</si>
  <si>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</si>
  <si>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</si>
  <si>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</si>
  <si>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</si>
  <si>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</si>
  <si>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</si>
  <si>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</si>
  <si>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</si>
  <si>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</si>
  <si>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</si>
  <si>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</si>
  <si>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</si>
  <si>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</si>
  <si>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</si>
  <si>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</si>
  <si>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</si>
  <si>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</si>
  <si>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RSM US LLP</t>
  </si>
  <si>
    <t>Mandy Pittman</t>
  </si>
  <si>
    <t>One South Wacker Drive, Suite 800</t>
  </si>
  <si>
    <t>Chicago</t>
  </si>
  <si>
    <t>Illinois</t>
  </si>
  <si>
    <t>312-634-4414</t>
  </si>
  <si>
    <t>312-634-5523</t>
  </si>
  <si>
    <t>06-5035081</t>
  </si>
  <si>
    <t>mandy.pittman@rsmus.com</t>
  </si>
  <si>
    <t>X</t>
  </si>
  <si>
    <t>Cook</t>
  </si>
  <si>
    <t>12809 South McVicker</t>
  </si>
  <si>
    <t>Palos Heights</t>
  </si>
  <si>
    <t>Worth</t>
  </si>
  <si>
    <t>Dr. Merryl Brownlow</t>
  </si>
  <si>
    <t>Dr. Vanessa Kinder</t>
  </si>
  <si>
    <t>Terrance LaBella</t>
  </si>
  <si>
    <t>talabella@sbcglobal.net</t>
  </si>
  <si>
    <t>708-952-0620</t>
  </si>
  <si>
    <t>708-952-9340</t>
  </si>
  <si>
    <t>708-754-6600</t>
  </si>
  <si>
    <t>708-754-8687</t>
  </si>
  <si>
    <t>mbrownlow@palos128.org</t>
  </si>
  <si>
    <t>708-597-9040</t>
  </si>
  <si>
    <t>708-587-9089</t>
  </si>
  <si>
    <t>x</t>
  </si>
  <si>
    <t>General Obligation Bond</t>
  </si>
  <si>
    <t>SELF and SSCIP (Palos Heights School District 128)</t>
  </si>
  <si>
    <t>Worth Township Treasurer and Palos Heights School District 128</t>
  </si>
  <si>
    <t>Other Short Term Borrowing - Diretct Sale Bonds to Worth Treasurer Township Trustees to increase Working Cash Fund of Distrcit</t>
  </si>
  <si>
    <t>N/A</t>
  </si>
  <si>
    <t>Operations &amp; Maintenance - Communications</t>
  </si>
  <si>
    <t>Operations &amp; Maintenance - Natural Gas</t>
  </si>
  <si>
    <t>Centerpoint Energy Marketing</t>
  </si>
  <si>
    <t>Board of Education - Legal Services</t>
  </si>
  <si>
    <t>Board of Education - Insurance</t>
  </si>
  <si>
    <t>Suburban School Coop Ins Pool</t>
  </si>
  <si>
    <t>Sunrise Southwest LLC</t>
  </si>
  <si>
    <t>Special Ed Transportation</t>
  </si>
  <si>
    <t>Alpha School Bus</t>
  </si>
  <si>
    <t>Operations &amp; Maintenance - Maintenance</t>
  </si>
  <si>
    <t>Southwest Town Mechanical Services</t>
  </si>
  <si>
    <t>Operations &amp; Maintenance - Electricity</t>
  </si>
  <si>
    <t>Nextera Energy</t>
  </si>
  <si>
    <t>Regular Transportation</t>
  </si>
  <si>
    <t>Elim Christian Services</t>
  </si>
  <si>
    <t>AT&amp;T</t>
  </si>
  <si>
    <t>20-2540-300</t>
  </si>
  <si>
    <t>20-2540-400</t>
  </si>
  <si>
    <t>Hauser, Izzo, Petrarca</t>
  </si>
  <si>
    <t>10-2300-300</t>
  </si>
  <si>
    <t>40-2550-300</t>
  </si>
  <si>
    <t>Illinois School Bus</t>
  </si>
  <si>
    <t>Special Ed K-12 Private Tuition</t>
  </si>
  <si>
    <t>See attached AFR opinion.                                                                                                                   10/16/2019</t>
  </si>
  <si>
    <t>Palos Heights SD 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</si>
</sst>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60614</xdr:colOff>
          <xdr:row>3</xdr:row>
          <xdr:rowOff>43295</xdr:rowOff>
        </xdr:from>
        <xdr:to>
          <xdr:col>1</xdr:col>
          <xdr:colOff>971550</xdr:colOff>
          <xdr:row>8</xdr:row>
          <xdr:rowOff>2597</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1454728</xdr:colOff>
          <xdr:row>3</xdr:row>
          <xdr:rowOff>43295</xdr:rowOff>
        </xdr:from>
        <xdr:to>
          <xdr:col>1</xdr:col>
          <xdr:colOff>2365664</xdr:colOff>
          <xdr:row>8</xdr:row>
          <xdr:rowOff>2597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2883477</xdr:colOff>
          <xdr:row>3</xdr:row>
          <xdr:rowOff>86591</xdr:rowOff>
        </xdr:from>
        <xdr:to>
          <xdr:col>1</xdr:col>
          <xdr:colOff>3794413</xdr:colOff>
          <xdr:row>8</xdr:row>
          <xdr:rowOff>45893</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topLeftCell="A2"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4" t="s">
        <v>1943</v>
      </c>
      <c r="B3" s="155"/>
      <c r="C3" s="155"/>
      <c r="D3" s="156"/>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3" t="s">
        <v>2074</v>
      </c>
      <c r="C5" s="26" t="s">
        <v>910</v>
      </c>
      <c r="D5" s="84"/>
      <c r="E5" s="84"/>
      <c r="H5" s="38"/>
      <c r="I5" s="1994" t="s">
        <v>680</v>
      </c>
      <c r="J5" s="1993"/>
      <c r="K5" s="1993"/>
      <c r="L5" s="1993"/>
      <c r="M5" s="1993"/>
      <c r="N5" s="1993"/>
      <c r="O5" s="1993"/>
      <c r="P5" s="1993"/>
      <c r="Q5" s="1993"/>
      <c r="R5" s="1993"/>
      <c r="S5" s="1993"/>
    </row>
    <row r="6" spans="1:28" ht="14.1" customHeight="1" x14ac:dyDescent="0.2">
      <c r="B6" s="103"/>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7" t="s">
        <v>2074</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19">
        <v>7016128002</v>
      </c>
      <c r="B13" s="2020"/>
      <c r="C13" s="2020"/>
      <c r="D13" s="2020"/>
      <c r="E13" s="2020"/>
      <c r="F13" s="2020"/>
      <c r="G13" s="2020"/>
      <c r="H13" s="2021"/>
      <c r="I13" s="31"/>
      <c r="J13" s="30"/>
      <c r="K13" s="28"/>
      <c r="L13" s="30"/>
      <c r="M13" s="30"/>
      <c r="N13" s="30"/>
      <c r="O13" s="30"/>
      <c r="P13" s="30"/>
      <c r="Q13" s="30"/>
      <c r="R13" s="30"/>
      <c r="S13" s="30"/>
      <c r="T13" s="2024" t="s">
        <v>2065</v>
      </c>
      <c r="U13" s="2025"/>
      <c r="V13" s="2025"/>
      <c r="W13" s="2025"/>
      <c r="X13" s="2025"/>
      <c r="Y13" s="2026"/>
      <c r="Z13" s="2026"/>
      <c r="AA13" s="2027"/>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8" t="s">
        <v>2075</v>
      </c>
      <c r="B15" s="2022"/>
      <c r="C15" s="2022"/>
      <c r="D15" s="2022"/>
      <c r="E15" s="2022"/>
      <c r="F15" s="2022"/>
      <c r="G15" s="2022"/>
      <c r="H15" s="2023"/>
      <c r="T15" s="2028" t="s">
        <v>2066</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2120</v>
      </c>
      <c r="B17" s="1979"/>
      <c r="C17" s="1979"/>
      <c r="D17" s="1979"/>
      <c r="E17" s="1979"/>
      <c r="F17" s="1979"/>
      <c r="G17" s="1979"/>
      <c r="H17" s="2004"/>
      <c r="T17" s="2035" t="s">
        <v>2067</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8" t="s">
        <v>677</v>
      </c>
      <c r="AA18" s="46"/>
    </row>
    <row r="19" spans="1:27" ht="13.5" customHeight="1" x14ac:dyDescent="0.2">
      <c r="A19" s="2018" t="s">
        <v>2076</v>
      </c>
      <c r="B19" s="1964"/>
      <c r="C19" s="1964"/>
      <c r="D19" s="1964"/>
      <c r="E19" s="1964"/>
      <c r="F19" s="1964"/>
      <c r="G19" s="1964"/>
      <c r="H19" s="1944"/>
      <c r="I19" s="30"/>
      <c r="J19" s="99"/>
      <c r="K19" s="40"/>
      <c r="L19" s="38"/>
      <c r="M19" s="111" t="s">
        <v>315</v>
      </c>
      <c r="P19" s="27"/>
      <c r="Q19" s="27"/>
      <c r="R19" s="27"/>
      <c r="S19" s="31"/>
      <c r="T19" s="2018" t="s">
        <v>2068</v>
      </c>
      <c r="U19" s="1943"/>
      <c r="V19" s="1943"/>
      <c r="W19" s="1944"/>
      <c r="X19" s="2033" t="s">
        <v>2069</v>
      </c>
      <c r="Y19" s="2034"/>
      <c r="Z19" s="2031">
        <v>60606</v>
      </c>
      <c r="AA19" s="2032"/>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42" t="s">
        <v>2077</v>
      </c>
      <c r="B21" s="1943"/>
      <c r="C21" s="1943"/>
      <c r="D21" s="1943"/>
      <c r="E21" s="1943"/>
      <c r="F21" s="1943"/>
      <c r="G21" s="1943"/>
      <c r="H21" s="1944"/>
      <c r="I21" s="1998" t="s">
        <v>678</v>
      </c>
      <c r="J21" s="1993"/>
      <c r="K21" s="1993"/>
      <c r="L21" s="1993"/>
      <c r="M21" s="1993"/>
      <c r="N21" s="1993"/>
      <c r="O21" s="1993"/>
      <c r="P21" s="1993"/>
      <c r="Q21" s="1993"/>
      <c r="R21" s="1993"/>
      <c r="S21" s="1999"/>
      <c r="T21" s="2042" t="s">
        <v>2070</v>
      </c>
      <c r="U21" s="2043"/>
      <c r="V21" s="2043"/>
      <c r="W21" s="2043"/>
      <c r="X21" s="2048" t="s">
        <v>2071</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59" t="s">
        <v>1318</v>
      </c>
      <c r="Z22" s="45"/>
      <c r="AA22" s="46"/>
    </row>
    <row r="23" spans="1:27" ht="13.5" customHeight="1" x14ac:dyDescent="0.2">
      <c r="A23" s="1995"/>
      <c r="B23" s="1996"/>
      <c r="C23" s="1996"/>
      <c r="D23" s="1996"/>
      <c r="E23" s="1996"/>
      <c r="F23" s="1996"/>
      <c r="G23" s="1996"/>
      <c r="H23" s="1997"/>
      <c r="T23" s="1978" t="s">
        <v>2072</v>
      </c>
      <c r="U23" s="2041"/>
      <c r="V23" s="2041"/>
      <c r="W23" s="2041"/>
      <c r="X23" s="2045">
        <v>44469</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4" t="s">
        <v>531</v>
      </c>
      <c r="U24" s="105"/>
      <c r="V24" s="105"/>
      <c r="W24" s="105"/>
      <c r="X24" s="106"/>
      <c r="Y24" s="106"/>
      <c r="Z24" s="106"/>
      <c r="AA24" s="107"/>
    </row>
    <row r="25" spans="1:27" ht="14.1" customHeight="1" x14ac:dyDescent="0.2">
      <c r="A25" s="1942">
        <v>60463</v>
      </c>
      <c r="B25" s="1943"/>
      <c r="C25" s="1943"/>
      <c r="D25" s="1943"/>
      <c r="E25" s="1943"/>
      <c r="F25" s="1943"/>
      <c r="G25" s="1943"/>
      <c r="H25" s="1944"/>
      <c r="I25" s="112"/>
      <c r="J25" s="1967"/>
      <c r="K25" s="1967"/>
      <c r="L25" s="1967"/>
      <c r="M25" s="1967"/>
      <c r="N25" s="1967"/>
      <c r="O25" s="1967"/>
      <c r="P25" s="1967"/>
      <c r="Q25" s="1967"/>
      <c r="R25" s="1967"/>
      <c r="S25" s="1968"/>
      <c r="T25" s="2038" t="s">
        <v>2073</v>
      </c>
      <c r="U25" s="2039"/>
      <c r="V25" s="2039"/>
      <c r="W25" s="2039"/>
      <c r="X25" s="2039"/>
      <c r="Y25" s="2039"/>
      <c r="Z25" s="2039"/>
      <c r="AA25" s="2040"/>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53" t="s">
        <v>1511</v>
      </c>
      <c r="J27" s="1954"/>
      <c r="K27" s="1954"/>
      <c r="L27" s="1954"/>
      <c r="M27" s="1954"/>
      <c r="N27" s="1954"/>
      <c r="O27" s="1954"/>
      <c r="P27" s="1954"/>
      <c r="Q27" s="1954"/>
      <c r="R27" s="1954"/>
      <c r="S27" s="1955"/>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2074</v>
      </c>
      <c r="F29" s="140" t="s">
        <v>1316</v>
      </c>
      <c r="G29" s="113"/>
      <c r="I29" s="54"/>
      <c r="J29" s="101"/>
      <c r="K29" s="28" t="s">
        <v>576</v>
      </c>
      <c r="L29" s="147" t="s">
        <v>2074</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01"/>
      <c r="K30" s="28" t="s">
        <v>576</v>
      </c>
      <c r="L30" s="147" t="s">
        <v>2074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2074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2074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t="s">
        <v>2078</v>
      </c>
      <c r="Q35" s="1943"/>
      <c r="R35" s="194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8" t="s">
        <v>2079</v>
      </c>
      <c r="B38" s="1979"/>
      <c r="C38" s="1979"/>
      <c r="D38" s="1979"/>
      <c r="E38" s="1979"/>
      <c r="F38" s="1943"/>
      <c r="G38" s="1943"/>
      <c r="H38" s="1944"/>
      <c r="I38" s="1971" t="s">
        <v>2081</v>
      </c>
      <c r="J38" s="1972"/>
      <c r="K38" s="1972"/>
      <c r="L38" s="1972"/>
      <c r="M38" s="1972"/>
      <c r="N38" s="1972"/>
      <c r="O38" s="1972"/>
      <c r="P38" s="1973"/>
      <c r="Q38" s="1973"/>
      <c r="R38" s="1973"/>
      <c r="S38" s="1974"/>
      <c r="T38" s="2028" t="s">
        <v>2080</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2087</v>
      </c>
      <c r="B40" s="1957"/>
      <c r="C40" s="1958"/>
      <c r="D40" s="1958"/>
      <c r="E40" s="1958"/>
      <c r="F40" s="1959"/>
      <c r="G40" s="1959"/>
      <c r="H40" s="1960"/>
      <c r="I40" s="1981" t="s">
        <v>2082</v>
      </c>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2088</v>
      </c>
      <c r="B42" s="1962"/>
      <c r="C42" s="1963"/>
      <c r="D42" s="1961" t="s">
        <v>2089</v>
      </c>
      <c r="E42" s="1962"/>
      <c r="F42" s="1962"/>
      <c r="G42" s="1962"/>
      <c r="H42" s="1963"/>
      <c r="I42" s="1945" t="s">
        <v>2083</v>
      </c>
      <c r="J42" s="1946"/>
      <c r="K42" s="1946"/>
      <c r="L42" s="1946"/>
      <c r="M42" s="1946"/>
      <c r="N42" s="1946"/>
      <c r="O42" s="1947"/>
      <c r="P42" s="1980" t="s">
        <v>2084</v>
      </c>
      <c r="Q42" s="1946"/>
      <c r="R42" s="1946"/>
      <c r="S42" s="1947"/>
      <c r="T42" s="1945" t="s">
        <v>2085</v>
      </c>
      <c r="U42" s="1946"/>
      <c r="V42" s="1946"/>
      <c r="W42" s="1947"/>
      <c r="X42" s="1980" t="s">
        <v>2086</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C12" sqref="C12"/>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4" t="s">
        <v>1802</v>
      </c>
      <c r="B2" s="1527" t="s">
        <v>1949</v>
      </c>
      <c r="C2" s="713" t="s">
        <v>1950</v>
      </c>
      <c r="D2" s="713" t="s">
        <v>1951</v>
      </c>
      <c r="E2" s="713" t="s">
        <v>1952</v>
      </c>
      <c r="F2" s="713" t="s">
        <v>1953</v>
      </c>
    </row>
    <row r="3" spans="1:6" ht="12" customHeight="1" x14ac:dyDescent="0.2">
      <c r="A3" s="2185"/>
      <c r="B3" s="1524"/>
      <c r="C3" s="1525"/>
      <c r="D3" s="1526" t="s">
        <v>256</v>
      </c>
      <c r="E3" s="1525"/>
      <c r="F3" s="1526" t="s">
        <v>257</v>
      </c>
    </row>
    <row r="4" spans="1:6" ht="13.7" customHeight="1" x14ac:dyDescent="0.2">
      <c r="A4" s="714" t="s">
        <v>1155</v>
      </c>
      <c r="B4" s="1748">
        <f>'Revenues 9-14'!C5</f>
        <v>6290795</v>
      </c>
      <c r="C4" s="1523">
        <v>3403418</v>
      </c>
      <c r="D4" s="1751">
        <f>B4-C4</f>
        <v>2887377</v>
      </c>
      <c r="E4" s="1523">
        <v>6552180</v>
      </c>
      <c r="F4" s="1751">
        <f>E4-C4</f>
        <v>3148762</v>
      </c>
    </row>
    <row r="5" spans="1:6" ht="13.7" customHeight="1" x14ac:dyDescent="0.2">
      <c r="A5" s="714" t="s">
        <v>870</v>
      </c>
      <c r="B5" s="1749">
        <f>'Revenues 9-14'!D5</f>
        <v>698043</v>
      </c>
      <c r="C5" s="584">
        <v>380104</v>
      </c>
      <c r="D5" s="1752">
        <f t="shared" ref="D5:D18" si="0">B5-C5</f>
        <v>317939</v>
      </c>
      <c r="E5" s="584">
        <v>731754</v>
      </c>
      <c r="F5" s="1752">
        <f>E5-C5</f>
        <v>351650</v>
      </c>
    </row>
    <row r="6" spans="1:6" ht="13.7" customHeight="1" x14ac:dyDescent="0.2">
      <c r="A6" s="714" t="s">
        <v>411</v>
      </c>
      <c r="B6" s="1749">
        <f>'Revenues 9-14'!E5</f>
        <v>908023</v>
      </c>
      <c r="C6" s="584">
        <v>486229</v>
      </c>
      <c r="D6" s="1752">
        <f t="shared" si="0"/>
        <v>421794</v>
      </c>
      <c r="E6" s="584">
        <v>936075</v>
      </c>
      <c r="F6" s="1752">
        <f t="shared" ref="F6:F18" si="1">E6-C6</f>
        <v>449846</v>
      </c>
    </row>
    <row r="7" spans="1:6" ht="13.7" customHeight="1" x14ac:dyDescent="0.2">
      <c r="A7" s="714" t="s">
        <v>155</v>
      </c>
      <c r="B7" s="1749">
        <f>'Revenues 9-14'!F5</f>
        <v>301802</v>
      </c>
      <c r="C7" s="584">
        <v>161620</v>
      </c>
      <c r="D7" s="1752">
        <f t="shared" si="0"/>
        <v>140182</v>
      </c>
      <c r="E7" s="584">
        <v>311142</v>
      </c>
      <c r="F7" s="1752">
        <f t="shared" si="1"/>
        <v>149522</v>
      </c>
    </row>
    <row r="8" spans="1:6" ht="13.7" customHeight="1" x14ac:dyDescent="0.2">
      <c r="A8" s="714" t="s">
        <v>1179</v>
      </c>
      <c r="B8" s="1749">
        <f>'Revenues 9-14'!G5</f>
        <v>152098</v>
      </c>
      <c r="C8" s="584">
        <v>82321</v>
      </c>
      <c r="D8" s="1752">
        <f t="shared" si="0"/>
        <v>69777</v>
      </c>
      <c r="E8" s="584">
        <v>158500</v>
      </c>
      <c r="F8" s="1752">
        <f t="shared" si="1"/>
        <v>76179</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1062</v>
      </c>
      <c r="C10" s="584">
        <v>661</v>
      </c>
      <c r="D10" s="1752">
        <f t="shared" si="0"/>
        <v>401</v>
      </c>
      <c r="E10" s="584">
        <v>1233</v>
      </c>
      <c r="F10" s="1752">
        <f t="shared" si="1"/>
        <v>572</v>
      </c>
    </row>
    <row r="11" spans="1:6" x14ac:dyDescent="0.2">
      <c r="A11" s="714" t="s">
        <v>409</v>
      </c>
      <c r="B11" s="1749">
        <f>'Revenues 9-14'!J5</f>
        <v>0</v>
      </c>
      <c r="C11" s="584">
        <v>661</v>
      </c>
      <c r="D11" s="1752">
        <f t="shared" si="0"/>
        <v>-661</v>
      </c>
      <c r="E11" s="584"/>
      <c r="F11" s="1752">
        <f t="shared" si="1"/>
        <v>-661</v>
      </c>
    </row>
    <row r="12" spans="1:6" ht="13.7" customHeight="1" x14ac:dyDescent="0.2">
      <c r="A12" s="714" t="s">
        <v>157</v>
      </c>
      <c r="B12" s="1749">
        <f>'Revenues 9-14'!K5</f>
        <v>1062</v>
      </c>
      <c r="C12" s="584">
        <v>661</v>
      </c>
      <c r="D12" s="1752">
        <f t="shared" si="0"/>
        <v>401</v>
      </c>
      <c r="E12" s="584">
        <v>1233</v>
      </c>
      <c r="F12" s="1752">
        <f t="shared" si="1"/>
        <v>572</v>
      </c>
    </row>
    <row r="13" spans="1:6" ht="13.7" customHeight="1" x14ac:dyDescent="0.2">
      <c r="A13" s="714" t="s">
        <v>936</v>
      </c>
      <c r="B13" s="1749">
        <f>SUM('Revenues 9-14'!C6:D6)</f>
        <v>1062</v>
      </c>
      <c r="C13" s="584"/>
      <c r="D13" s="1752">
        <f t="shared" si="0"/>
        <v>1062</v>
      </c>
      <c r="E13" s="584">
        <v>1233</v>
      </c>
      <c r="F13" s="1752">
        <f t="shared" si="1"/>
        <v>1233</v>
      </c>
    </row>
    <row r="14" spans="1:6" ht="13.7" customHeight="1" x14ac:dyDescent="0.2">
      <c r="A14" s="714" t="s">
        <v>410</v>
      </c>
      <c r="B14" s="1749">
        <f>SUM('Revenues 9-14'!C7:D7,'Revenues 9-14'!F7:H7)</f>
        <v>206980</v>
      </c>
      <c r="C14" s="584">
        <v>110848</v>
      </c>
      <c r="D14" s="1752">
        <f t="shared" si="0"/>
        <v>96132</v>
      </c>
      <c r="E14" s="584">
        <v>213389</v>
      </c>
      <c r="F14" s="1752">
        <f t="shared" si="1"/>
        <v>102541</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170966</v>
      </c>
      <c r="C16" s="584">
        <v>96443</v>
      </c>
      <c r="D16" s="1752">
        <f t="shared" si="0"/>
        <v>74523</v>
      </c>
      <c r="E16" s="584">
        <v>185636</v>
      </c>
      <c r="F16" s="1752">
        <f t="shared" si="1"/>
        <v>89193</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8731893</v>
      </c>
      <c r="C19" s="1750">
        <f>SUM(C4:C18)</f>
        <v>4722966</v>
      </c>
      <c r="D19" s="1750">
        <f>SUM(D4:D18)</f>
        <v>4008927</v>
      </c>
      <c r="E19" s="1750">
        <f>SUM(E4:E18)</f>
        <v>9092375</v>
      </c>
      <c r="F19" s="1750">
        <f>SUM(F4:F18)</f>
        <v>4369409</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34" colorId="8" zoomScale="110" zoomScaleNormal="110" workbookViewId="0">
      <selection activeCell="C12" sqref="C12"/>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6" t="s">
        <v>629</v>
      </c>
      <c r="B1" s="2204"/>
      <c r="C1" s="720"/>
    </row>
    <row r="2" spans="1:7" ht="33.75" x14ac:dyDescent="0.2">
      <c r="A2" s="2211" t="s">
        <v>1802</v>
      </c>
      <c r="B2" s="2212"/>
      <c r="C2" s="1883" t="s">
        <v>1954</v>
      </c>
      <c r="D2" s="722" t="s">
        <v>1955</v>
      </c>
      <c r="E2" s="722" t="s">
        <v>1956</v>
      </c>
      <c r="F2" s="1883" t="s">
        <v>1957</v>
      </c>
    </row>
    <row r="3" spans="1:7" ht="15.75" customHeight="1" x14ac:dyDescent="0.2">
      <c r="A3" s="2213" t="s">
        <v>1114</v>
      </c>
      <c r="B3" s="2214"/>
      <c r="C3" s="2207"/>
      <c r="D3" s="2208"/>
      <c r="E3" s="2208"/>
      <c r="F3" s="2209"/>
    </row>
    <row r="4" spans="1:7" ht="12.75" customHeight="1" thickBot="1" x14ac:dyDescent="0.25">
      <c r="A4" s="2201" t="s">
        <v>630</v>
      </c>
      <c r="B4" s="2202"/>
      <c r="C4" s="580"/>
      <c r="D4" s="580"/>
      <c r="E4" s="580"/>
      <c r="F4" s="1754">
        <f>SUM(C4+D4)-E4</f>
        <v>0</v>
      </c>
    </row>
    <row r="5" spans="1:7" ht="15.75" customHeight="1" thickTop="1" x14ac:dyDescent="0.2">
      <c r="A5" s="2205" t="s">
        <v>1110</v>
      </c>
      <c r="B5" s="2200"/>
      <c r="C5" s="2194"/>
      <c r="D5" s="2195"/>
      <c r="E5" s="2195"/>
      <c r="F5" s="2196"/>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7" t="s">
        <v>631</v>
      </c>
      <c r="B15" s="2198"/>
      <c r="C15" s="1754">
        <f>SUM(C6:C14)</f>
        <v>0</v>
      </c>
      <c r="D15" s="1754">
        <f>SUM(D6:D14)</f>
        <v>0</v>
      </c>
      <c r="E15" s="1754">
        <f>SUM(E6:E14)</f>
        <v>0</v>
      </c>
      <c r="F15" s="1754">
        <f>SUM(F6:F14)</f>
        <v>0</v>
      </c>
      <c r="G15" s="551"/>
    </row>
    <row r="16" spans="1:7" s="201" customFormat="1" ht="15.75" customHeight="1" thickTop="1" x14ac:dyDescent="0.2">
      <c r="A16" s="2210" t="s">
        <v>1111</v>
      </c>
      <c r="B16" s="2200"/>
      <c r="C16" s="2194"/>
      <c r="D16" s="2195"/>
      <c r="E16" s="2195"/>
      <c r="F16" s="2196"/>
    </row>
    <row r="17" spans="1:11" ht="12.75" customHeight="1" thickBot="1" x14ac:dyDescent="0.25">
      <c r="A17" s="2192" t="s">
        <v>64</v>
      </c>
      <c r="B17" s="2193"/>
      <c r="C17" s="725"/>
      <c r="D17" s="584"/>
      <c r="E17" s="725"/>
      <c r="F17" s="1754">
        <f>SUM(C17+D17)-E17</f>
        <v>0</v>
      </c>
    </row>
    <row r="18" spans="1:11" ht="12.75" customHeight="1" thickTop="1" thickBot="1" x14ac:dyDescent="0.25">
      <c r="A18" s="2192" t="s">
        <v>6</v>
      </c>
      <c r="B18" s="2193"/>
      <c r="C18" s="725"/>
      <c r="D18" s="584"/>
      <c r="E18" s="725"/>
      <c r="F18" s="1754">
        <f>SUM(C18+D18)-E18</f>
        <v>0</v>
      </c>
    </row>
    <row r="19" spans="1:11" ht="12.75" customHeight="1" thickTop="1" thickBot="1" x14ac:dyDescent="0.25">
      <c r="A19" s="2192" t="s">
        <v>388</v>
      </c>
      <c r="B19" s="2193"/>
      <c r="C19" s="725"/>
      <c r="D19" s="584"/>
      <c r="E19" s="725"/>
      <c r="F19" s="1754">
        <f>SUM(C19+D19)-E19</f>
        <v>0</v>
      </c>
    </row>
    <row r="20" spans="1:11" ht="12.75" customHeight="1" thickTop="1" thickBot="1" x14ac:dyDescent="0.25">
      <c r="A20" s="2192" t="s">
        <v>448</v>
      </c>
      <c r="B20" s="2193"/>
      <c r="C20" s="725"/>
      <c r="D20" s="584"/>
      <c r="E20" s="725"/>
      <c r="F20" s="1754">
        <f>SUM(C20+D20)-E20</f>
        <v>0</v>
      </c>
    </row>
    <row r="21" spans="1:11" ht="14.25" thickTop="1" thickBot="1" x14ac:dyDescent="0.25">
      <c r="A21" s="2197" t="s">
        <v>632</v>
      </c>
      <c r="B21" s="2198"/>
      <c r="C21" s="1754">
        <f>SUM(C17:C20)</f>
        <v>0</v>
      </c>
      <c r="D21" s="1754">
        <f>SUM(D17:D20)</f>
        <v>0</v>
      </c>
      <c r="E21" s="1754">
        <f>SUM(E17:E20)</f>
        <v>0</v>
      </c>
      <c r="F21" s="1754">
        <f>SUM(F17:F20)</f>
        <v>0</v>
      </c>
      <c r="G21" s="551"/>
    </row>
    <row r="22" spans="1:11" ht="15.75" customHeight="1" thickTop="1" x14ac:dyDescent="0.2">
      <c r="A22" s="2199" t="s">
        <v>1112</v>
      </c>
      <c r="B22" s="2200"/>
      <c r="C22" s="2194"/>
      <c r="D22" s="2195"/>
      <c r="E22" s="2195"/>
      <c r="F22" s="2196"/>
    </row>
    <row r="23" spans="1:11" ht="13.5" thickBot="1" x14ac:dyDescent="0.25">
      <c r="A23" s="2201" t="s">
        <v>633</v>
      </c>
      <c r="B23" s="2202"/>
      <c r="C23" s="580"/>
      <c r="D23" s="580"/>
      <c r="E23" s="580"/>
      <c r="F23" s="1754">
        <f>SUM(C23+D23)-E23</f>
        <v>0</v>
      </c>
      <c r="G23" s="551"/>
    </row>
    <row r="24" spans="1:11" ht="15.75" customHeight="1" thickTop="1" x14ac:dyDescent="0.2">
      <c r="A24" s="2199" t="s">
        <v>1113</v>
      </c>
      <c r="B24" s="2200"/>
      <c r="C24" s="2194"/>
      <c r="D24" s="2195"/>
      <c r="E24" s="2195"/>
      <c r="F24" s="2196"/>
    </row>
    <row r="25" spans="1:11" ht="13.5" thickBot="1" x14ac:dyDescent="0.25">
      <c r="A25" s="2201" t="s">
        <v>634</v>
      </c>
      <c r="B25" s="2202"/>
      <c r="C25" s="580"/>
      <c r="D25" s="580"/>
      <c r="E25" s="580"/>
      <c r="F25" s="1754">
        <f>SUM(C25+D25)-E25</f>
        <v>0</v>
      </c>
      <c r="G25" s="551"/>
    </row>
    <row r="26" spans="1:11" ht="15.75" customHeight="1" thickTop="1" x14ac:dyDescent="0.2">
      <c r="A26" s="2205" t="s">
        <v>657</v>
      </c>
      <c r="B26" s="2200"/>
      <c r="C26" s="726"/>
      <c r="D26" s="726"/>
      <c r="E26" s="726"/>
      <c r="F26" s="727"/>
    </row>
    <row r="27" spans="1:11" ht="13.5" thickBot="1" x14ac:dyDescent="0.25">
      <c r="A27" s="2197" t="s">
        <v>1070</v>
      </c>
      <c r="B27" s="2198"/>
      <c r="C27" s="584">
        <v>0</v>
      </c>
      <c r="D27" s="584">
        <v>800000</v>
      </c>
      <c r="E27" s="584">
        <v>800000</v>
      </c>
      <c r="F27" s="1754">
        <f>SUM(C27+D27)-E27</f>
        <v>0</v>
      </c>
      <c r="G27" s="551"/>
    </row>
    <row r="28" spans="1:11" ht="7.5" customHeight="1" thickTop="1" x14ac:dyDescent="0.2">
      <c r="A28" s="592"/>
    </row>
    <row r="29" spans="1:11" ht="23.25" customHeight="1" x14ac:dyDescent="0.2">
      <c r="A29" s="2203" t="s">
        <v>582</v>
      </c>
      <c r="B29" s="2204"/>
      <c r="C29" s="728"/>
      <c r="D29" s="728"/>
      <c r="E29" s="728"/>
      <c r="F29" s="728"/>
      <c r="G29" s="728"/>
      <c r="H29" s="728"/>
      <c r="I29" s="728"/>
      <c r="J29" s="728"/>
    </row>
    <row r="30" spans="1:11" ht="33.75" x14ac:dyDescent="0.2">
      <c r="A30" s="1528" t="s">
        <v>1071</v>
      </c>
      <c r="B30" s="729" t="s">
        <v>1124</v>
      </c>
      <c r="C30" s="1884" t="s">
        <v>583</v>
      </c>
      <c r="D30" s="1884" t="s">
        <v>1673</v>
      </c>
      <c r="E30" s="1884" t="s">
        <v>1958</v>
      </c>
      <c r="F30" s="1884" t="s">
        <v>1959</v>
      </c>
      <c r="G30" s="1884" t="s">
        <v>1910</v>
      </c>
      <c r="H30" s="1884" t="s">
        <v>1960</v>
      </c>
      <c r="I30" s="1884" t="s">
        <v>1961</v>
      </c>
      <c r="J30" s="1885" t="s">
        <v>2</v>
      </c>
      <c r="K30" s="730"/>
    </row>
    <row r="31" spans="1:11" ht="12" customHeight="1" x14ac:dyDescent="0.2">
      <c r="A31" s="731" t="s">
        <v>2091</v>
      </c>
      <c r="B31" s="732">
        <v>42444</v>
      </c>
      <c r="C31" s="733">
        <v>4200000</v>
      </c>
      <c r="D31" s="734">
        <v>3</v>
      </c>
      <c r="E31" s="733">
        <v>3400000</v>
      </c>
      <c r="F31" s="733">
        <v>0</v>
      </c>
      <c r="G31" s="733"/>
      <c r="H31" s="733">
        <v>825000</v>
      </c>
      <c r="I31" s="1755">
        <f>((E31+F31)-H31)+G31</f>
        <v>2575000</v>
      </c>
      <c r="J31" s="733">
        <v>840000</v>
      </c>
      <c r="K31" s="735"/>
    </row>
    <row r="32" spans="1:11" ht="12" customHeight="1" x14ac:dyDescent="0.2">
      <c r="A32" s="731"/>
      <c r="B32" s="732"/>
      <c r="C32" s="733"/>
      <c r="D32" s="734"/>
      <c r="E32" s="733"/>
      <c r="F32" s="733"/>
      <c r="G32" s="733"/>
      <c r="H32" s="733"/>
      <c r="I32" s="1755">
        <f>((E32+F32)-H32)+G32</f>
        <v>0</v>
      </c>
      <c r="J32" s="733"/>
      <c r="K32" s="735"/>
    </row>
    <row r="33" spans="1:11" ht="12" customHeight="1" x14ac:dyDescent="0.2">
      <c r="A33" s="731"/>
      <c r="B33" s="732"/>
      <c r="C33" s="733"/>
      <c r="D33" s="734"/>
      <c r="E33" s="733"/>
      <c r="F33" s="733"/>
      <c r="G33" s="733"/>
      <c r="H33" s="733"/>
      <c r="I33" s="1755">
        <f t="shared" ref="I33:I48" si="1">((E33+F33)-H33)+G33</f>
        <v>0</v>
      </c>
      <c r="J33" s="733"/>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4200000</v>
      </c>
      <c r="D49" s="744"/>
      <c r="E49" s="1755">
        <f t="shared" ref="E49:J49" si="2">SUM(E31:E48)</f>
        <v>3400000</v>
      </c>
      <c r="F49" s="1755">
        <f t="shared" si="2"/>
        <v>0</v>
      </c>
      <c r="G49" s="1755">
        <f t="shared" si="2"/>
        <v>0</v>
      </c>
      <c r="H49" s="1755">
        <f t="shared" si="2"/>
        <v>825000</v>
      </c>
      <c r="I49" s="1755">
        <f t="shared" si="2"/>
        <v>2575000</v>
      </c>
      <c r="J49" s="1755">
        <f t="shared" si="2"/>
        <v>840000</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86" t="s">
        <v>584</v>
      </c>
      <c r="C52" s="2187"/>
      <c r="D52" s="2187"/>
      <c r="E52" s="748" t="s">
        <v>845</v>
      </c>
      <c r="F52" s="2188"/>
      <c r="G52" s="2189"/>
      <c r="H52" s="735"/>
      <c r="I52" s="735"/>
      <c r="J52" s="745"/>
    </row>
    <row r="53" spans="1:11" ht="11.25" customHeight="1" x14ac:dyDescent="0.2">
      <c r="A53" s="749" t="s">
        <v>913</v>
      </c>
      <c r="B53" s="750" t="s">
        <v>951</v>
      </c>
      <c r="C53" s="745"/>
      <c r="D53" s="736"/>
      <c r="E53" s="748" t="s">
        <v>497</v>
      </c>
      <c r="F53" s="2190"/>
      <c r="G53" s="2191"/>
      <c r="H53" s="735"/>
      <c r="I53" s="735"/>
      <c r="J53" s="745"/>
    </row>
    <row r="54" spans="1:11" ht="11.25" customHeight="1" x14ac:dyDescent="0.2">
      <c r="A54" s="751" t="s">
        <v>914</v>
      </c>
      <c r="B54" s="746" t="s">
        <v>952</v>
      </c>
      <c r="C54" s="745"/>
      <c r="D54" s="736"/>
      <c r="E54" s="748" t="s">
        <v>498</v>
      </c>
      <c r="F54" s="2190"/>
      <c r="G54" s="2191"/>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C12" sqref="C12"/>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5" t="s">
        <v>856</v>
      </c>
      <c r="B1" s="2216"/>
      <c r="C1" s="2216"/>
      <c r="D1" s="2216"/>
      <c r="E1" s="2216"/>
      <c r="F1" s="2216"/>
      <c r="G1" s="2217"/>
      <c r="H1" s="1529"/>
      <c r="I1" s="759"/>
      <c r="J1" s="432"/>
    </row>
    <row r="2" spans="1:11" ht="26.25" x14ac:dyDescent="0.2">
      <c r="A2" s="2234" t="s">
        <v>1677</v>
      </c>
      <c r="B2" s="2235"/>
      <c r="C2" s="2235"/>
      <c r="D2" s="2235"/>
      <c r="E2" s="2236"/>
      <c r="F2" s="760" t="s">
        <v>904</v>
      </c>
      <c r="G2" s="761" t="s">
        <v>1674</v>
      </c>
      <c r="H2" s="761" t="s">
        <v>410</v>
      </c>
      <c r="I2" s="761" t="s">
        <v>1158</v>
      </c>
      <c r="J2" s="761" t="s">
        <v>1812</v>
      </c>
      <c r="K2" s="761" t="s">
        <v>138</v>
      </c>
    </row>
    <row r="3" spans="1:11" x14ac:dyDescent="0.2">
      <c r="A3" s="2237" t="s">
        <v>1962</v>
      </c>
      <c r="B3" s="2238"/>
      <c r="C3" s="2238"/>
      <c r="D3" s="2238"/>
      <c r="E3" s="2239"/>
      <c r="F3" s="762"/>
      <c r="G3" s="763"/>
      <c r="H3" s="763"/>
      <c r="I3" s="763"/>
      <c r="J3" s="764"/>
      <c r="K3" s="764"/>
    </row>
    <row r="4" spans="1:11" x14ac:dyDescent="0.2">
      <c r="A4" s="2240" t="s">
        <v>369</v>
      </c>
      <c r="B4" s="2241"/>
      <c r="C4" s="2241"/>
      <c r="D4" s="2241"/>
      <c r="E4" s="2187"/>
      <c r="F4" s="765"/>
      <c r="G4" s="766"/>
      <c r="H4" s="767"/>
      <c r="I4" s="766"/>
      <c r="J4" s="768"/>
      <c r="K4" s="768"/>
    </row>
    <row r="5" spans="1:11" x14ac:dyDescent="0.2">
      <c r="A5" s="2218" t="s">
        <v>1069</v>
      </c>
      <c r="B5" s="2219"/>
      <c r="C5" s="2219"/>
      <c r="D5" s="2219"/>
      <c r="E5" s="2220"/>
      <c r="F5" s="769" t="s">
        <v>848</v>
      </c>
      <c r="G5" s="770"/>
      <c r="H5" s="763"/>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8" t="s">
        <v>1813</v>
      </c>
      <c r="B10" s="2219"/>
      <c r="C10" s="2219"/>
      <c r="D10" s="2219"/>
      <c r="E10" s="2221"/>
      <c r="F10" s="782" t="s">
        <v>862</v>
      </c>
      <c r="G10" s="781"/>
      <c r="H10" s="783"/>
      <c r="I10" s="763"/>
      <c r="J10" s="764"/>
      <c r="K10" s="764"/>
    </row>
    <row r="11" spans="1:11" x14ac:dyDescent="0.2">
      <c r="A11" s="2218" t="s">
        <v>160</v>
      </c>
      <c r="B11" s="2219"/>
      <c r="C11" s="2219"/>
      <c r="D11" s="2219"/>
      <c r="E11" s="2220"/>
      <c r="F11" s="769" t="s">
        <v>852</v>
      </c>
      <c r="G11" s="770"/>
      <c r="H11" s="763"/>
      <c r="I11" s="763"/>
      <c r="J11" s="764"/>
      <c r="K11" s="772"/>
    </row>
    <row r="12" spans="1:11" ht="13.5" thickBot="1" x14ac:dyDescent="0.25">
      <c r="A12" s="2245" t="s">
        <v>905</v>
      </c>
      <c r="B12" s="2246"/>
      <c r="C12" s="2246"/>
      <c r="D12" s="2246"/>
      <c r="E12" s="2247"/>
      <c r="F12" s="1756"/>
      <c r="G12" s="1757">
        <f>SUM(G5:G11)</f>
        <v>0</v>
      </c>
      <c r="H12" s="1757">
        <f>SUM(H5:H11)</f>
        <v>0</v>
      </c>
      <c r="I12" s="1757">
        <f>SUM(I5:I11)</f>
        <v>0</v>
      </c>
      <c r="J12" s="1757">
        <f>SUM(J5:J11)</f>
        <v>0</v>
      </c>
      <c r="K12" s="1757">
        <f>SUM(K5:K11)</f>
        <v>0</v>
      </c>
    </row>
    <row r="13" spans="1:11" ht="13.5" thickTop="1" x14ac:dyDescent="0.2">
      <c r="A13" s="2242" t="s">
        <v>370</v>
      </c>
      <c r="B13" s="2243"/>
      <c r="C13" s="2243"/>
      <c r="D13" s="2243"/>
      <c r="E13" s="2244"/>
      <c r="F13" s="784"/>
      <c r="G13" s="785"/>
      <c r="H13" s="786"/>
      <c r="I13" s="787"/>
      <c r="J13" s="787"/>
      <c r="K13" s="787"/>
    </row>
    <row r="14" spans="1:11" x14ac:dyDescent="0.2">
      <c r="A14" s="2225" t="s">
        <v>456</v>
      </c>
      <c r="B14" s="2225"/>
      <c r="C14" s="2225"/>
      <c r="D14" s="2225"/>
      <c r="E14" s="2226"/>
      <c r="F14" s="788" t="s">
        <v>854</v>
      </c>
      <c r="G14" s="781"/>
      <c r="H14" s="763"/>
      <c r="I14" s="770"/>
      <c r="J14" s="772"/>
      <c r="K14" s="764"/>
    </row>
    <row r="15" spans="1:11" x14ac:dyDescent="0.2">
      <c r="A15" s="2219" t="s">
        <v>4</v>
      </c>
      <c r="B15" s="2219"/>
      <c r="C15" s="2219"/>
      <c r="D15" s="2219"/>
      <c r="E15" s="2220"/>
      <c r="F15" s="788" t="s">
        <v>855</v>
      </c>
      <c r="G15" s="770"/>
      <c r="H15" s="763"/>
      <c r="I15" s="763"/>
      <c r="J15" s="764"/>
      <c r="K15" s="764"/>
    </row>
    <row r="16" spans="1:11" x14ac:dyDescent="0.2">
      <c r="A16" s="2219" t="s">
        <v>298</v>
      </c>
      <c r="B16" s="2219"/>
      <c r="C16" s="2219"/>
      <c r="D16" s="2219"/>
      <c r="E16" s="2220"/>
      <c r="F16" s="788" t="s">
        <v>923</v>
      </c>
      <c r="G16" s="771"/>
      <c r="H16" s="766"/>
      <c r="I16" s="766"/>
      <c r="J16" s="768"/>
      <c r="K16" s="768"/>
    </row>
    <row r="17" spans="1:11" x14ac:dyDescent="0.2">
      <c r="A17" s="2250" t="s">
        <v>935</v>
      </c>
      <c r="B17" s="2250"/>
      <c r="C17" s="2250"/>
      <c r="D17" s="2250"/>
      <c r="E17" s="2251"/>
      <c r="F17" s="789"/>
      <c r="G17" s="790"/>
      <c r="H17" s="791"/>
      <c r="I17" s="791"/>
      <c r="J17" s="792"/>
      <c r="K17" s="793"/>
    </row>
    <row r="18" spans="1:11" x14ac:dyDescent="0.2">
      <c r="A18" s="2229" t="s">
        <v>368</v>
      </c>
      <c r="B18" s="2230"/>
      <c r="C18" s="2230"/>
      <c r="D18" s="2230"/>
      <c r="E18" s="2231"/>
      <c r="F18" s="788" t="s">
        <v>932</v>
      </c>
      <c r="G18" s="781"/>
      <c r="H18" s="781"/>
      <c r="I18" s="781"/>
      <c r="J18" s="764"/>
      <c r="K18" s="794"/>
    </row>
    <row r="19" spans="1:11" ht="21.75" customHeight="1" x14ac:dyDescent="0.2">
      <c r="A19" s="2227" t="s">
        <v>1809</v>
      </c>
      <c r="B19" s="2227"/>
      <c r="C19" s="2227"/>
      <c r="D19" s="2227"/>
      <c r="E19" s="2228"/>
      <c r="F19" s="788" t="s">
        <v>933</v>
      </c>
      <c r="G19" s="781"/>
      <c r="H19" s="781"/>
      <c r="I19" s="781"/>
      <c r="J19" s="764"/>
      <c r="K19" s="794"/>
    </row>
    <row r="20" spans="1:11" x14ac:dyDescent="0.2">
      <c r="A20" s="2229" t="s">
        <v>1814</v>
      </c>
      <c r="B20" s="2230"/>
      <c r="C20" s="2230"/>
      <c r="D20" s="2230"/>
      <c r="E20" s="2231"/>
      <c r="F20" s="788" t="s">
        <v>934</v>
      </c>
      <c r="G20" s="781"/>
      <c r="H20" s="781"/>
      <c r="I20" s="781"/>
      <c r="J20" s="764"/>
      <c r="K20" s="794"/>
    </row>
    <row r="21" spans="1:11" ht="13.5" thickBot="1" x14ac:dyDescent="0.25">
      <c r="A21" s="2248" t="s">
        <v>638</v>
      </c>
      <c r="B21" s="2248"/>
      <c r="C21" s="2248"/>
      <c r="D21" s="2248"/>
      <c r="E21" s="2248"/>
      <c r="F21" s="1758"/>
      <c r="G21" s="791"/>
      <c r="H21" s="795"/>
      <c r="I21" s="795"/>
      <c r="J21" s="1759">
        <f>SUM(J18:J20)</f>
        <v>0</v>
      </c>
      <c r="K21" s="792"/>
    </row>
    <row r="22" spans="1:11" ht="13.5" thickTop="1" x14ac:dyDescent="0.2">
      <c r="A22" s="2219" t="s">
        <v>1815</v>
      </c>
      <c r="B22" s="2219"/>
      <c r="C22" s="2219"/>
      <c r="D22" s="2219"/>
      <c r="E22" s="2220"/>
      <c r="F22" s="788" t="s">
        <v>862</v>
      </c>
      <c r="G22" s="781"/>
      <c r="H22" s="763"/>
      <c r="I22" s="763"/>
      <c r="J22" s="796"/>
      <c r="K22" s="764"/>
    </row>
    <row r="23" spans="1:11" ht="13.5" thickBot="1" x14ac:dyDescent="0.25">
      <c r="A23" s="2249" t="s">
        <v>906</v>
      </c>
      <c r="B23" s="2248"/>
      <c r="C23" s="2248"/>
      <c r="D23" s="2248"/>
      <c r="E23" s="2248"/>
      <c r="F23" s="1760"/>
      <c r="G23" s="1757">
        <f>SUM(G14:G16,G21,G22)</f>
        <v>0</v>
      </c>
      <c r="H23" s="1757">
        <f>SUM(H14:H16,H21,H22)</f>
        <v>0</v>
      </c>
      <c r="I23" s="1757">
        <f>SUM(I14:I16,I21,I22)</f>
        <v>0</v>
      </c>
      <c r="J23" s="1757">
        <f>SUM(J14:J16,J21,J22)</f>
        <v>0</v>
      </c>
      <c r="K23" s="1757">
        <f>SUM(K14:K16,K21,K22)</f>
        <v>0</v>
      </c>
    </row>
    <row r="24" spans="1:11" ht="14.25" thickTop="1" thickBot="1" x14ac:dyDescent="0.25">
      <c r="A24" s="2249" t="s">
        <v>1963</v>
      </c>
      <c r="B24" s="2248"/>
      <c r="C24" s="2248"/>
      <c r="D24" s="2248"/>
      <c r="E24" s="2248"/>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t="s">
        <v>2074</v>
      </c>
      <c r="E30" s="807" t="s">
        <v>768</v>
      </c>
      <c r="F30" s="201"/>
      <c r="G30" s="804"/>
    </row>
    <row r="31" spans="1:11" x14ac:dyDescent="0.2">
      <c r="A31" s="808"/>
      <c r="D31" s="236"/>
      <c r="E31" s="809" t="s">
        <v>769</v>
      </c>
      <c r="F31" s="810" t="s">
        <v>539</v>
      </c>
      <c r="G31" s="763"/>
      <c r="H31" s="2222"/>
      <c r="I31" s="2223"/>
      <c r="J31" s="2223"/>
      <c r="K31" s="2223"/>
    </row>
    <row r="32" spans="1:11" x14ac:dyDescent="0.2">
      <c r="A32" s="808"/>
      <c r="B32" s="236"/>
      <c r="C32" s="236"/>
      <c r="D32" s="236"/>
      <c r="E32" s="804"/>
      <c r="F32" s="810" t="s">
        <v>540</v>
      </c>
      <c r="G32" s="763"/>
      <c r="H32" s="2224"/>
      <c r="I32" s="2223"/>
      <c r="J32" s="2223"/>
      <c r="K32" s="2223"/>
    </row>
    <row r="33" spans="1:11" ht="1.5" customHeight="1" x14ac:dyDescent="0.2">
      <c r="A33" s="811" t="s">
        <v>1169</v>
      </c>
      <c r="B33" s="363"/>
      <c r="C33" s="363"/>
      <c r="D33" s="363"/>
      <c r="E33" s="363"/>
      <c r="F33" s="363"/>
      <c r="G33" s="812"/>
      <c r="H33" s="2224"/>
      <c r="I33" s="2223"/>
      <c r="J33" s="2223"/>
      <c r="K33" s="2223"/>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9" t="s">
        <v>541</v>
      </c>
      <c r="B41" s="2232"/>
      <c r="C41" s="2232"/>
      <c r="D41" s="2232"/>
      <c r="E41" s="2232"/>
      <c r="F41" s="2233"/>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C12" sqref="C12"/>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4" t="s">
        <v>1908</v>
      </c>
      <c r="B1" s="2255"/>
      <c r="C1" s="2256"/>
      <c r="D1" s="825"/>
      <c r="E1" s="826"/>
      <c r="F1" s="826"/>
      <c r="G1" s="827"/>
      <c r="H1" s="828"/>
      <c r="I1" s="829"/>
      <c r="J1" s="2252"/>
      <c r="K1" s="2253"/>
      <c r="L1" s="2253"/>
    </row>
    <row r="2" spans="1:14" ht="69.75" customHeight="1" x14ac:dyDescent="0.2">
      <c r="A2" s="830" t="s">
        <v>1678</v>
      </c>
      <c r="B2" s="831" t="s">
        <v>378</v>
      </c>
      <c r="C2" s="832" t="s">
        <v>1964</v>
      </c>
      <c r="D2" s="832" t="s">
        <v>1965</v>
      </c>
      <c r="E2" s="832" t="s">
        <v>1966</v>
      </c>
      <c r="F2" s="832" t="s">
        <v>1967</v>
      </c>
      <c r="G2" s="832" t="s">
        <v>605</v>
      </c>
      <c r="H2" s="832" t="s">
        <v>1968</v>
      </c>
      <c r="I2" s="832" t="s">
        <v>1969</v>
      </c>
      <c r="J2" s="832" t="s">
        <v>1970</v>
      </c>
      <c r="K2" s="832" t="s">
        <v>1971</v>
      </c>
      <c r="L2" s="832" t="s">
        <v>1972</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58959</v>
      </c>
      <c r="D5" s="840"/>
      <c r="E5" s="840"/>
      <c r="F5" s="1759">
        <f>(C5+D5)-E5</f>
        <v>58959</v>
      </c>
      <c r="G5" s="836"/>
      <c r="H5" s="841"/>
      <c r="I5" s="841"/>
      <c r="J5" s="841"/>
      <c r="K5" s="792"/>
      <c r="L5" s="1768">
        <f>F5-K5</f>
        <v>58959</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19758171</v>
      </c>
      <c r="D8" s="843">
        <v>3124039</v>
      </c>
      <c r="E8" s="843"/>
      <c r="F8" s="1759">
        <f>(C8+D8)-E8</f>
        <v>22882210</v>
      </c>
      <c r="G8" s="842">
        <v>50</v>
      </c>
      <c r="H8" s="764">
        <v>11736965</v>
      </c>
      <c r="I8" s="764">
        <v>516133</v>
      </c>
      <c r="J8" s="764"/>
      <c r="K8" s="1768">
        <f>(H8+I8)-J8</f>
        <v>12253098</v>
      </c>
      <c r="L8" s="1768">
        <f>F8-K8</f>
        <v>10629112</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c r="D10" s="845"/>
      <c r="E10" s="845"/>
      <c r="F10" s="1763">
        <f>(C10+D10)-E10</f>
        <v>0</v>
      </c>
      <c r="G10" s="842">
        <v>20</v>
      </c>
      <c r="H10" s="846"/>
      <c r="I10" s="846"/>
      <c r="J10" s="846"/>
      <c r="K10" s="1768">
        <f>(H10+I10)-J10</f>
        <v>0</v>
      </c>
      <c r="L10" s="1768">
        <f>F10-K10</f>
        <v>0</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c r="D12" s="843"/>
      <c r="E12" s="843"/>
      <c r="F12" s="1759">
        <f>(C12+D12)-E12</f>
        <v>0</v>
      </c>
      <c r="G12" s="842">
        <v>10</v>
      </c>
      <c r="H12" s="764"/>
      <c r="I12" s="764"/>
      <c r="J12" s="764"/>
      <c r="K12" s="1768">
        <f>(H12+I12)-J12</f>
        <v>0</v>
      </c>
      <c r="L12" s="1768">
        <f>F12-K12</f>
        <v>0</v>
      </c>
    </row>
    <row r="13" spans="1:14" ht="14.25" thickTop="1" thickBot="1" x14ac:dyDescent="0.25">
      <c r="A13" s="847" t="s">
        <v>1122</v>
      </c>
      <c r="B13" s="839">
        <v>252</v>
      </c>
      <c r="C13" s="843">
        <v>4222793</v>
      </c>
      <c r="D13" s="843">
        <v>89604</v>
      </c>
      <c r="E13" s="843"/>
      <c r="F13" s="1759">
        <f>(C13+D13)-E13</f>
        <v>4312397</v>
      </c>
      <c r="G13" s="842">
        <v>5</v>
      </c>
      <c r="H13" s="764">
        <v>3958413</v>
      </c>
      <c r="I13" s="764">
        <v>161958</v>
      </c>
      <c r="J13" s="764"/>
      <c r="K13" s="1768">
        <f>(H13+I13)-J13</f>
        <v>4120371</v>
      </c>
      <c r="L13" s="1768">
        <f>F13-K13</f>
        <v>192026</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c r="E15" s="843"/>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24039923</v>
      </c>
      <c r="D16" s="1759">
        <f>SUM(D3,D5:D6,D8:D10,D12:D15)</f>
        <v>3213643</v>
      </c>
      <c r="E16" s="1759">
        <f>SUM(E3,E5:E6,E8:E10,E12:E15)</f>
        <v>0</v>
      </c>
      <c r="F16" s="1759">
        <f>SUM(F3,F5:F6,F8:F10,F12:F15)</f>
        <v>27253566</v>
      </c>
      <c r="G16" s="842"/>
      <c r="H16" s="1759">
        <f>SUM(H3,H6,H8:H10,H12:H14,)</f>
        <v>15695378</v>
      </c>
      <c r="I16" s="1759">
        <f>SUM(I3,I6,I8:I10,I12:I14,)</f>
        <v>678091</v>
      </c>
      <c r="J16" s="1759">
        <f>SUM(J3,J6,J8:J10,J12:J14,)</f>
        <v>0</v>
      </c>
      <c r="K16" s="1759">
        <f>(H16+I16)-J16</f>
        <v>16373469</v>
      </c>
      <c r="L16" s="1759">
        <f>F16-K16</f>
        <v>10880097</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678091</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172" activePane="bottomLeft" state="frozen"/>
      <selection activeCell="C12" sqref="C12"/>
      <selection pane="bottomLeft" activeCell="C12" sqref="C12"/>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0" t="s">
        <v>1973</v>
      </c>
      <c r="B1" s="2261"/>
      <c r="C1" s="2261"/>
      <c r="D1" s="2261"/>
      <c r="E1" s="2261"/>
      <c r="F1" s="2262"/>
      <c r="G1" s="854"/>
    </row>
    <row r="2" spans="1:7" ht="15" customHeight="1" thickBot="1" x14ac:dyDescent="0.25">
      <c r="A2" s="2263" t="s">
        <v>477</v>
      </c>
      <c r="B2" s="2264"/>
      <c r="C2" s="2264"/>
      <c r="D2" s="2264"/>
      <c r="E2" s="2264"/>
      <c r="F2" s="2265"/>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7682356</v>
      </c>
      <c r="G8" s="864"/>
    </row>
    <row r="9" spans="1:7" x14ac:dyDescent="0.2">
      <c r="A9" s="868" t="s">
        <v>460</v>
      </c>
      <c r="B9" s="869" t="s">
        <v>1876</v>
      </c>
      <c r="C9" s="870"/>
      <c r="D9" s="868" t="s">
        <v>501</v>
      </c>
      <c r="E9" s="867"/>
      <c r="F9" s="1908">
        <f>'Expenditures 15-22'!K151</f>
        <v>872589</v>
      </c>
      <c r="G9" s="871"/>
    </row>
    <row r="10" spans="1:7" x14ac:dyDescent="0.2">
      <c r="A10" s="868" t="s">
        <v>499</v>
      </c>
      <c r="B10" s="869" t="s">
        <v>1877</v>
      </c>
      <c r="C10" s="870"/>
      <c r="D10" s="868" t="s">
        <v>501</v>
      </c>
      <c r="E10" s="867"/>
      <c r="F10" s="1908">
        <f>'Expenditures 15-22'!K174</f>
        <v>1694426</v>
      </c>
      <c r="G10" s="871"/>
    </row>
    <row r="11" spans="1:7" x14ac:dyDescent="0.2">
      <c r="A11" s="868" t="s">
        <v>461</v>
      </c>
      <c r="B11" s="869" t="s">
        <v>1878</v>
      </c>
      <c r="C11" s="870"/>
      <c r="D11" s="868" t="s">
        <v>501</v>
      </c>
      <c r="E11" s="867"/>
      <c r="F11" s="1908">
        <f>'Expenditures 15-22'!K210</f>
        <v>284119</v>
      </c>
      <c r="G11" s="871"/>
    </row>
    <row r="12" spans="1:7" x14ac:dyDescent="0.2">
      <c r="A12" s="868" t="s">
        <v>462</v>
      </c>
      <c r="B12" s="869" t="s">
        <v>1879</v>
      </c>
      <c r="C12" s="870"/>
      <c r="D12" s="868" t="s">
        <v>501</v>
      </c>
      <c r="E12" s="867"/>
      <c r="F12" s="1908">
        <f>'Expenditures 15-22'!K295</f>
        <v>315095</v>
      </c>
      <c r="G12" s="871"/>
    </row>
    <row r="13" spans="1:7" x14ac:dyDescent="0.2">
      <c r="A13" s="868" t="s">
        <v>106</v>
      </c>
      <c r="B13" s="869" t="s">
        <v>1880</v>
      </c>
      <c r="C13" s="870"/>
      <c r="D13" s="868" t="s">
        <v>501</v>
      </c>
      <c r="E13" s="867"/>
      <c r="F13" s="1908">
        <f>'Expenditures 15-22'!K342</f>
        <v>0</v>
      </c>
      <c r="G13" s="872"/>
    </row>
    <row r="14" spans="1:7" ht="12" customHeight="1" thickBot="1" x14ac:dyDescent="0.25">
      <c r="A14" s="1769"/>
      <c r="B14" s="1770"/>
      <c r="C14" s="1771"/>
      <c r="D14" s="1772" t="s">
        <v>501</v>
      </c>
      <c r="E14" s="1773" t="s">
        <v>958</v>
      </c>
      <c r="F14" s="1774">
        <f>SUM(F8:F13)</f>
        <v>10848585</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1997</v>
      </c>
      <c r="C30" s="879">
        <f>'Revenues 9-14'!B150</f>
        <v>3499</v>
      </c>
      <c r="D30" s="880" t="str">
        <f>'Revenues 9-14'!A150</f>
        <v>Adult Ed - Other (Describe &amp; Itemize)</v>
      </c>
      <c r="E30" s="867"/>
      <c r="F30" s="1913">
        <f>('Revenues 9-14'!D150+'Revenues 9-14'!F150)</f>
        <v>0</v>
      </c>
      <c r="G30" s="864"/>
    </row>
    <row r="31" spans="1:7" x14ac:dyDescent="0.2">
      <c r="A31" s="868" t="s">
        <v>1097</v>
      </c>
      <c r="B31" s="869" t="s">
        <v>1998</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1999</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2000</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302032</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252830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7027</v>
      </c>
      <c r="G52" s="864"/>
    </row>
    <row r="53" spans="1:7" x14ac:dyDescent="0.2">
      <c r="A53" s="868" t="s">
        <v>459</v>
      </c>
      <c r="B53" s="868" t="s">
        <v>1475</v>
      </c>
      <c r="C53" s="888">
        <f>'Expenditures 15-22'!B102</f>
        <v>4000</v>
      </c>
      <c r="D53" s="887" t="str">
        <f>'Expenditures 15-22'!A102</f>
        <v>Total Payments to Other Govt Units</v>
      </c>
      <c r="E53" s="867"/>
      <c r="F53" s="1912">
        <f>'Expenditures 15-22'!K102</f>
        <v>74693</v>
      </c>
      <c r="G53" s="864"/>
    </row>
    <row r="54" spans="1:7" x14ac:dyDescent="0.2">
      <c r="A54" s="868" t="s">
        <v>459</v>
      </c>
      <c r="B54" s="868" t="s">
        <v>1476</v>
      </c>
      <c r="C54" s="888" t="s">
        <v>982</v>
      </c>
      <c r="D54" s="884" t="s">
        <v>1095</v>
      </c>
      <c r="E54" s="867"/>
      <c r="F54" s="1912">
        <f>'Expenditures 15-22'!G114</f>
        <v>181832</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2">
        <f>'Expenditures 15-22'!K139</f>
        <v>0</v>
      </c>
      <c r="G57" s="864"/>
    </row>
    <row r="58" spans="1:7" x14ac:dyDescent="0.2">
      <c r="A58" s="868" t="s">
        <v>460</v>
      </c>
      <c r="B58" s="868" t="s">
        <v>1882</v>
      </c>
      <c r="C58" s="885" t="s">
        <v>982</v>
      </c>
      <c r="D58" s="884" t="s">
        <v>1095</v>
      </c>
      <c r="E58" s="867"/>
      <c r="F58" s="1914">
        <f>'Expenditures 15-22'!G151</f>
        <v>110906</v>
      </c>
      <c r="G58" s="864"/>
    </row>
    <row r="59" spans="1:7" x14ac:dyDescent="0.2">
      <c r="A59" s="892" t="s">
        <v>460</v>
      </c>
      <c r="B59" s="855" t="s">
        <v>1883</v>
      </c>
      <c r="C59" s="893" t="s">
        <v>982</v>
      </c>
      <c r="D59" s="855" t="s">
        <v>291</v>
      </c>
      <c r="F59" s="1915">
        <f>'Expenditures 15-22'!I151</f>
        <v>0</v>
      </c>
      <c r="G59" s="864"/>
    </row>
    <row r="60" spans="1:7" x14ac:dyDescent="0.2">
      <c r="A60" s="892" t="s">
        <v>499</v>
      </c>
      <c r="B60" s="855" t="s">
        <v>1884</v>
      </c>
      <c r="C60" s="893">
        <v>4000</v>
      </c>
      <c r="D60" s="855" t="s">
        <v>312</v>
      </c>
      <c r="F60" s="1913">
        <f>'Expenditures 15-22'!K160</f>
        <v>0</v>
      </c>
      <c r="G60" s="864"/>
    </row>
    <row r="61" spans="1:7" x14ac:dyDescent="0.2">
      <c r="A61" s="894" t="s">
        <v>499</v>
      </c>
      <c r="B61" s="894" t="s">
        <v>1885</v>
      </c>
      <c r="C61" s="895" t="str">
        <f>'Expenditures 15-22'!B170</f>
        <v>5300</v>
      </c>
      <c r="D61" s="896" t="s">
        <v>311</v>
      </c>
      <c r="E61" s="878"/>
      <c r="F61" s="1912">
        <f>'Expenditures 15-22'!K170</f>
        <v>825000</v>
      </c>
      <c r="G61" s="864"/>
    </row>
    <row r="62" spans="1:7" x14ac:dyDescent="0.2">
      <c r="A62" s="868" t="s">
        <v>461</v>
      </c>
      <c r="B62" s="868" t="s">
        <v>1886</v>
      </c>
      <c r="C62" s="885">
        <f>'Expenditures 15-22'!B185</f>
        <v>3000</v>
      </c>
      <c r="D62" s="875" t="s">
        <v>449</v>
      </c>
      <c r="E62" s="867"/>
      <c r="F62" s="1912">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1888</v>
      </c>
      <c r="C64" s="895" t="str">
        <f>'Expenditures 15-22'!B206</f>
        <v>5300</v>
      </c>
      <c r="D64" s="891" t="s">
        <v>311</v>
      </c>
      <c r="E64" s="867"/>
      <c r="F64" s="1912">
        <f>'Expenditures 15-22'!K206</f>
        <v>0</v>
      </c>
      <c r="G64" s="864"/>
    </row>
    <row r="65" spans="1:8" x14ac:dyDescent="0.2">
      <c r="A65" s="868" t="s">
        <v>461</v>
      </c>
      <c r="B65" s="868" t="s">
        <v>1889</v>
      </c>
      <c r="C65" s="885" t="s">
        <v>982</v>
      </c>
      <c r="D65" s="884" t="s">
        <v>1095</v>
      </c>
      <c r="E65" s="867"/>
      <c r="F65" s="1912">
        <f>'Expenditures 15-22'!G210</f>
        <v>0</v>
      </c>
      <c r="G65" s="864"/>
    </row>
    <row r="66" spans="1:8" x14ac:dyDescent="0.2">
      <c r="A66" s="868" t="s">
        <v>461</v>
      </c>
      <c r="B66" s="868" t="s">
        <v>1890</v>
      </c>
      <c r="C66" s="885" t="s">
        <v>982</v>
      </c>
      <c r="D66" s="884" t="s">
        <v>291</v>
      </c>
      <c r="E66" s="867"/>
      <c r="F66" s="1912">
        <f>'Expenditures 15-22'!I210</f>
        <v>0</v>
      </c>
      <c r="G66" s="864"/>
    </row>
    <row r="67" spans="1:8" x14ac:dyDescent="0.2">
      <c r="A67" s="868" t="s">
        <v>462</v>
      </c>
      <c r="B67" s="868" t="s">
        <v>1891</v>
      </c>
      <c r="C67" s="885" t="str">
        <f>'Expenditures 15-22'!B216</f>
        <v>1125</v>
      </c>
      <c r="D67" s="891" t="str">
        <f>'Expenditures 15-22'!A216</f>
        <v>Pre-K Programs</v>
      </c>
      <c r="E67" s="867"/>
      <c r="F67" s="1912">
        <f>'Expenditures 15-22'!K216</f>
        <v>16233</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1893</v>
      </c>
      <c r="C70" s="885">
        <f>'Expenditures 15-22'!B221</f>
        <v>1300</v>
      </c>
      <c r="D70" s="886" t="str">
        <f>'Expenditures 15-22'!A221</f>
        <v>Adult/Continuing Education Programs</v>
      </c>
      <c r="E70" s="867"/>
      <c r="F70" s="1912">
        <f>'Expenditures 15-22'!K221</f>
        <v>0</v>
      </c>
      <c r="G70" s="864"/>
    </row>
    <row r="71" spans="1:8" x14ac:dyDescent="0.2">
      <c r="A71" s="868" t="s">
        <v>462</v>
      </c>
      <c r="B71" s="868" t="s">
        <v>1894</v>
      </c>
      <c r="C71" s="885">
        <f>'Expenditures 15-22'!B224</f>
        <v>1600</v>
      </c>
      <c r="D71" s="886" t="str">
        <f>'Expenditures 15-22'!A224</f>
        <v>Summer School Programs</v>
      </c>
      <c r="E71" s="867"/>
      <c r="F71" s="1912">
        <f>'Expenditures 15-22'!K224</f>
        <v>0</v>
      </c>
      <c r="G71" s="864"/>
    </row>
    <row r="72" spans="1:8" x14ac:dyDescent="0.2">
      <c r="A72" s="868" t="s">
        <v>462</v>
      </c>
      <c r="B72" s="868" t="s">
        <v>1895</v>
      </c>
      <c r="C72" s="885">
        <f>'Expenditures 15-22'!B280</f>
        <v>3000</v>
      </c>
      <c r="D72" s="875" t="s">
        <v>449</v>
      </c>
      <c r="E72" s="867"/>
      <c r="F72" s="1912">
        <f>'Expenditures 15-22'!K280</f>
        <v>0</v>
      </c>
      <c r="G72" s="864"/>
    </row>
    <row r="73" spans="1:8" x14ac:dyDescent="0.2">
      <c r="A73" s="868" t="s">
        <v>462</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1897</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958</v>
      </c>
      <c r="F76" s="1777">
        <f>SUM(F18:F74)</f>
        <v>1770553</v>
      </c>
      <c r="G76" s="864"/>
    </row>
    <row r="77" spans="1:8" s="892" customFormat="1" ht="12" customHeight="1" thickTop="1" thickBot="1" x14ac:dyDescent="0.25">
      <c r="A77" s="1778"/>
      <c r="B77" s="1775"/>
      <c r="C77" s="1771"/>
      <c r="D77" s="1776" t="s">
        <v>1899</v>
      </c>
      <c r="E77" s="1773"/>
      <c r="F77" s="1779">
        <f>(F14-F76)</f>
        <v>9078032</v>
      </c>
      <c r="G77" s="868"/>
    </row>
    <row r="78" spans="1:8" s="892" customFormat="1" ht="12" customHeight="1" thickTop="1" x14ac:dyDescent="0.2">
      <c r="A78" s="1780"/>
      <c r="B78" s="1775"/>
      <c r="C78" s="1771"/>
      <c r="D78" s="1776" t="s">
        <v>2060</v>
      </c>
      <c r="E78" s="1773"/>
      <c r="F78" s="897">
        <v>638</v>
      </c>
      <c r="G78" s="898"/>
      <c r="H78" s="868"/>
    </row>
    <row r="79" spans="1:8" s="892" customFormat="1" ht="12" customHeight="1" thickBot="1" x14ac:dyDescent="0.25">
      <c r="A79" s="1781"/>
      <c r="B79" s="1775"/>
      <c r="C79" s="1771"/>
      <c r="D79" s="1776" t="s">
        <v>1900</v>
      </c>
      <c r="E79" s="1773" t="s">
        <v>958</v>
      </c>
      <c r="F79" s="1782">
        <f>IF(F78&gt;0,F77/F78," Complete Line 78")</f>
        <v>14228.890282131661</v>
      </c>
      <c r="G79" s="868"/>
    </row>
    <row r="80" spans="1:8" s="892" customFormat="1" ht="8.25" customHeight="1" thickTop="1" x14ac:dyDescent="0.2">
      <c r="A80" s="899"/>
      <c r="B80" s="868"/>
      <c r="C80" s="870"/>
      <c r="D80" s="900"/>
      <c r="E80" s="867"/>
      <c r="F80" s="901"/>
      <c r="G80" s="868"/>
    </row>
    <row r="81" spans="1:7" s="892" customFormat="1" ht="12" thickBot="1" x14ac:dyDescent="0.25">
      <c r="A81" s="2257" t="s">
        <v>1105</v>
      </c>
      <c r="B81" s="2258"/>
      <c r="C81" s="2258"/>
      <c r="D81" s="2258"/>
      <c r="E81" s="2258"/>
      <c r="F81" s="2259"/>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2101</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14498</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12369</v>
      </c>
      <c r="G94" s="911"/>
    </row>
    <row r="95" spans="1:7" x14ac:dyDescent="0.2">
      <c r="A95" s="907" t="s">
        <v>140</v>
      </c>
      <c r="B95" s="907" t="s">
        <v>175</v>
      </c>
      <c r="C95" s="909">
        <v>1700</v>
      </c>
      <c r="D95" s="917" t="str">
        <f>'Revenues 9-14'!A82</f>
        <v>Total District/School Activity Income</v>
      </c>
      <c r="E95" s="905"/>
      <c r="F95" s="1788">
        <f>SUM('Revenues 9-14'!C82,'Revenues 9-14'!D82)</f>
        <v>215842</v>
      </c>
      <c r="G95" s="911"/>
    </row>
    <row r="96" spans="1:7" x14ac:dyDescent="0.2">
      <c r="A96" s="907" t="s">
        <v>459</v>
      </c>
      <c r="B96" s="907" t="s">
        <v>176</v>
      </c>
      <c r="C96" s="909">
        <f>'Revenues 9-14'!B84</f>
        <v>1811</v>
      </c>
      <c r="D96" s="910" t="str">
        <f>'Revenues 9-14'!A84</f>
        <v>Rentals - Regular Textbooks</v>
      </c>
      <c r="E96" s="905"/>
      <c r="F96" s="1788">
        <f>'Revenues 9-14'!C84</f>
        <v>0</v>
      </c>
      <c r="G96" s="911"/>
    </row>
    <row r="97" spans="1:7" x14ac:dyDescent="0.2">
      <c r="A97" s="907" t="s">
        <v>459</v>
      </c>
      <c r="B97" s="907" t="s">
        <v>177</v>
      </c>
      <c r="C97" s="909">
        <f>'Revenues 9-14'!B87</f>
        <v>1819</v>
      </c>
      <c r="D97" s="910" t="str">
        <f>'Revenues 9-14'!A87</f>
        <v>Rentals - Other (Describe &amp; Itemize)</v>
      </c>
      <c r="E97" s="905"/>
      <c r="F97" s="1788">
        <f>'Revenues 9-14'!C87</f>
        <v>3978</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9115</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16225</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2001</v>
      </c>
      <c r="C105" s="912">
        <v>3100</v>
      </c>
      <c r="D105" s="918" t="str">
        <f>'Revenues 9-14'!A132</f>
        <v>Total Special Education</v>
      </c>
      <c r="E105" s="905"/>
      <c r="F105" s="1788">
        <f>SUM('Revenues 9-14'!C132:D132,'Revenues 9-14'!F132)</f>
        <v>144554</v>
      </c>
      <c r="G105" s="911"/>
    </row>
    <row r="106" spans="1:7" x14ac:dyDescent="0.2">
      <c r="A106" s="907" t="s">
        <v>673</v>
      </c>
      <c r="B106" s="907" t="s">
        <v>2002</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2003</v>
      </c>
      <c r="C107" s="919">
        <v>3300</v>
      </c>
      <c r="D107" s="910" t="str">
        <f>'Revenues 9-14'!A145</f>
        <v>Total Bilingual Ed</v>
      </c>
      <c r="E107" s="905"/>
      <c r="F107" s="1788">
        <f>SUM('Revenues 9-14'!C145,'Revenues 9-14'!G145)</f>
        <v>0</v>
      </c>
      <c r="G107" s="911"/>
    </row>
    <row r="108" spans="1:7" x14ac:dyDescent="0.2">
      <c r="A108" s="907" t="s">
        <v>459</v>
      </c>
      <c r="B108" s="907" t="s">
        <v>2004</v>
      </c>
      <c r="C108" s="919">
        <f>'Revenues 9-14'!B146</f>
        <v>3360</v>
      </c>
      <c r="D108" s="910" t="str">
        <f>'Revenues 9-14'!A146</f>
        <v>State Free Lunch &amp; Breakfast</v>
      </c>
      <c r="E108" s="905"/>
      <c r="F108" s="1788">
        <f>'Revenues 9-14'!C146</f>
        <v>0</v>
      </c>
      <c r="G108" s="911"/>
    </row>
    <row r="109" spans="1:7" x14ac:dyDescent="0.2">
      <c r="A109" s="907" t="s">
        <v>673</v>
      </c>
      <c r="B109" s="907" t="s">
        <v>2005</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2006</v>
      </c>
      <c r="C110" s="919">
        <f>'Revenues 9-14'!B148</f>
        <v>3370</v>
      </c>
      <c r="D110" s="910" t="str">
        <f>'Revenues 9-14'!A148</f>
        <v>Driver Education</v>
      </c>
      <c r="E110" s="905"/>
      <c r="F110" s="1788">
        <f>SUM('Revenues 9-14'!C148,'Revenues 9-14'!D148)</f>
        <v>0</v>
      </c>
      <c r="G110" s="911"/>
    </row>
    <row r="111" spans="1:7" x14ac:dyDescent="0.2">
      <c r="A111" s="907" t="s">
        <v>668</v>
      </c>
      <c r="B111" s="907" t="s">
        <v>2007</v>
      </c>
      <c r="C111" s="921">
        <v>3500</v>
      </c>
      <c r="D111" s="910" t="str">
        <f>'Revenues 9-14'!A155</f>
        <v>Total Transportation</v>
      </c>
      <c r="E111" s="905"/>
      <c r="F111" s="1788">
        <f>SUM('Revenues 9-14'!C155,'Revenues 9-14'!D155,'Revenues 9-14'!F155,'Revenues 9-14'!G155)</f>
        <v>144881</v>
      </c>
      <c r="G111" s="911"/>
    </row>
    <row r="112" spans="1:7" x14ac:dyDescent="0.2">
      <c r="A112" s="907" t="s">
        <v>459</v>
      </c>
      <c r="B112" s="907" t="s">
        <v>2008</v>
      </c>
      <c r="C112" s="919">
        <f>'Revenues 9-14'!B156</f>
        <v>3610</v>
      </c>
      <c r="D112" s="910" t="str">
        <f>'Revenues 9-14'!A156</f>
        <v>Learning Improvement - Change Grants</v>
      </c>
      <c r="E112" s="905"/>
      <c r="F112" s="1788">
        <f>'Revenues 9-14'!C156</f>
        <v>0</v>
      </c>
      <c r="G112" s="911"/>
    </row>
    <row r="113" spans="1:7" x14ac:dyDescent="0.2">
      <c r="A113" s="907" t="s">
        <v>668</v>
      </c>
      <c r="B113" s="907" t="s">
        <v>2009</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2010</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2011</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2012</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2013</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2014</v>
      </c>
      <c r="C118" s="923">
        <f>'Revenues 9-14'!B163</f>
        <v>3780</v>
      </c>
      <c r="D118" s="924" t="str">
        <f>'Revenues 9-14'!A163</f>
        <v>Technology - Technology for Success</v>
      </c>
      <c r="E118" s="905"/>
      <c r="F118" s="1906">
        <f>SUM('Revenues 9-14'!C163:G163)</f>
        <v>0</v>
      </c>
      <c r="G118" s="911"/>
    </row>
    <row r="119" spans="1:7" x14ac:dyDescent="0.2">
      <c r="A119" s="922" t="s">
        <v>504</v>
      </c>
      <c r="B119" s="922" t="s">
        <v>2015</v>
      </c>
      <c r="C119" s="923">
        <f>'Revenues 9-14'!B164</f>
        <v>3815</v>
      </c>
      <c r="D119" s="924" t="str">
        <f>'Revenues 9-14'!A164</f>
        <v>State Charter Schools</v>
      </c>
      <c r="E119" s="905"/>
      <c r="F119" s="1906">
        <f>SUM('Revenues 9-14'!C164,'Revenues 9-14'!F164)</f>
        <v>0</v>
      </c>
      <c r="G119" s="911"/>
    </row>
    <row r="120" spans="1:7" x14ac:dyDescent="0.2">
      <c r="A120" s="926" t="s">
        <v>460</v>
      </c>
      <c r="B120" s="926" t="s">
        <v>2016</v>
      </c>
      <c r="C120" s="927">
        <f>'Revenues 9-14'!B167</f>
        <v>3925</v>
      </c>
      <c r="D120" s="928" t="str">
        <f>'Revenues 9-14'!A167</f>
        <v>School Infrastructure - Maintenance Projects</v>
      </c>
      <c r="E120" s="905"/>
      <c r="F120" s="1788">
        <f>'Revenues 9-14'!D167</f>
        <v>0</v>
      </c>
      <c r="G120" s="929"/>
    </row>
    <row r="121" spans="1:7" x14ac:dyDescent="0.2">
      <c r="A121" s="926" t="s">
        <v>500</v>
      </c>
      <c r="B121" s="926" t="s">
        <v>2017</v>
      </c>
      <c r="C121" s="927">
        <f>'Revenues 9-14'!B168</f>
        <v>3999</v>
      </c>
      <c r="D121" s="928" t="s">
        <v>543</v>
      </c>
      <c r="E121" s="930"/>
      <c r="F121" s="1788">
        <f>SUM('Revenues 9-14'!C168:G168,'Revenues 9-14'!J168)</f>
        <v>0</v>
      </c>
      <c r="G121" s="929"/>
    </row>
    <row r="122" spans="1:7" x14ac:dyDescent="0.2">
      <c r="A122" s="926" t="s">
        <v>459</v>
      </c>
      <c r="B122" s="926" t="s">
        <v>2018</v>
      </c>
      <c r="C122" s="931">
        <f>'Revenues 9-14'!B177</f>
        <v>4045</v>
      </c>
      <c r="D122" s="928" t="str">
        <f>'Revenues 9-14'!A177 &amp; " (Subtract)"</f>
        <v>Head Start (Subtract)</v>
      </c>
      <c r="E122" s="905"/>
      <c r="F122" s="1788">
        <f>SUM(-'Revenues 9-14'!C177)</f>
        <v>0</v>
      </c>
      <c r="G122" s="929"/>
    </row>
    <row r="123" spans="1:7" x14ac:dyDescent="0.2">
      <c r="A123" s="926" t="s">
        <v>668</v>
      </c>
      <c r="B123" s="926" t="s">
        <v>2019</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2020</v>
      </c>
      <c r="C124" s="931">
        <v>4100</v>
      </c>
      <c r="D124" s="932" t="str">
        <f>'Revenues 9-14'!A188</f>
        <v>Total Title V</v>
      </c>
      <c r="E124" s="905"/>
      <c r="F124" s="1788">
        <f>SUM('Revenues 9-14'!C188,'Revenues 9-14'!D188,'Revenues 9-14'!F188,'Revenues 9-14'!G188)</f>
        <v>0</v>
      </c>
      <c r="G124" s="929"/>
    </row>
    <row r="125" spans="1:7" x14ac:dyDescent="0.2">
      <c r="A125" s="926" t="s">
        <v>664</v>
      </c>
      <c r="B125" s="926" t="s">
        <v>2021</v>
      </c>
      <c r="C125" s="931">
        <v>4200</v>
      </c>
      <c r="D125" s="928" t="str">
        <f>'Revenues 9-14'!A198</f>
        <v>Total Food Service</v>
      </c>
      <c r="E125" s="905"/>
      <c r="F125" s="1788">
        <f>SUM('Revenues 9-14'!C198,'Revenues 9-14'!G198)</f>
        <v>11736</v>
      </c>
      <c r="G125" s="929"/>
    </row>
    <row r="126" spans="1:7" x14ac:dyDescent="0.2">
      <c r="A126" s="926" t="s">
        <v>668</v>
      </c>
      <c r="B126" s="926" t="s">
        <v>2022</v>
      </c>
      <c r="C126" s="931">
        <v>4300</v>
      </c>
      <c r="D126" s="932" t="str">
        <f>'Revenues 9-14'!A204</f>
        <v>Total Title I</v>
      </c>
      <c r="E126" s="905"/>
      <c r="F126" s="1788">
        <f>SUM('Revenues 9-14'!C204,'Revenues 9-14'!D204,'Revenues 9-14'!F204,'Revenues 9-14'!G204)</f>
        <v>72005</v>
      </c>
      <c r="G126" s="929"/>
    </row>
    <row r="127" spans="1:7" x14ac:dyDescent="0.2">
      <c r="A127" s="926" t="s">
        <v>668</v>
      </c>
      <c r="B127" s="926" t="s">
        <v>2023</v>
      </c>
      <c r="C127" s="931">
        <v>4400</v>
      </c>
      <c r="D127" s="932" t="str">
        <f>'Revenues 9-14'!A209</f>
        <v>Total Title IV</v>
      </c>
      <c r="E127" s="905"/>
      <c r="F127" s="1788">
        <f>SUM('Revenues 9-14'!C209,'Revenues 9-14'!D209,'Revenues 9-14'!F209,'Revenues 9-14'!G209)</f>
        <v>3893</v>
      </c>
      <c r="G127" s="929"/>
    </row>
    <row r="128" spans="1:7" x14ac:dyDescent="0.2">
      <c r="A128" s="926" t="s">
        <v>668</v>
      </c>
      <c r="B128" s="926" t="s">
        <v>2024</v>
      </c>
      <c r="C128" s="931">
        <f>'Revenues 9-14'!B213</f>
        <v>4620</v>
      </c>
      <c r="D128" s="932" t="str">
        <f>'Revenues 9-14'!A213</f>
        <v>Fed - Spec Education - IDEA - Flow Through</v>
      </c>
      <c r="E128" s="905"/>
      <c r="F128" s="1788">
        <f>SUM('Revenues 9-14'!C213:D213,'Revenues 9-14'!F213:G213)</f>
        <v>229517</v>
      </c>
      <c r="G128" s="929"/>
    </row>
    <row r="129" spans="1:7" x14ac:dyDescent="0.2">
      <c r="A129" s="926" t="s">
        <v>668</v>
      </c>
      <c r="B129" s="926" t="s">
        <v>2025</v>
      </c>
      <c r="C129" s="931">
        <f>'Revenues 9-14'!B214</f>
        <v>4625</v>
      </c>
      <c r="D129" s="932" t="str">
        <f>'Revenues 9-14'!A214</f>
        <v>Fed - Spec Education - IDEA - Room &amp; Board</v>
      </c>
      <c r="E129" s="905"/>
      <c r="F129" s="1788">
        <f>SUM('Revenues 9-14'!C214,'Revenues 9-14'!D214,'Revenues 9-14'!F214,'Revenues 9-14'!G214)</f>
        <v>8752</v>
      </c>
      <c r="G129" s="929"/>
    </row>
    <row r="130" spans="1:7" x14ac:dyDescent="0.2">
      <c r="A130" s="926" t="s">
        <v>668</v>
      </c>
      <c r="B130" s="926" t="s">
        <v>2026</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2027</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2028</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2029</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2030</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2031</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2032</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2033</v>
      </c>
      <c r="C138" s="934" t="s">
        <v>212</v>
      </c>
      <c r="D138" s="935" t="str">
        <f>'Revenues 9-14'!A229</f>
        <v>ARRA - IDEA - Part B - Preschool</v>
      </c>
      <c r="E138" s="936"/>
      <c r="F138" s="1788">
        <v>0</v>
      </c>
      <c r="G138" s="904"/>
    </row>
    <row r="139" spans="1:7" s="866" customFormat="1" hidden="1" x14ac:dyDescent="0.2">
      <c r="A139" s="933" t="s">
        <v>206</v>
      </c>
      <c r="B139" s="933" t="s">
        <v>2034</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2035</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2036</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2037</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2038</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2039</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2040</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2041</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2042</v>
      </c>
      <c r="C157" s="939" t="s">
        <v>841</v>
      </c>
      <c r="D157" s="940" t="s">
        <v>777</v>
      </c>
      <c r="E157" s="941"/>
      <c r="F157" s="1788">
        <f>SUM(F133:F156)</f>
        <v>0</v>
      </c>
      <c r="G157" s="904"/>
    </row>
    <row r="158" spans="1:7" s="866" customFormat="1" x14ac:dyDescent="0.2">
      <c r="A158" s="937" t="s">
        <v>459</v>
      </c>
      <c r="B158" s="938" t="s">
        <v>2043</v>
      </c>
      <c r="C158" s="939" t="s">
        <v>1427</v>
      </c>
      <c r="D158" s="940" t="s">
        <v>1428</v>
      </c>
      <c r="E158" s="941"/>
      <c r="F158" s="1788">
        <f>SUM('Revenues 9-14'!C253)</f>
        <v>0</v>
      </c>
      <c r="G158" s="904"/>
    </row>
    <row r="159" spans="1:7" s="866" customFormat="1" x14ac:dyDescent="0.2">
      <c r="A159" s="937" t="s">
        <v>500</v>
      </c>
      <c r="B159" s="938" t="s">
        <v>2044</v>
      </c>
      <c r="C159" s="939" t="s">
        <v>1466</v>
      </c>
      <c r="D159" s="940" t="s">
        <v>1467</v>
      </c>
      <c r="E159" s="941"/>
      <c r="F159" s="1788">
        <f>SUM('Revenues 9-14'!C254:H254,'Revenues 9-14'!J254:K254)</f>
        <v>0</v>
      </c>
      <c r="G159" s="904"/>
    </row>
    <row r="160" spans="1:7" x14ac:dyDescent="0.2">
      <c r="A160" s="926" t="s">
        <v>5</v>
      </c>
      <c r="B160" s="926" t="s">
        <v>2045</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2046</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2047</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2048</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2049</v>
      </c>
      <c r="C164" s="931">
        <f>'Revenues 9-14'!B259</f>
        <v>4932</v>
      </c>
      <c r="D164" s="932" t="str">
        <f>'Revenues 9-14'!A259</f>
        <v>Title II - Teacher Quality</v>
      </c>
      <c r="E164" s="905"/>
      <c r="F164" s="1906">
        <f>SUM('Revenues 9-14'!C259,'Revenues 9-14'!D259,'Revenues 9-14'!F259,'Revenues 9-14'!G259)</f>
        <v>18430</v>
      </c>
      <c r="G164" s="929"/>
    </row>
    <row r="165" spans="1:7" x14ac:dyDescent="0.2">
      <c r="A165" s="926" t="s">
        <v>668</v>
      </c>
      <c r="B165" s="926" t="s">
        <v>2050</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1995</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1996</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2051</v>
      </c>
      <c r="C168" s="931">
        <f>'Revenues 9-14'!B263</f>
        <v>4991</v>
      </c>
      <c r="D168" s="932" t="str">
        <f>'Revenues 9-14'!A263</f>
        <v>Medicaid Matching Funds - Administrative Outreach</v>
      </c>
      <c r="E168" s="905"/>
      <c r="F168" s="1788">
        <f>SUM('Revenues 9-14'!C263:D263,'Revenues 9-14'!F263:G263)</f>
        <v>3159</v>
      </c>
      <c r="G168" s="946">
        <v>6320</v>
      </c>
    </row>
    <row r="169" spans="1:7" x14ac:dyDescent="0.2">
      <c r="A169" s="926" t="s">
        <v>668</v>
      </c>
      <c r="B169" s="926" t="s">
        <v>2052</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668</v>
      </c>
      <c r="B170" s="943" t="s">
        <v>2053</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c r="G171" s="926"/>
    </row>
    <row r="172" spans="1:7" x14ac:dyDescent="0.2">
      <c r="A172" s="1917" t="s">
        <v>664</v>
      </c>
      <c r="B172" s="1918" t="s">
        <v>1919</v>
      </c>
      <c r="C172" s="1919">
        <v>3300</v>
      </c>
      <c r="D172" s="1920" t="s">
        <v>1922</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2054</v>
      </c>
      <c r="E174" s="1786" t="s">
        <v>958</v>
      </c>
      <c r="F174" s="1787">
        <f>SUM(F84:F132,F157:F172)</f>
        <v>911055</v>
      </c>
    </row>
    <row r="175" spans="1:7" ht="12" customHeight="1" x14ac:dyDescent="0.2">
      <c r="A175" s="1769"/>
      <c r="B175" s="1783"/>
      <c r="C175" s="1784"/>
      <c r="D175" s="1785" t="s">
        <v>2055</v>
      </c>
      <c r="E175" s="1786"/>
      <c r="F175" s="1788">
        <f>'PCTC-OEPP 27-28'!F77-F174</f>
        <v>8166977</v>
      </c>
    </row>
    <row r="176" spans="1:7" ht="12" customHeight="1" x14ac:dyDescent="0.2">
      <c r="A176" s="1769"/>
      <c r="B176" s="1783"/>
      <c r="C176" s="1784"/>
      <c r="D176" s="1785" t="s">
        <v>1817</v>
      </c>
      <c r="E176" s="1786"/>
      <c r="F176" s="1788">
        <f>'Cap Outlay Deprec 26'!I18</f>
        <v>678091</v>
      </c>
    </row>
    <row r="177" spans="1:7" ht="12" customHeight="1" x14ac:dyDescent="0.2">
      <c r="A177" s="1769"/>
      <c r="B177" s="1783"/>
      <c r="C177" s="1784"/>
      <c r="D177" s="1785" t="s">
        <v>2056</v>
      </c>
      <c r="E177" s="1786"/>
      <c r="F177" s="1788">
        <f>F175+F176</f>
        <v>8845068</v>
      </c>
    </row>
    <row r="178" spans="1:7" ht="12" customHeight="1" x14ac:dyDescent="0.2">
      <c r="A178" s="1769"/>
      <c r="B178" s="1789"/>
      <c r="C178" s="1784"/>
      <c r="D178" s="1785" t="str">
        <f>D78</f>
        <v>9 Month ADA from District Average Daily Attendance/Prior General State Aid Inquiry 2018-2019</v>
      </c>
      <c r="E178" s="1786"/>
      <c r="F178" s="1790">
        <f>'PCTC-OEPP 27-28'!F78</f>
        <v>638</v>
      </c>
      <c r="G178" s="929"/>
    </row>
    <row r="179" spans="1:7" ht="12" customHeight="1" thickBot="1" x14ac:dyDescent="0.25">
      <c r="A179" s="1769"/>
      <c r="B179" s="1789"/>
      <c r="C179" s="1784"/>
      <c r="D179" s="1785" t="s">
        <v>2057</v>
      </c>
      <c r="E179" s="1786" t="s">
        <v>1545</v>
      </c>
      <c r="F179" s="1791">
        <f>F177/F178</f>
        <v>13863.742946708464</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2"/>
  <sheetViews>
    <sheetView showGridLines="0" zoomScaleNormal="100" workbookViewId="0">
      <selection activeCell="A12" sqref="A12:G12"/>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6" t="s">
        <v>2064</v>
      </c>
      <c r="B6" s="1937"/>
      <c r="C6" s="1937"/>
      <c r="D6" s="1937"/>
      <c r="E6" s="1937"/>
      <c r="F6" s="1937"/>
      <c r="G6" s="1938"/>
    </row>
    <row r="7" spans="1:7" ht="18.75" x14ac:dyDescent="0.25">
      <c r="A7" s="1533" t="s">
        <v>1819</v>
      </c>
      <c r="B7" s="1534"/>
      <c r="C7" s="1534"/>
      <c r="D7" s="1534"/>
      <c r="E7" s="1534"/>
      <c r="F7" s="1534"/>
      <c r="G7" s="1535"/>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6" t="s">
        <v>1820</v>
      </c>
      <c r="B11" s="1537"/>
      <c r="C11" s="1537"/>
      <c r="D11" s="1537"/>
      <c r="E11" s="1537"/>
      <c r="F11" s="1537"/>
      <c r="G11" s="1538"/>
    </row>
    <row r="12" spans="1:7" ht="17.25" customHeight="1" x14ac:dyDescent="0.25">
      <c r="A12" s="2277" t="s">
        <v>1933</v>
      </c>
      <c r="B12" s="2278"/>
      <c r="C12" s="2278"/>
      <c r="D12" s="2278"/>
      <c r="E12" s="2278"/>
      <c r="F12" s="2278"/>
      <c r="G12" s="2279"/>
    </row>
    <row r="13" spans="1:7" ht="15" customHeight="1" x14ac:dyDescent="0.25">
      <c r="A13" s="1536" t="s">
        <v>1825</v>
      </c>
      <c r="B13" s="1537"/>
      <c r="C13" s="1537"/>
      <c r="D13" s="1537"/>
      <c r="E13" s="1537"/>
      <c r="F13" s="1537"/>
      <c r="G13" s="1538"/>
    </row>
    <row r="14" spans="1:7" ht="32.25" customHeight="1" x14ac:dyDescent="0.25">
      <c r="A14" s="2268" t="s">
        <v>1974</v>
      </c>
      <c r="B14" s="2269"/>
      <c r="C14" s="2269"/>
      <c r="D14" s="2269"/>
      <c r="E14" s="2269"/>
      <c r="F14" s="2269"/>
      <c r="G14" s="2270"/>
    </row>
    <row r="15" spans="1:7" x14ac:dyDescent="0.25">
      <c r="A15" s="1660" t="s">
        <v>1833</v>
      </c>
      <c r="B15" s="1661"/>
      <c r="C15" s="1661"/>
      <c r="D15" s="1661"/>
      <c r="E15" s="1661"/>
      <c r="F15" s="1661"/>
      <c r="G15" s="1662"/>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9" t="s">
        <v>2096</v>
      </c>
      <c r="B18" s="1940" t="s">
        <v>2112</v>
      </c>
      <c r="C18" s="1941" t="s">
        <v>2111</v>
      </c>
      <c r="D18" s="1843">
        <v>25356</v>
      </c>
      <c r="E18" s="1539">
        <f t="shared" ref="E18:E142" si="0">IF(D18&lt;=25000,D18,IF(D18&gt;25000,25000,0))</f>
        <v>25000</v>
      </c>
      <c r="F18" s="1935">
        <f>(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356</v>
      </c>
      <c r="H18" s="1646"/>
    </row>
    <row r="19" spans="1:8" x14ac:dyDescent="0.25">
      <c r="A19" s="1939" t="s">
        <v>2097</v>
      </c>
      <c r="B19" s="1940" t="s">
        <v>2113</v>
      </c>
      <c r="C19" s="1941" t="s">
        <v>2098</v>
      </c>
      <c r="D19" s="1843">
        <v>30299</v>
      </c>
      <c r="E19" s="1539">
        <f t="shared" ref="E19:E141" si="1">IF(D19&lt;=25000,D19,IF(D19&gt;25000,25000,0))</f>
        <v>25000</v>
      </c>
      <c r="F19" s="1935">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25000</v>
      </c>
      <c r="G19" s="1792">
        <f t="shared" ref="G19:G141" si="3">IF(F19=0,0,D19-F19)</f>
        <v>5299</v>
      </c>
    </row>
    <row r="20" spans="1:8" x14ac:dyDescent="0.25">
      <c r="A20" s="1939" t="s">
        <v>2099</v>
      </c>
      <c r="B20" s="1940" t="s">
        <v>2115</v>
      </c>
      <c r="C20" s="1941" t="s">
        <v>2114</v>
      </c>
      <c r="D20" s="1843">
        <v>32935</v>
      </c>
      <c r="E20" s="1539">
        <f t="shared" si="1"/>
        <v>25000</v>
      </c>
      <c r="F20" s="1935">
        <f>(IF(D20="",0,(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Check func/obj # in Colm B"))))</f>
        <v>25000</v>
      </c>
      <c r="G20" s="1792">
        <f t="shared" si="3"/>
        <v>7935</v>
      </c>
    </row>
    <row r="21" spans="1:8" x14ac:dyDescent="0.25">
      <c r="A21" s="1939" t="s">
        <v>2100</v>
      </c>
      <c r="B21" s="1940" t="s">
        <v>2115</v>
      </c>
      <c r="C21" s="1941" t="s">
        <v>2101</v>
      </c>
      <c r="D21" s="1843">
        <v>38785</v>
      </c>
      <c r="E21" s="1539">
        <f t="shared" si="1"/>
        <v>25000</v>
      </c>
      <c r="F21" s="1935">
        <f>(IF(D21="",0,(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Check func/obj # in Colm B"))))</f>
        <v>25000</v>
      </c>
      <c r="G21" s="1792">
        <f t="shared" si="3"/>
        <v>13785</v>
      </c>
    </row>
    <row r="22" spans="1:8" x14ac:dyDescent="0.25">
      <c r="A22" s="1939" t="s">
        <v>517</v>
      </c>
      <c r="B22" s="1940" t="s">
        <v>2116</v>
      </c>
      <c r="C22" s="1941" t="s">
        <v>2102</v>
      </c>
      <c r="D22" s="1843">
        <v>44042</v>
      </c>
      <c r="E22" s="1539">
        <f t="shared" si="1"/>
        <v>25000</v>
      </c>
      <c r="F22" s="1935">
        <f t="shared" si="2"/>
        <v>25000</v>
      </c>
      <c r="G22" s="1792">
        <f t="shared" si="3"/>
        <v>19042</v>
      </c>
    </row>
    <row r="23" spans="1:8" x14ac:dyDescent="0.25">
      <c r="A23" s="1939" t="s">
        <v>2103</v>
      </c>
      <c r="B23" s="1940" t="s">
        <v>2116</v>
      </c>
      <c r="C23" s="1941" t="s">
        <v>2104</v>
      </c>
      <c r="D23" s="1843">
        <v>51386</v>
      </c>
      <c r="E23" s="1539">
        <f t="shared" si="1"/>
        <v>25000</v>
      </c>
      <c r="F23" s="1935">
        <f t="shared" si="2"/>
        <v>25000</v>
      </c>
      <c r="G23" s="1792">
        <f t="shared" si="3"/>
        <v>26386</v>
      </c>
    </row>
    <row r="24" spans="1:8" x14ac:dyDescent="0.25">
      <c r="A24" s="1939" t="s">
        <v>2105</v>
      </c>
      <c r="B24" s="1940" t="s">
        <v>2112</v>
      </c>
      <c r="C24" s="1941" t="s">
        <v>2106</v>
      </c>
      <c r="D24" s="1843">
        <v>66487</v>
      </c>
      <c r="E24" s="1539">
        <f t="shared" si="1"/>
        <v>25000</v>
      </c>
      <c r="F24" s="1935">
        <f t="shared" si="2"/>
        <v>25000</v>
      </c>
      <c r="G24" s="1792">
        <f t="shared" si="3"/>
        <v>41487</v>
      </c>
    </row>
    <row r="25" spans="1:8" x14ac:dyDescent="0.25">
      <c r="A25" s="1939" t="s">
        <v>2107</v>
      </c>
      <c r="B25" s="1940" t="s">
        <v>2113</v>
      </c>
      <c r="C25" s="1941" t="s">
        <v>2108</v>
      </c>
      <c r="D25" s="1843">
        <v>136646</v>
      </c>
      <c r="E25" s="1539">
        <f t="shared" si="1"/>
        <v>25000</v>
      </c>
      <c r="F25" s="1935">
        <f>(IF(D25="",0,(IF(OR(B25="10-1000-100",B25="10-1000-200",B25="10-1000-300",B25="10-1000-400",B25="10-1000-600",B25="10-1000-800",B25="50-1000-200",B25="10-2100-100",B25="10-2100-200",B25="10-2100-300",B25="10-2100-400",B25="10-2100-600",B25="10-2100-800",B25="20-2100-100",B25="20-2100-200",B25="20-2100-300",B25="20-2100-400",B25="20-2100-600",B25="20-2100-800",B25="40-2100-100",B25="40-2100-200",B25="40-2100-300",B25="40-2100-400",B25="40-2100-600",B25="40-2100-800",B25="50-2100-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10-2540-800",B25="20-2540-100",B25="20-2540-200",B25="20-2540-300",B25="20-2540-400",B25="20-2540-600",B25="20-2540-800",B25="50-2540-200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10-3000-100",B25="10-3000-200",B25="10-3000-300",B25="10-3000-400",B25="10-3000-600",B25="10-3000-800",B25="20-3000-100",B25="20-3000-200",B25="20-3000-300",B25="20-3000-400",B25="20-3000-600",B25="20-3000-800",B25="40-3000-100",B25="40-3000-200",B25="40-3000-300",B25="40-3000-400",B25="40-3000-600",B25="40-3000-800",B25="50-3000-200"),E25,"Check func/obj # in Colm B"))))</f>
        <v>25000</v>
      </c>
      <c r="G25" s="1792">
        <f t="shared" si="3"/>
        <v>111646</v>
      </c>
    </row>
    <row r="26" spans="1:8" x14ac:dyDescent="0.25">
      <c r="A26" s="1939" t="s">
        <v>2109</v>
      </c>
      <c r="B26" s="1940" t="s">
        <v>2116</v>
      </c>
      <c r="C26" s="1941" t="s">
        <v>2117</v>
      </c>
      <c r="D26" s="1843">
        <v>188689</v>
      </c>
      <c r="E26" s="1539">
        <f t="shared" si="1"/>
        <v>25000</v>
      </c>
      <c r="F26" s="1935">
        <f t="shared" si="2"/>
        <v>25000</v>
      </c>
      <c r="G26" s="1792">
        <f t="shared" si="3"/>
        <v>163689</v>
      </c>
    </row>
    <row r="27" spans="1:8" x14ac:dyDescent="0.25">
      <c r="A27" s="1939" t="s">
        <v>2118</v>
      </c>
      <c r="B27" s="1940" t="s">
        <v>1824</v>
      </c>
      <c r="C27" s="1941" t="s">
        <v>2110</v>
      </c>
      <c r="D27" s="1843">
        <v>241884</v>
      </c>
      <c r="E27" s="1539">
        <f t="shared" si="1"/>
        <v>25000</v>
      </c>
      <c r="F27" s="1935">
        <f t="shared" si="2"/>
        <v>25000</v>
      </c>
      <c r="G27" s="1792">
        <f t="shared" si="3"/>
        <v>216884</v>
      </c>
    </row>
    <row r="28" spans="1:8" x14ac:dyDescent="0.25">
      <c r="A28" s="1652"/>
      <c r="B28" s="1932"/>
      <c r="C28" s="1653"/>
      <c r="D28" s="1843"/>
      <c r="E28" s="1539">
        <f t="shared" si="1"/>
        <v>0</v>
      </c>
      <c r="F28" s="1935">
        <f t="shared" si="2"/>
        <v>0</v>
      </c>
      <c r="G28" s="1792">
        <f t="shared" si="3"/>
        <v>0</v>
      </c>
    </row>
    <row r="29" spans="1:8" x14ac:dyDescent="0.25">
      <c r="A29" s="1652"/>
      <c r="B29" s="1932"/>
      <c r="C29" s="1653"/>
      <c r="D29" s="1843"/>
      <c r="E29" s="1539">
        <f t="shared" si="1"/>
        <v>0</v>
      </c>
      <c r="F29" s="1935">
        <f t="shared" si="2"/>
        <v>0</v>
      </c>
      <c r="G29" s="1792">
        <f t="shared" si="3"/>
        <v>0</v>
      </c>
    </row>
    <row r="30" spans="1:8" x14ac:dyDescent="0.25">
      <c r="A30" s="1652"/>
      <c r="B30" s="1932"/>
      <c r="C30" s="1653"/>
      <c r="D30" s="1843"/>
      <c r="E30" s="1539">
        <f t="shared" si="1"/>
        <v>0</v>
      </c>
      <c r="F30" s="1935">
        <f t="shared" si="2"/>
        <v>0</v>
      </c>
      <c r="G30" s="1792">
        <f t="shared" si="3"/>
        <v>0</v>
      </c>
    </row>
    <row r="31" spans="1:8" x14ac:dyDescent="0.25">
      <c r="A31" s="1652"/>
      <c r="B31" s="1932"/>
      <c r="C31" s="1653"/>
      <c r="D31" s="1843"/>
      <c r="E31" s="1539">
        <f t="shared" si="1"/>
        <v>0</v>
      </c>
      <c r="F31" s="1935">
        <f t="shared" si="2"/>
        <v>0</v>
      </c>
      <c r="G31" s="1792">
        <f t="shared" si="3"/>
        <v>0</v>
      </c>
    </row>
    <row r="32" spans="1:8" x14ac:dyDescent="0.25">
      <c r="A32" s="1652"/>
      <c r="B32" s="1932"/>
      <c r="C32" s="1653"/>
      <c r="D32" s="1843"/>
      <c r="E32" s="1539">
        <f t="shared" si="1"/>
        <v>0</v>
      </c>
      <c r="F32" s="1935">
        <f t="shared" si="2"/>
        <v>0</v>
      </c>
      <c r="G32" s="1792">
        <f t="shared" si="3"/>
        <v>0</v>
      </c>
    </row>
    <row r="33" spans="1:7" x14ac:dyDescent="0.25">
      <c r="A33" s="1652"/>
      <c r="B33" s="1932"/>
      <c r="C33" s="1653"/>
      <c r="D33" s="1843"/>
      <c r="E33" s="1539">
        <f t="shared" si="1"/>
        <v>0</v>
      </c>
      <c r="F33" s="1935">
        <f t="shared" si="2"/>
        <v>0</v>
      </c>
      <c r="G33" s="1792">
        <f t="shared" si="3"/>
        <v>0</v>
      </c>
    </row>
    <row r="34" spans="1:7" x14ac:dyDescent="0.25">
      <c r="A34" s="1652"/>
      <c r="B34" s="1932"/>
      <c r="C34" s="1653"/>
      <c r="D34" s="1843"/>
      <c r="E34" s="1539">
        <f t="shared" si="1"/>
        <v>0</v>
      </c>
      <c r="F34" s="1935">
        <f t="shared" si="2"/>
        <v>0</v>
      </c>
      <c r="G34" s="1792">
        <f t="shared" si="3"/>
        <v>0</v>
      </c>
    </row>
    <row r="35" spans="1:7" x14ac:dyDescent="0.25">
      <c r="A35" s="1652"/>
      <c r="B35" s="1932"/>
      <c r="C35" s="1653"/>
      <c r="D35" s="1843"/>
      <c r="E35" s="1539">
        <f t="shared" si="1"/>
        <v>0</v>
      </c>
      <c r="F35" s="1935">
        <f t="shared" si="2"/>
        <v>0</v>
      </c>
      <c r="G35" s="1792">
        <f t="shared" si="3"/>
        <v>0</v>
      </c>
    </row>
    <row r="36" spans="1:7" x14ac:dyDescent="0.25">
      <c r="A36" s="1652"/>
      <c r="B36" s="1932"/>
      <c r="C36" s="1653"/>
      <c r="D36" s="1843"/>
      <c r="E36" s="1539">
        <f t="shared" si="1"/>
        <v>0</v>
      </c>
      <c r="F36" s="1935">
        <f t="shared" si="2"/>
        <v>0</v>
      </c>
      <c r="G36" s="1792">
        <f t="shared" si="3"/>
        <v>0</v>
      </c>
    </row>
    <row r="37" spans="1:7" x14ac:dyDescent="0.25">
      <c r="A37" s="1652"/>
      <c r="B37" s="1932"/>
      <c r="C37" s="1653"/>
      <c r="D37" s="1843"/>
      <c r="E37" s="1539">
        <f t="shared" si="1"/>
        <v>0</v>
      </c>
      <c r="F37" s="1935">
        <f t="shared" si="2"/>
        <v>0</v>
      </c>
      <c r="G37" s="1792">
        <f t="shared" si="3"/>
        <v>0</v>
      </c>
    </row>
    <row r="38" spans="1:7" x14ac:dyDescent="0.25">
      <c r="A38" s="1652"/>
      <c r="B38" s="1932"/>
      <c r="C38" s="1653"/>
      <c r="D38" s="1843"/>
      <c r="E38" s="1539">
        <f t="shared" si="1"/>
        <v>0</v>
      </c>
      <c r="F38" s="1935">
        <f t="shared" si="2"/>
        <v>0</v>
      </c>
      <c r="G38" s="1792">
        <f t="shared" si="3"/>
        <v>0</v>
      </c>
    </row>
    <row r="39" spans="1:7" x14ac:dyDescent="0.25">
      <c r="A39" s="1652"/>
      <c r="B39" s="1933"/>
      <c r="C39" s="1653"/>
      <c r="D39" s="1843"/>
      <c r="E39" s="1539">
        <f t="shared" si="1"/>
        <v>0</v>
      </c>
      <c r="F39" s="1935">
        <f t="shared" si="2"/>
        <v>0</v>
      </c>
      <c r="G39" s="1792">
        <f t="shared" si="3"/>
        <v>0</v>
      </c>
    </row>
    <row r="40" spans="1:7" x14ac:dyDescent="0.25">
      <c r="A40" s="1652"/>
      <c r="B40" s="1933"/>
      <c r="C40" s="1653"/>
      <c r="D40" s="1843"/>
      <c r="E40" s="1539">
        <f t="shared" si="1"/>
        <v>0</v>
      </c>
      <c r="F40" s="1935">
        <f t="shared" si="2"/>
        <v>0</v>
      </c>
      <c r="G40" s="1792">
        <f t="shared" si="3"/>
        <v>0</v>
      </c>
    </row>
    <row r="41" spans="1:7" x14ac:dyDescent="0.25">
      <c r="A41" s="1652"/>
      <c r="B41" s="1933"/>
      <c r="C41" s="1653"/>
      <c r="D41" s="1843"/>
      <c r="E41" s="1539">
        <f t="shared" si="1"/>
        <v>0</v>
      </c>
      <c r="F41" s="1935">
        <f t="shared" si="2"/>
        <v>0</v>
      </c>
      <c r="G41" s="1792">
        <f t="shared" si="3"/>
        <v>0</v>
      </c>
    </row>
    <row r="42" spans="1:7" x14ac:dyDescent="0.25">
      <c r="A42" s="1652"/>
      <c r="B42" s="1933"/>
      <c r="C42" s="1653"/>
      <c r="D42" s="1843"/>
      <c r="E42" s="1539">
        <f t="shared" si="1"/>
        <v>0</v>
      </c>
      <c r="F42" s="1935">
        <f t="shared" si="2"/>
        <v>0</v>
      </c>
      <c r="G42" s="1792">
        <f t="shared" si="3"/>
        <v>0</v>
      </c>
    </row>
    <row r="43" spans="1:7" x14ac:dyDescent="0.25">
      <c r="A43" s="1652"/>
      <c r="B43" s="1933"/>
      <c r="C43" s="1653"/>
      <c r="D43" s="1843"/>
      <c r="E43" s="1539">
        <f t="shared" si="1"/>
        <v>0</v>
      </c>
      <c r="F43" s="1935">
        <f t="shared" si="2"/>
        <v>0</v>
      </c>
      <c r="G43" s="1792">
        <f t="shared" si="3"/>
        <v>0</v>
      </c>
    </row>
    <row r="44" spans="1:7" x14ac:dyDescent="0.25">
      <c r="A44" s="1652"/>
      <c r="B44" s="1933"/>
      <c r="C44" s="1653"/>
      <c r="D44" s="1843"/>
      <c r="E44" s="1539">
        <f t="shared" si="1"/>
        <v>0</v>
      </c>
      <c r="F44" s="1935">
        <f t="shared" si="2"/>
        <v>0</v>
      </c>
      <c r="G44" s="1792">
        <f t="shared" si="3"/>
        <v>0</v>
      </c>
    </row>
    <row r="45" spans="1:7" x14ac:dyDescent="0.25">
      <c r="A45" s="1652"/>
      <c r="B45" s="1933"/>
      <c r="C45" s="1653"/>
      <c r="D45" s="1843"/>
      <c r="E45" s="1539">
        <f t="shared" si="1"/>
        <v>0</v>
      </c>
      <c r="F45" s="1935">
        <f t="shared" si="2"/>
        <v>0</v>
      </c>
      <c r="G45" s="1792">
        <f t="shared" si="3"/>
        <v>0</v>
      </c>
    </row>
    <row r="46" spans="1:7" x14ac:dyDescent="0.25">
      <c r="A46" s="1652"/>
      <c r="B46" s="1933"/>
      <c r="C46" s="1653"/>
      <c r="D46" s="1843"/>
      <c r="E46" s="1539">
        <f t="shared" si="1"/>
        <v>0</v>
      </c>
      <c r="F46" s="1935">
        <f t="shared" si="2"/>
        <v>0</v>
      </c>
      <c r="G46" s="1792">
        <f t="shared" si="3"/>
        <v>0</v>
      </c>
    </row>
    <row r="47" spans="1:7" x14ac:dyDescent="0.25">
      <c r="A47" s="1652"/>
      <c r="B47" s="1666"/>
      <c r="C47" s="1653"/>
      <c r="D47" s="1843"/>
      <c r="E47" s="1539">
        <f t="shared" si="1"/>
        <v>0</v>
      </c>
      <c r="F47" s="1935">
        <f t="shared" si="2"/>
        <v>0</v>
      </c>
      <c r="G47" s="1792">
        <f t="shared" si="3"/>
        <v>0</v>
      </c>
    </row>
    <row r="48" spans="1:7" x14ac:dyDescent="0.25">
      <c r="A48" s="1652"/>
      <c r="B48" s="1666"/>
      <c r="C48" s="1653"/>
      <c r="D48" s="1843"/>
      <c r="E48" s="1539">
        <f t="shared" si="1"/>
        <v>0</v>
      </c>
      <c r="F48" s="1935">
        <f t="shared" si="2"/>
        <v>0</v>
      </c>
      <c r="G48" s="1792">
        <f t="shared" si="3"/>
        <v>0</v>
      </c>
    </row>
    <row r="49" spans="1:7" x14ac:dyDescent="0.25">
      <c r="A49" s="1652"/>
      <c r="B49" s="1666"/>
      <c r="C49" s="1653"/>
      <c r="D49" s="1843"/>
      <c r="E49" s="1539">
        <f t="shared" si="1"/>
        <v>0</v>
      </c>
      <c r="F49" s="1935">
        <f t="shared" si="2"/>
        <v>0</v>
      </c>
      <c r="G49" s="1792">
        <f t="shared" si="3"/>
        <v>0</v>
      </c>
    </row>
    <row r="50" spans="1:7" x14ac:dyDescent="0.25">
      <c r="A50" s="1652"/>
      <c r="B50" s="1666"/>
      <c r="C50" s="1653"/>
      <c r="D50" s="1843"/>
      <c r="E50" s="1539">
        <f t="shared" si="1"/>
        <v>0</v>
      </c>
      <c r="F50" s="1935">
        <f t="shared" si="2"/>
        <v>0</v>
      </c>
      <c r="G50" s="1792">
        <f t="shared" si="3"/>
        <v>0</v>
      </c>
    </row>
    <row r="51" spans="1:7" x14ac:dyDescent="0.25">
      <c r="A51" s="1652"/>
      <c r="B51" s="1666"/>
      <c r="C51" s="1653"/>
      <c r="D51" s="1843"/>
      <c r="E51" s="1539">
        <f t="shared" si="1"/>
        <v>0</v>
      </c>
      <c r="F51" s="1935">
        <f t="shared" si="2"/>
        <v>0</v>
      </c>
      <c r="G51" s="1792">
        <f t="shared" si="3"/>
        <v>0</v>
      </c>
    </row>
    <row r="52" spans="1:7" x14ac:dyDescent="0.25">
      <c r="A52" s="1652"/>
      <c r="B52" s="1666"/>
      <c r="C52" s="1653"/>
      <c r="D52" s="1843"/>
      <c r="E52" s="1539">
        <f t="shared" si="1"/>
        <v>0</v>
      </c>
      <c r="F52" s="1935">
        <f t="shared" si="2"/>
        <v>0</v>
      </c>
      <c r="G52" s="1792">
        <f t="shared" si="3"/>
        <v>0</v>
      </c>
    </row>
    <row r="53" spans="1:7" x14ac:dyDescent="0.25">
      <c r="A53" s="1652"/>
      <c r="B53" s="1666"/>
      <c r="C53" s="1653"/>
      <c r="D53" s="1843"/>
      <c r="E53" s="1539">
        <f t="shared" si="1"/>
        <v>0</v>
      </c>
      <c r="F53" s="1935">
        <f t="shared" si="2"/>
        <v>0</v>
      </c>
      <c r="G53" s="1792">
        <f t="shared" si="3"/>
        <v>0</v>
      </c>
    </row>
    <row r="54" spans="1:7" x14ac:dyDescent="0.25">
      <c r="A54" s="1652"/>
      <c r="B54" s="1666"/>
      <c r="C54" s="1653"/>
      <c r="D54" s="1843"/>
      <c r="E54" s="1539">
        <f t="shared" si="1"/>
        <v>0</v>
      </c>
      <c r="F54" s="1935">
        <f t="shared" si="2"/>
        <v>0</v>
      </c>
      <c r="G54" s="1792">
        <f t="shared" si="3"/>
        <v>0</v>
      </c>
    </row>
    <row r="55" spans="1:7" x14ac:dyDescent="0.25">
      <c r="A55" s="1652"/>
      <c r="B55" s="1666"/>
      <c r="C55" s="1653"/>
      <c r="D55" s="1843"/>
      <c r="E55" s="1539">
        <f t="shared" si="1"/>
        <v>0</v>
      </c>
      <c r="F55" s="1935">
        <f t="shared" si="2"/>
        <v>0</v>
      </c>
      <c r="G55" s="1792">
        <f t="shared" si="3"/>
        <v>0</v>
      </c>
    </row>
    <row r="56" spans="1:7" x14ac:dyDescent="0.25">
      <c r="A56" s="1652"/>
      <c r="B56" s="1666"/>
      <c r="C56" s="1653"/>
      <c r="D56" s="1843"/>
      <c r="E56" s="1539">
        <f t="shared" si="1"/>
        <v>0</v>
      </c>
      <c r="F56" s="1935">
        <f t="shared" si="2"/>
        <v>0</v>
      </c>
      <c r="G56" s="1792">
        <f t="shared" si="3"/>
        <v>0</v>
      </c>
    </row>
    <row r="57" spans="1:7" x14ac:dyDescent="0.25">
      <c r="A57" s="1652"/>
      <c r="B57" s="1666"/>
      <c r="C57" s="1653"/>
      <c r="D57" s="1843"/>
      <c r="E57" s="1539">
        <f t="shared" si="1"/>
        <v>0</v>
      </c>
      <c r="F57" s="1935">
        <f t="shared" si="2"/>
        <v>0</v>
      </c>
      <c r="G57" s="1792">
        <f t="shared" si="3"/>
        <v>0</v>
      </c>
    </row>
    <row r="58" spans="1:7" x14ac:dyDescent="0.25">
      <c r="A58" s="1652"/>
      <c r="B58" s="1666"/>
      <c r="C58" s="1653"/>
      <c r="D58" s="1843"/>
      <c r="E58" s="1539">
        <f t="shared" si="1"/>
        <v>0</v>
      </c>
      <c r="F58" s="1935">
        <f t="shared" si="2"/>
        <v>0</v>
      </c>
      <c r="G58" s="1792">
        <f t="shared" si="3"/>
        <v>0</v>
      </c>
    </row>
    <row r="59" spans="1:7" x14ac:dyDescent="0.25">
      <c r="A59" s="1652"/>
      <c r="B59" s="1666"/>
      <c r="C59" s="1653"/>
      <c r="D59" s="1843"/>
      <c r="E59" s="1539">
        <f t="shared" si="1"/>
        <v>0</v>
      </c>
      <c r="F59" s="1935">
        <f t="shared" si="2"/>
        <v>0</v>
      </c>
      <c r="G59" s="1792">
        <f t="shared" si="3"/>
        <v>0</v>
      </c>
    </row>
    <row r="60" spans="1:7" x14ac:dyDescent="0.25">
      <c r="A60" s="1652"/>
      <c r="B60" s="1666"/>
      <c r="C60" s="1653"/>
      <c r="D60" s="1843"/>
      <c r="E60" s="1539">
        <f t="shared" si="1"/>
        <v>0</v>
      </c>
      <c r="F60" s="1935">
        <f t="shared" si="2"/>
        <v>0</v>
      </c>
      <c r="G60" s="1792">
        <f t="shared" si="3"/>
        <v>0</v>
      </c>
    </row>
    <row r="61" spans="1:7" x14ac:dyDescent="0.25">
      <c r="A61" s="1652"/>
      <c r="B61" s="1666"/>
      <c r="C61" s="1653"/>
      <c r="D61" s="1843"/>
      <c r="E61" s="1539">
        <f t="shared" si="1"/>
        <v>0</v>
      </c>
      <c r="F61" s="1935">
        <f t="shared" si="2"/>
        <v>0</v>
      </c>
      <c r="G61" s="1792">
        <f t="shared" si="3"/>
        <v>0</v>
      </c>
    </row>
    <row r="62" spans="1:7" x14ac:dyDescent="0.25">
      <c r="A62" s="1652"/>
      <c r="B62" s="1666"/>
      <c r="C62" s="1653"/>
      <c r="D62" s="1843"/>
      <c r="E62" s="1539">
        <f t="shared" si="1"/>
        <v>0</v>
      </c>
      <c r="F62" s="1935">
        <f t="shared" si="2"/>
        <v>0</v>
      </c>
      <c r="G62" s="1792">
        <f t="shared" si="3"/>
        <v>0</v>
      </c>
    </row>
    <row r="63" spans="1:7" x14ac:dyDescent="0.25">
      <c r="A63" s="1652"/>
      <c r="B63" s="1666"/>
      <c r="C63" s="1653"/>
      <c r="D63" s="1843"/>
      <c r="E63" s="1539">
        <f t="shared" si="1"/>
        <v>0</v>
      </c>
      <c r="F63" s="1935">
        <f t="shared" si="2"/>
        <v>0</v>
      </c>
      <c r="G63" s="1792">
        <f t="shared" si="3"/>
        <v>0</v>
      </c>
    </row>
    <row r="64" spans="1:7" x14ac:dyDescent="0.25">
      <c r="A64" s="1652"/>
      <c r="B64" s="1666"/>
      <c r="C64" s="1653"/>
      <c r="D64" s="1843"/>
      <c r="E64" s="1539">
        <f t="shared" si="1"/>
        <v>0</v>
      </c>
      <c r="F64" s="1935">
        <f t="shared" si="2"/>
        <v>0</v>
      </c>
      <c r="G64" s="1792">
        <f t="shared" si="3"/>
        <v>0</v>
      </c>
    </row>
    <row r="65" spans="1:7" x14ac:dyDescent="0.25">
      <c r="A65" s="1654"/>
      <c r="B65" s="1666"/>
      <c r="C65" s="1655"/>
      <c r="D65" s="1843"/>
      <c r="E65" s="1539">
        <f t="shared" si="1"/>
        <v>0</v>
      </c>
      <c r="F65" s="1935">
        <f t="shared" si="2"/>
        <v>0</v>
      </c>
      <c r="G65" s="1792">
        <f t="shared" si="3"/>
        <v>0</v>
      </c>
    </row>
    <row r="66" spans="1:7" x14ac:dyDescent="0.25">
      <c r="A66" s="1652"/>
      <c r="B66" s="1666"/>
      <c r="C66" s="1653"/>
      <c r="D66" s="1843"/>
      <c r="E66" s="1539">
        <f t="shared" si="1"/>
        <v>0</v>
      </c>
      <c r="F66" s="1935">
        <f t="shared" si="2"/>
        <v>0</v>
      </c>
      <c r="G66" s="1792">
        <f t="shared" si="3"/>
        <v>0</v>
      </c>
    </row>
    <row r="67" spans="1:7" x14ac:dyDescent="0.25">
      <c r="A67" s="1652"/>
      <c r="B67" s="1666"/>
      <c r="C67" s="1653"/>
      <c r="D67" s="1843"/>
      <c r="E67" s="1539">
        <f t="shared" si="1"/>
        <v>0</v>
      </c>
      <c r="F67" s="1935">
        <f t="shared" si="2"/>
        <v>0</v>
      </c>
      <c r="G67" s="1792">
        <f t="shared" si="3"/>
        <v>0</v>
      </c>
    </row>
    <row r="68" spans="1:7" x14ac:dyDescent="0.25">
      <c r="A68" s="1652"/>
      <c r="B68" s="1666"/>
      <c r="C68" s="1653"/>
      <c r="D68" s="1843"/>
      <c r="E68" s="1539">
        <f t="shared" si="1"/>
        <v>0</v>
      </c>
      <c r="F68" s="1935">
        <f t="shared" si="2"/>
        <v>0</v>
      </c>
      <c r="G68" s="1792">
        <f t="shared" si="3"/>
        <v>0</v>
      </c>
    </row>
    <row r="69" spans="1:7" x14ac:dyDescent="0.25">
      <c r="A69" s="1652"/>
      <c r="B69" s="1666"/>
      <c r="C69" s="1653"/>
      <c r="D69" s="1843"/>
      <c r="E69" s="1539">
        <f t="shared" si="1"/>
        <v>0</v>
      </c>
      <c r="F69" s="1935">
        <f t="shared" si="2"/>
        <v>0</v>
      </c>
      <c r="G69" s="1792">
        <f t="shared" si="3"/>
        <v>0</v>
      </c>
    </row>
    <row r="70" spans="1:7" x14ac:dyDescent="0.25">
      <c r="A70" s="1652"/>
      <c r="B70" s="1666"/>
      <c r="C70" s="1653"/>
      <c r="D70" s="1843"/>
      <c r="E70" s="1539">
        <f t="shared" si="1"/>
        <v>0</v>
      </c>
      <c r="F70" s="1935">
        <f t="shared" si="2"/>
        <v>0</v>
      </c>
      <c r="G70" s="1792">
        <f t="shared" si="3"/>
        <v>0</v>
      </c>
    </row>
    <row r="71" spans="1:7" x14ac:dyDescent="0.25">
      <c r="A71" s="1652"/>
      <c r="B71" s="1666"/>
      <c r="C71" s="1653"/>
      <c r="D71" s="1843"/>
      <c r="E71" s="1539">
        <f t="shared" si="1"/>
        <v>0</v>
      </c>
      <c r="F71" s="1935">
        <f t="shared" si="2"/>
        <v>0</v>
      </c>
      <c r="G71" s="1792">
        <f t="shared" si="3"/>
        <v>0</v>
      </c>
    </row>
    <row r="72" spans="1:7" x14ac:dyDescent="0.25">
      <c r="A72" s="1652"/>
      <c r="B72" s="1666"/>
      <c r="C72" s="1653"/>
      <c r="D72" s="1843"/>
      <c r="E72" s="1539">
        <f t="shared" si="1"/>
        <v>0</v>
      </c>
      <c r="F72" s="1935">
        <f t="shared" si="2"/>
        <v>0</v>
      </c>
      <c r="G72" s="1792">
        <f t="shared" si="3"/>
        <v>0</v>
      </c>
    </row>
    <row r="73" spans="1:7" x14ac:dyDescent="0.25">
      <c r="A73" s="1652"/>
      <c r="B73" s="1666"/>
      <c r="C73" s="1653"/>
      <c r="D73" s="1843"/>
      <c r="E73" s="1539">
        <f t="shared" si="1"/>
        <v>0</v>
      </c>
      <c r="F73" s="1935">
        <f t="shared" si="2"/>
        <v>0</v>
      </c>
      <c r="G73" s="1792">
        <f t="shared" si="3"/>
        <v>0</v>
      </c>
    </row>
    <row r="74" spans="1:7" x14ac:dyDescent="0.25">
      <c r="A74" s="1652"/>
      <c r="B74" s="1666"/>
      <c r="C74" s="1653"/>
      <c r="D74" s="1843"/>
      <c r="E74" s="1539">
        <f t="shared" ref="E74:E85" si="4">IF(D74&lt;=25000,D74,IF(D74&gt;25000,25000,0))</f>
        <v>0</v>
      </c>
      <c r="F74" s="1935">
        <f t="shared" si="2"/>
        <v>0</v>
      </c>
      <c r="G74" s="1792">
        <f t="shared" ref="G74:G85" si="5">IF(F74=0,0,D74-F74)</f>
        <v>0</v>
      </c>
    </row>
    <row r="75" spans="1:7" x14ac:dyDescent="0.25">
      <c r="A75" s="1652"/>
      <c r="B75" s="1666"/>
      <c r="C75" s="1653"/>
      <c r="D75" s="1843"/>
      <c r="E75" s="1539">
        <f t="shared" si="4"/>
        <v>0</v>
      </c>
      <c r="F75" s="1935">
        <f t="shared" si="2"/>
        <v>0</v>
      </c>
      <c r="G75" s="1792">
        <f t="shared" si="5"/>
        <v>0</v>
      </c>
    </row>
    <row r="76" spans="1:7" x14ac:dyDescent="0.25">
      <c r="A76" s="1652"/>
      <c r="B76" s="1666"/>
      <c r="C76" s="1653"/>
      <c r="D76" s="1843"/>
      <c r="E76" s="1539">
        <f t="shared" si="4"/>
        <v>0</v>
      </c>
      <c r="F76" s="1935">
        <f t="shared" si="2"/>
        <v>0</v>
      </c>
      <c r="G76" s="1792">
        <f t="shared" si="5"/>
        <v>0</v>
      </c>
    </row>
    <row r="77" spans="1:7" x14ac:dyDescent="0.25">
      <c r="A77" s="1652"/>
      <c r="B77" s="1666"/>
      <c r="C77" s="1653"/>
      <c r="D77" s="1843"/>
      <c r="E77" s="1539">
        <f t="shared" si="4"/>
        <v>0</v>
      </c>
      <c r="F77" s="1935">
        <f t="shared" si="2"/>
        <v>0</v>
      </c>
      <c r="G77" s="1792">
        <f t="shared" si="5"/>
        <v>0</v>
      </c>
    </row>
    <row r="78" spans="1:7" x14ac:dyDescent="0.25">
      <c r="A78" s="1652"/>
      <c r="B78" s="1666"/>
      <c r="C78" s="1653"/>
      <c r="D78" s="1843"/>
      <c r="E78" s="1539">
        <f t="shared" si="4"/>
        <v>0</v>
      </c>
      <c r="F78" s="1935">
        <f t="shared" si="2"/>
        <v>0</v>
      </c>
      <c r="G78" s="1792">
        <f t="shared" si="5"/>
        <v>0</v>
      </c>
    </row>
    <row r="79" spans="1:7" x14ac:dyDescent="0.25">
      <c r="A79" s="1652"/>
      <c r="B79" s="1666"/>
      <c r="C79" s="1653"/>
      <c r="D79" s="1843"/>
      <c r="E79" s="1539">
        <f t="shared" si="4"/>
        <v>0</v>
      </c>
      <c r="F79" s="1935">
        <f t="shared" si="2"/>
        <v>0</v>
      </c>
      <c r="G79" s="1792">
        <f t="shared" si="5"/>
        <v>0</v>
      </c>
    </row>
    <row r="80" spans="1:7" x14ac:dyDescent="0.25">
      <c r="A80" s="1652"/>
      <c r="B80" s="1666"/>
      <c r="C80" s="1653"/>
      <c r="D80" s="1843"/>
      <c r="E80" s="1539">
        <f t="shared" si="4"/>
        <v>0</v>
      </c>
      <c r="F80" s="1935">
        <f t="shared" si="2"/>
        <v>0</v>
      </c>
      <c r="G80" s="1792">
        <f t="shared" si="5"/>
        <v>0</v>
      </c>
    </row>
    <row r="81" spans="1:7" x14ac:dyDescent="0.25">
      <c r="A81" s="1652"/>
      <c r="B81" s="1666"/>
      <c r="C81" s="1653"/>
      <c r="D81" s="1843"/>
      <c r="E81" s="1539">
        <f t="shared" si="4"/>
        <v>0</v>
      </c>
      <c r="F81" s="1935">
        <f t="shared" si="2"/>
        <v>0</v>
      </c>
      <c r="G81" s="1792">
        <f t="shared" si="5"/>
        <v>0</v>
      </c>
    </row>
    <row r="82" spans="1:7" x14ac:dyDescent="0.25">
      <c r="A82" s="1652"/>
      <c r="B82" s="1666"/>
      <c r="C82" s="1653"/>
      <c r="D82" s="1843"/>
      <c r="E82" s="1539">
        <f t="shared" si="4"/>
        <v>0</v>
      </c>
      <c r="F82" s="1935">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5">
        <f t="shared" si="6"/>
        <v>0</v>
      </c>
      <c r="G83" s="1792">
        <f t="shared" si="5"/>
        <v>0</v>
      </c>
    </row>
    <row r="84" spans="1:7" x14ac:dyDescent="0.25">
      <c r="A84" s="1652"/>
      <c r="B84" s="1666"/>
      <c r="C84" s="1653"/>
      <c r="D84" s="1843"/>
      <c r="E84" s="1539">
        <f t="shared" si="4"/>
        <v>0</v>
      </c>
      <c r="F84" s="1935">
        <f t="shared" si="6"/>
        <v>0</v>
      </c>
      <c r="G84" s="1792">
        <f t="shared" si="5"/>
        <v>0</v>
      </c>
    </row>
    <row r="85" spans="1:7" x14ac:dyDescent="0.25">
      <c r="A85" s="1652"/>
      <c r="B85" s="1666"/>
      <c r="C85" s="1653"/>
      <c r="D85" s="1843"/>
      <c r="E85" s="1539">
        <f t="shared" si="4"/>
        <v>0</v>
      </c>
      <c r="F85" s="1935">
        <f t="shared" si="6"/>
        <v>0</v>
      </c>
      <c r="G85" s="1792">
        <f t="shared" si="5"/>
        <v>0</v>
      </c>
    </row>
    <row r="86" spans="1:7" x14ac:dyDescent="0.25">
      <c r="A86" s="1652"/>
      <c r="B86" s="1666"/>
      <c r="C86" s="1653"/>
      <c r="D86" s="1843"/>
      <c r="E86" s="1539">
        <f t="shared" si="1"/>
        <v>0</v>
      </c>
      <c r="F86" s="1935">
        <f t="shared" si="6"/>
        <v>0</v>
      </c>
      <c r="G86" s="1792">
        <f t="shared" si="3"/>
        <v>0</v>
      </c>
    </row>
    <row r="87" spans="1:7" x14ac:dyDescent="0.25">
      <c r="A87" s="1652"/>
      <c r="B87" s="1666"/>
      <c r="C87" s="1653"/>
      <c r="D87" s="1843"/>
      <c r="E87" s="1539">
        <f t="shared" si="1"/>
        <v>0</v>
      </c>
      <c r="F87" s="1935">
        <f t="shared" si="6"/>
        <v>0</v>
      </c>
      <c r="G87" s="1792">
        <f t="shared" si="3"/>
        <v>0</v>
      </c>
    </row>
    <row r="88" spans="1:7" x14ac:dyDescent="0.25">
      <c r="A88" s="1652"/>
      <c r="B88" s="1666"/>
      <c r="C88" s="1653"/>
      <c r="D88" s="1843"/>
      <c r="E88" s="1539">
        <f t="shared" si="1"/>
        <v>0</v>
      </c>
      <c r="F88" s="1935">
        <f t="shared" si="6"/>
        <v>0</v>
      </c>
      <c r="G88" s="1792">
        <f t="shared" si="3"/>
        <v>0</v>
      </c>
    </row>
    <row r="89" spans="1:7" x14ac:dyDescent="0.25">
      <c r="A89" s="1652"/>
      <c r="B89" s="1666"/>
      <c r="C89" s="1653"/>
      <c r="D89" s="1843"/>
      <c r="E89" s="1539">
        <f t="shared" si="1"/>
        <v>0</v>
      </c>
      <c r="F89" s="1935">
        <f t="shared" si="6"/>
        <v>0</v>
      </c>
      <c r="G89" s="1792">
        <f t="shared" si="3"/>
        <v>0</v>
      </c>
    </row>
    <row r="90" spans="1:7" x14ac:dyDescent="0.25">
      <c r="A90" s="1652"/>
      <c r="B90" s="1666"/>
      <c r="C90" s="1653"/>
      <c r="D90" s="1843"/>
      <c r="E90" s="1539">
        <f t="shared" si="1"/>
        <v>0</v>
      </c>
      <c r="F90" s="1935">
        <f t="shared" si="6"/>
        <v>0</v>
      </c>
      <c r="G90" s="1792">
        <f t="shared" si="3"/>
        <v>0</v>
      </c>
    </row>
    <row r="91" spans="1:7" x14ac:dyDescent="0.25">
      <c r="A91" s="1652"/>
      <c r="B91" s="1666"/>
      <c r="C91" s="1653"/>
      <c r="D91" s="1843"/>
      <c r="E91" s="1539">
        <f t="shared" si="1"/>
        <v>0</v>
      </c>
      <c r="F91" s="1935">
        <f t="shared" si="6"/>
        <v>0</v>
      </c>
      <c r="G91" s="1792">
        <f t="shared" si="3"/>
        <v>0</v>
      </c>
    </row>
    <row r="92" spans="1:7" x14ac:dyDescent="0.25">
      <c r="A92" s="1652"/>
      <c r="B92" s="1666"/>
      <c r="C92" s="1653"/>
      <c r="D92" s="1843"/>
      <c r="E92" s="1539">
        <f t="shared" si="1"/>
        <v>0</v>
      </c>
      <c r="F92" s="1935">
        <f t="shared" si="6"/>
        <v>0</v>
      </c>
      <c r="G92" s="1792">
        <f t="shared" si="3"/>
        <v>0</v>
      </c>
    </row>
    <row r="93" spans="1:7" x14ac:dyDescent="0.25">
      <c r="A93" s="1652"/>
      <c r="B93" s="1666"/>
      <c r="C93" s="1653"/>
      <c r="D93" s="1843"/>
      <c r="E93" s="1539">
        <f t="shared" si="1"/>
        <v>0</v>
      </c>
      <c r="F93" s="1935">
        <f t="shared" si="6"/>
        <v>0</v>
      </c>
      <c r="G93" s="1792">
        <f t="shared" si="3"/>
        <v>0</v>
      </c>
    </row>
    <row r="94" spans="1:7" x14ac:dyDescent="0.25">
      <c r="A94" s="1652"/>
      <c r="B94" s="1666"/>
      <c r="C94" s="1653"/>
      <c r="D94" s="1843"/>
      <c r="E94" s="1539">
        <f t="shared" ref="E94" si="7">IF(D94&lt;=25000,D94,IF(D94&gt;25000,25000,0))</f>
        <v>0</v>
      </c>
      <c r="F94" s="1935">
        <f t="shared" si="6"/>
        <v>0</v>
      </c>
      <c r="G94" s="1792">
        <f t="shared" ref="G94" si="8">IF(F94=0,0,D94-F94)</f>
        <v>0</v>
      </c>
    </row>
    <row r="95" spans="1:7" x14ac:dyDescent="0.25">
      <c r="A95" s="1652"/>
      <c r="B95" s="1666"/>
      <c r="C95" s="1653"/>
      <c r="D95" s="1843"/>
      <c r="E95" s="1539">
        <f t="shared" si="1"/>
        <v>0</v>
      </c>
      <c r="F95" s="1935">
        <f t="shared" si="6"/>
        <v>0</v>
      </c>
      <c r="G95" s="1792">
        <f t="shared" si="3"/>
        <v>0</v>
      </c>
    </row>
    <row r="96" spans="1:7" x14ac:dyDescent="0.25">
      <c r="A96" s="1652"/>
      <c r="B96" s="1666"/>
      <c r="C96" s="1653"/>
      <c r="D96" s="1843"/>
      <c r="E96" s="1539">
        <f t="shared" ref="E96:E99" si="9">IF(D96&lt;=25000,D96,IF(D96&gt;25000,25000,0))</f>
        <v>0</v>
      </c>
      <c r="F96" s="1935">
        <f t="shared" si="6"/>
        <v>0</v>
      </c>
      <c r="G96" s="1792">
        <f t="shared" ref="G96:G99" si="10">IF(F96=0,0,D96-F96)</f>
        <v>0</v>
      </c>
    </row>
    <row r="97" spans="1:7" x14ac:dyDescent="0.25">
      <c r="A97" s="1652"/>
      <c r="B97" s="1666"/>
      <c r="C97" s="1653"/>
      <c r="D97" s="1843"/>
      <c r="E97" s="1539">
        <f t="shared" si="9"/>
        <v>0</v>
      </c>
      <c r="F97" s="1935">
        <f t="shared" si="6"/>
        <v>0</v>
      </c>
      <c r="G97" s="1792">
        <f t="shared" si="10"/>
        <v>0</v>
      </c>
    </row>
    <row r="98" spans="1:7" x14ac:dyDescent="0.25">
      <c r="A98" s="1652"/>
      <c r="B98" s="1666"/>
      <c r="C98" s="1653"/>
      <c r="D98" s="1843"/>
      <c r="E98" s="1539">
        <f t="shared" si="9"/>
        <v>0</v>
      </c>
      <c r="F98" s="1935">
        <f t="shared" si="6"/>
        <v>0</v>
      </c>
      <c r="G98" s="1792">
        <f t="shared" si="10"/>
        <v>0</v>
      </c>
    </row>
    <row r="99" spans="1:7" x14ac:dyDescent="0.25">
      <c r="A99" s="1652"/>
      <c r="B99" s="1666"/>
      <c r="C99" s="1653"/>
      <c r="D99" s="1843"/>
      <c r="E99" s="1539">
        <f t="shared" si="9"/>
        <v>0</v>
      </c>
      <c r="F99" s="1935">
        <f t="shared" si="6"/>
        <v>0</v>
      </c>
      <c r="G99" s="1792">
        <f t="shared" si="10"/>
        <v>0</v>
      </c>
    </row>
    <row r="100" spans="1:7" x14ac:dyDescent="0.25">
      <c r="A100" s="1652"/>
      <c r="B100" s="1666"/>
      <c r="C100" s="1653"/>
      <c r="D100" s="1843"/>
      <c r="E100" s="1539">
        <f t="shared" ref="E100" si="11">IF(D100&lt;=25000,D100,IF(D100&gt;25000,25000,0))</f>
        <v>0</v>
      </c>
      <c r="F100" s="1935">
        <f t="shared" si="6"/>
        <v>0</v>
      </c>
      <c r="G100" s="1792">
        <f t="shared" ref="G100" si="12">IF(F100=0,0,D100-F100)</f>
        <v>0</v>
      </c>
    </row>
    <row r="101" spans="1:7" x14ac:dyDescent="0.25">
      <c r="A101" s="1652"/>
      <c r="B101" s="1666"/>
      <c r="C101" s="1653"/>
      <c r="D101" s="1843"/>
      <c r="E101" s="1539">
        <f t="shared" ref="E101:E113" si="13">IF(D101&lt;=25000,D101,IF(D101&gt;25000,25000,0))</f>
        <v>0</v>
      </c>
      <c r="F101" s="1935">
        <f t="shared" si="6"/>
        <v>0</v>
      </c>
      <c r="G101" s="1792">
        <f t="shared" ref="G101:G113" si="14">IF(F101=0,0,D101-F101)</f>
        <v>0</v>
      </c>
    </row>
    <row r="102" spans="1:7" x14ac:dyDescent="0.25">
      <c r="A102" s="1652"/>
      <c r="B102" s="1666"/>
      <c r="C102" s="1653"/>
      <c r="D102" s="1843"/>
      <c r="E102" s="1539">
        <f t="shared" si="13"/>
        <v>0</v>
      </c>
      <c r="F102" s="1935">
        <f t="shared" si="6"/>
        <v>0</v>
      </c>
      <c r="G102" s="1792">
        <f t="shared" si="14"/>
        <v>0</v>
      </c>
    </row>
    <row r="103" spans="1:7" x14ac:dyDescent="0.25">
      <c r="A103" s="1652"/>
      <c r="B103" s="1666"/>
      <c r="C103" s="1653"/>
      <c r="D103" s="1843"/>
      <c r="E103" s="1539">
        <f t="shared" si="13"/>
        <v>0</v>
      </c>
      <c r="F103" s="1935">
        <f t="shared" si="6"/>
        <v>0</v>
      </c>
      <c r="G103" s="1792">
        <f t="shared" si="14"/>
        <v>0</v>
      </c>
    </row>
    <row r="104" spans="1:7" x14ac:dyDescent="0.25">
      <c r="A104" s="1652"/>
      <c r="B104" s="1666"/>
      <c r="C104" s="1653"/>
      <c r="D104" s="1843"/>
      <c r="E104" s="1539">
        <f t="shared" si="13"/>
        <v>0</v>
      </c>
      <c r="F104" s="1935">
        <f t="shared" si="6"/>
        <v>0</v>
      </c>
      <c r="G104" s="1792">
        <f t="shared" si="14"/>
        <v>0</v>
      </c>
    </row>
    <row r="105" spans="1:7" x14ac:dyDescent="0.25">
      <c r="A105" s="1652"/>
      <c r="B105" s="1666"/>
      <c r="C105" s="1653"/>
      <c r="D105" s="1843"/>
      <c r="E105" s="1539">
        <f t="shared" si="13"/>
        <v>0</v>
      </c>
      <c r="F105" s="1935">
        <f t="shared" si="6"/>
        <v>0</v>
      </c>
      <c r="G105" s="1792">
        <f t="shared" si="14"/>
        <v>0</v>
      </c>
    </row>
    <row r="106" spans="1:7" x14ac:dyDescent="0.25">
      <c r="A106" s="1652"/>
      <c r="B106" s="1666"/>
      <c r="C106" s="1653"/>
      <c r="D106" s="1843"/>
      <c r="E106" s="1539">
        <f t="shared" si="13"/>
        <v>0</v>
      </c>
      <c r="F106" s="1935">
        <f t="shared" si="6"/>
        <v>0</v>
      </c>
      <c r="G106" s="1792">
        <f t="shared" si="14"/>
        <v>0</v>
      </c>
    </row>
    <row r="107" spans="1:7" x14ac:dyDescent="0.25">
      <c r="A107" s="1652"/>
      <c r="B107" s="1666"/>
      <c r="C107" s="1653"/>
      <c r="D107" s="1843"/>
      <c r="E107" s="1539">
        <f t="shared" si="13"/>
        <v>0</v>
      </c>
      <c r="F107" s="1935">
        <f t="shared" si="6"/>
        <v>0</v>
      </c>
      <c r="G107" s="1792">
        <f t="shared" si="14"/>
        <v>0</v>
      </c>
    </row>
    <row r="108" spans="1:7" x14ac:dyDescent="0.25">
      <c r="A108" s="1652"/>
      <c r="B108" s="1666"/>
      <c r="C108" s="1653"/>
      <c r="D108" s="1843"/>
      <c r="E108" s="1539">
        <f t="shared" si="13"/>
        <v>0</v>
      </c>
      <c r="F108" s="1935">
        <f t="shared" si="6"/>
        <v>0</v>
      </c>
      <c r="G108" s="1792">
        <f t="shared" si="14"/>
        <v>0</v>
      </c>
    </row>
    <row r="109" spans="1:7" x14ac:dyDescent="0.25">
      <c r="A109" s="1652"/>
      <c r="B109" s="1666"/>
      <c r="C109" s="1653"/>
      <c r="D109" s="1843"/>
      <c r="E109" s="1539">
        <f t="shared" si="13"/>
        <v>0</v>
      </c>
      <c r="F109" s="1935">
        <f t="shared" si="6"/>
        <v>0</v>
      </c>
      <c r="G109" s="1792">
        <f t="shared" si="14"/>
        <v>0</v>
      </c>
    </row>
    <row r="110" spans="1:7" x14ac:dyDescent="0.25">
      <c r="A110" s="1652"/>
      <c r="B110" s="1666"/>
      <c r="C110" s="1653"/>
      <c r="D110" s="1843"/>
      <c r="E110" s="1539">
        <f t="shared" si="13"/>
        <v>0</v>
      </c>
      <c r="F110" s="1935">
        <f t="shared" si="6"/>
        <v>0</v>
      </c>
      <c r="G110" s="1792">
        <f t="shared" si="14"/>
        <v>0</v>
      </c>
    </row>
    <row r="111" spans="1:7" x14ac:dyDescent="0.25">
      <c r="A111" s="1652"/>
      <c r="B111" s="1666"/>
      <c r="C111" s="1653"/>
      <c r="D111" s="1843"/>
      <c r="E111" s="1539">
        <f t="shared" si="13"/>
        <v>0</v>
      </c>
      <c r="F111" s="1935">
        <f t="shared" si="6"/>
        <v>0</v>
      </c>
      <c r="G111" s="1792">
        <f t="shared" si="14"/>
        <v>0</v>
      </c>
    </row>
    <row r="112" spans="1:7" x14ac:dyDescent="0.25">
      <c r="A112" s="1652"/>
      <c r="B112" s="1666"/>
      <c r="C112" s="1653"/>
      <c r="D112" s="1843"/>
      <c r="E112" s="1539">
        <f t="shared" si="13"/>
        <v>0</v>
      </c>
      <c r="F112" s="1935">
        <f t="shared" si="6"/>
        <v>0</v>
      </c>
      <c r="G112" s="1792">
        <f t="shared" si="14"/>
        <v>0</v>
      </c>
    </row>
    <row r="113" spans="1:7" x14ac:dyDescent="0.25">
      <c r="A113" s="1652"/>
      <c r="B113" s="1666"/>
      <c r="C113" s="1653"/>
      <c r="D113" s="1843"/>
      <c r="E113" s="1539">
        <f t="shared" si="13"/>
        <v>0</v>
      </c>
      <c r="F113" s="1935">
        <f t="shared" si="6"/>
        <v>0</v>
      </c>
      <c r="G113" s="1792">
        <f t="shared" si="14"/>
        <v>0</v>
      </c>
    </row>
    <row r="114" spans="1:7" x14ac:dyDescent="0.25">
      <c r="A114" s="1652"/>
      <c r="B114" s="1666"/>
      <c r="C114" s="1653"/>
      <c r="D114" s="1843"/>
      <c r="E114" s="1539">
        <f t="shared" ref="E114:E126" si="15">IF(D114&lt;=25000,D114,IF(D114&gt;25000,25000,0))</f>
        <v>0</v>
      </c>
      <c r="F114" s="1935">
        <f t="shared" si="6"/>
        <v>0</v>
      </c>
      <c r="G114" s="1792">
        <f t="shared" ref="G114:G126" si="16">IF(F114=0,0,D114-F114)</f>
        <v>0</v>
      </c>
    </row>
    <row r="115" spans="1:7" x14ac:dyDescent="0.25">
      <c r="A115" s="1652"/>
      <c r="B115" s="1666"/>
      <c r="C115" s="1653"/>
      <c r="D115" s="1843"/>
      <c r="E115" s="1539">
        <f t="shared" si="15"/>
        <v>0</v>
      </c>
      <c r="F115" s="1935">
        <f t="shared" si="6"/>
        <v>0</v>
      </c>
      <c r="G115" s="1792">
        <f t="shared" si="16"/>
        <v>0</v>
      </c>
    </row>
    <row r="116" spans="1:7" x14ac:dyDescent="0.25">
      <c r="A116" s="1652"/>
      <c r="B116" s="1666"/>
      <c r="C116" s="1653"/>
      <c r="D116" s="1843"/>
      <c r="E116" s="1539">
        <f t="shared" si="15"/>
        <v>0</v>
      </c>
      <c r="F116" s="1935">
        <f t="shared" si="6"/>
        <v>0</v>
      </c>
      <c r="G116" s="1792">
        <f t="shared" si="16"/>
        <v>0</v>
      </c>
    </row>
    <row r="117" spans="1:7" x14ac:dyDescent="0.25">
      <c r="A117" s="1652"/>
      <c r="B117" s="1666"/>
      <c r="C117" s="1653"/>
      <c r="D117" s="1843"/>
      <c r="E117" s="1539">
        <f t="shared" si="15"/>
        <v>0</v>
      </c>
      <c r="F117" s="1935">
        <f t="shared" si="6"/>
        <v>0</v>
      </c>
      <c r="G117" s="1792">
        <f t="shared" si="16"/>
        <v>0</v>
      </c>
    </row>
    <row r="118" spans="1:7" x14ac:dyDescent="0.25">
      <c r="A118" s="1652"/>
      <c r="B118" s="1666"/>
      <c r="C118" s="1653"/>
      <c r="D118" s="1843"/>
      <c r="E118" s="1539">
        <f t="shared" si="15"/>
        <v>0</v>
      </c>
      <c r="F118" s="1935">
        <f t="shared" si="6"/>
        <v>0</v>
      </c>
      <c r="G118" s="1792">
        <f t="shared" si="16"/>
        <v>0</v>
      </c>
    </row>
    <row r="119" spans="1:7" x14ac:dyDescent="0.25">
      <c r="A119" s="1652"/>
      <c r="B119" s="1666"/>
      <c r="C119" s="1653"/>
      <c r="D119" s="1843"/>
      <c r="E119" s="1539">
        <f t="shared" si="15"/>
        <v>0</v>
      </c>
      <c r="F119" s="1935">
        <f t="shared" si="6"/>
        <v>0</v>
      </c>
      <c r="G119" s="1792">
        <f t="shared" si="16"/>
        <v>0</v>
      </c>
    </row>
    <row r="120" spans="1:7" x14ac:dyDescent="0.25">
      <c r="A120" s="1652"/>
      <c r="B120" s="1666"/>
      <c r="C120" s="1653"/>
      <c r="D120" s="1843"/>
      <c r="E120" s="1539">
        <f t="shared" si="15"/>
        <v>0</v>
      </c>
      <c r="F120" s="1935">
        <f t="shared" si="6"/>
        <v>0</v>
      </c>
      <c r="G120" s="1792">
        <f t="shared" si="16"/>
        <v>0</v>
      </c>
    </row>
    <row r="121" spans="1:7" x14ac:dyDescent="0.25">
      <c r="A121" s="1652"/>
      <c r="B121" s="1666"/>
      <c r="C121" s="1653"/>
      <c r="D121" s="1843"/>
      <c r="E121" s="1539">
        <f t="shared" si="15"/>
        <v>0</v>
      </c>
      <c r="F121" s="1935">
        <f t="shared" si="6"/>
        <v>0</v>
      </c>
      <c r="G121" s="1792">
        <f t="shared" si="16"/>
        <v>0</v>
      </c>
    </row>
    <row r="122" spans="1:7" x14ac:dyDescent="0.25">
      <c r="A122" s="1652"/>
      <c r="B122" s="1666"/>
      <c r="C122" s="1653"/>
      <c r="D122" s="1843"/>
      <c r="E122" s="1539">
        <f t="shared" si="15"/>
        <v>0</v>
      </c>
      <c r="F122" s="1935">
        <f t="shared" si="6"/>
        <v>0</v>
      </c>
      <c r="G122" s="1792">
        <f t="shared" si="16"/>
        <v>0</v>
      </c>
    </row>
    <row r="123" spans="1:7" x14ac:dyDescent="0.25">
      <c r="A123" s="1652"/>
      <c r="B123" s="1666"/>
      <c r="C123" s="1653"/>
      <c r="D123" s="1843"/>
      <c r="E123" s="1539">
        <f t="shared" si="15"/>
        <v>0</v>
      </c>
      <c r="F123" s="1935">
        <f t="shared" si="6"/>
        <v>0</v>
      </c>
      <c r="G123" s="1792">
        <f t="shared" si="16"/>
        <v>0</v>
      </c>
    </row>
    <row r="124" spans="1:7" x14ac:dyDescent="0.25">
      <c r="A124" s="1652"/>
      <c r="B124" s="1666"/>
      <c r="C124" s="1653"/>
      <c r="D124" s="1843"/>
      <c r="E124" s="1539">
        <f t="shared" si="15"/>
        <v>0</v>
      </c>
      <c r="F124" s="1935">
        <f t="shared" si="6"/>
        <v>0</v>
      </c>
      <c r="G124" s="1792">
        <f t="shared" si="16"/>
        <v>0</v>
      </c>
    </row>
    <row r="125" spans="1:7" x14ac:dyDescent="0.25">
      <c r="A125" s="1652"/>
      <c r="B125" s="1666"/>
      <c r="C125" s="1653"/>
      <c r="D125" s="1843"/>
      <c r="E125" s="1539">
        <f t="shared" si="15"/>
        <v>0</v>
      </c>
      <c r="F125" s="1935">
        <f t="shared" si="6"/>
        <v>0</v>
      </c>
      <c r="G125" s="1792">
        <f t="shared" si="16"/>
        <v>0</v>
      </c>
    </row>
    <row r="126" spans="1:7" x14ac:dyDescent="0.25">
      <c r="A126" s="1652"/>
      <c r="B126" s="1666"/>
      <c r="C126" s="1653"/>
      <c r="D126" s="1843"/>
      <c r="E126" s="1539">
        <f t="shared" si="15"/>
        <v>0</v>
      </c>
      <c r="F126" s="1935">
        <f t="shared" si="6"/>
        <v>0</v>
      </c>
      <c r="G126" s="1792">
        <f t="shared" si="16"/>
        <v>0</v>
      </c>
    </row>
    <row r="127" spans="1:7" x14ac:dyDescent="0.25">
      <c r="A127" s="1652"/>
      <c r="B127" s="1666"/>
      <c r="C127" s="1653"/>
      <c r="D127" s="1843"/>
      <c r="E127" s="1539">
        <f t="shared" ref="E127:E135" si="17">IF(D127&lt;=25000,D127,IF(D127&gt;25000,25000,0))</f>
        <v>0</v>
      </c>
      <c r="F127" s="1935">
        <f t="shared" si="6"/>
        <v>0</v>
      </c>
      <c r="G127" s="1792">
        <f t="shared" ref="G127:G135" si="18">IF(F127=0,0,D127-F127)</f>
        <v>0</v>
      </c>
    </row>
    <row r="128" spans="1:7" x14ac:dyDescent="0.25">
      <c r="A128" s="1652"/>
      <c r="B128" s="1666"/>
      <c r="C128" s="1653"/>
      <c r="D128" s="1843"/>
      <c r="E128" s="1539">
        <f t="shared" si="17"/>
        <v>0</v>
      </c>
      <c r="F128" s="1935">
        <f t="shared" si="6"/>
        <v>0</v>
      </c>
      <c r="G128" s="1792">
        <f t="shared" si="18"/>
        <v>0</v>
      </c>
    </row>
    <row r="129" spans="1:7" x14ac:dyDescent="0.25">
      <c r="A129" s="1652"/>
      <c r="B129" s="1666"/>
      <c r="C129" s="1653"/>
      <c r="D129" s="1843"/>
      <c r="E129" s="1539">
        <f t="shared" si="17"/>
        <v>0</v>
      </c>
      <c r="F129" s="1935">
        <f t="shared" si="6"/>
        <v>0</v>
      </c>
      <c r="G129" s="1792">
        <f t="shared" si="18"/>
        <v>0</v>
      </c>
    </row>
    <row r="130" spans="1:7" x14ac:dyDescent="0.25">
      <c r="A130" s="1652"/>
      <c r="B130" s="1666"/>
      <c r="C130" s="1653"/>
      <c r="D130" s="1843"/>
      <c r="E130" s="1539">
        <f t="shared" si="17"/>
        <v>0</v>
      </c>
      <c r="F130" s="1935">
        <f t="shared" si="6"/>
        <v>0</v>
      </c>
      <c r="G130" s="1792">
        <f t="shared" si="18"/>
        <v>0</v>
      </c>
    </row>
    <row r="131" spans="1:7" x14ac:dyDescent="0.25">
      <c r="A131" s="1652"/>
      <c r="B131" s="1666"/>
      <c r="C131" s="1653"/>
      <c r="D131" s="1843"/>
      <c r="E131" s="1539">
        <f t="shared" si="17"/>
        <v>0</v>
      </c>
      <c r="F131" s="1935">
        <f t="shared" si="6"/>
        <v>0</v>
      </c>
      <c r="G131" s="1792">
        <f t="shared" si="18"/>
        <v>0</v>
      </c>
    </row>
    <row r="132" spans="1:7" x14ac:dyDescent="0.25">
      <c r="A132" s="1652"/>
      <c r="B132" s="1836"/>
      <c r="C132" s="1653"/>
      <c r="D132" s="1843"/>
      <c r="E132" s="1539">
        <f t="shared" si="17"/>
        <v>0</v>
      </c>
      <c r="F132" s="1935">
        <f t="shared" si="6"/>
        <v>0</v>
      </c>
      <c r="G132" s="1792">
        <f t="shared" si="18"/>
        <v>0</v>
      </c>
    </row>
    <row r="133" spans="1:7" x14ac:dyDescent="0.25">
      <c r="A133" s="1652"/>
      <c r="B133" s="1836"/>
      <c r="C133" s="1653"/>
      <c r="D133" s="1843"/>
      <c r="E133" s="1539">
        <f t="shared" si="17"/>
        <v>0</v>
      </c>
      <c r="F133" s="1935">
        <f t="shared" si="6"/>
        <v>0</v>
      </c>
      <c r="G133" s="1792">
        <f t="shared" si="18"/>
        <v>0</v>
      </c>
    </row>
    <row r="134" spans="1:7" x14ac:dyDescent="0.25">
      <c r="A134" s="1652"/>
      <c r="B134" s="1666"/>
      <c r="C134" s="1653"/>
      <c r="D134" s="1843"/>
      <c r="E134" s="1539">
        <f t="shared" si="17"/>
        <v>0</v>
      </c>
      <c r="F134" s="1935">
        <f t="shared" si="6"/>
        <v>0</v>
      </c>
      <c r="G134" s="1792">
        <f t="shared" si="18"/>
        <v>0</v>
      </c>
    </row>
    <row r="135" spans="1:7" x14ac:dyDescent="0.25">
      <c r="A135" s="1652"/>
      <c r="B135" s="1666"/>
      <c r="C135" s="1653"/>
      <c r="D135" s="1843"/>
      <c r="E135" s="1539">
        <f t="shared" si="17"/>
        <v>0</v>
      </c>
      <c r="F135" s="1935">
        <f t="shared" si="6"/>
        <v>0</v>
      </c>
      <c r="G135" s="1792">
        <f t="shared" si="18"/>
        <v>0</v>
      </c>
    </row>
    <row r="136" spans="1:7" x14ac:dyDescent="0.25">
      <c r="A136" s="1652"/>
      <c r="B136" s="1666"/>
      <c r="C136" s="1653"/>
      <c r="D136" s="1843"/>
      <c r="E136" s="1539">
        <f t="shared" ref="E136:E140" si="19">IF(D136&lt;=25000,D136,IF(D136&gt;25000,25000,0))</f>
        <v>0</v>
      </c>
      <c r="F136" s="1935">
        <f t="shared" si="6"/>
        <v>0</v>
      </c>
      <c r="G136" s="1792">
        <f t="shared" ref="G136:G140" si="20">IF(F136=0,0,D136-F136)</f>
        <v>0</v>
      </c>
    </row>
    <row r="137" spans="1:7" x14ac:dyDescent="0.25">
      <c r="A137" s="1652"/>
      <c r="B137" s="1666"/>
      <c r="C137" s="1653"/>
      <c r="D137" s="1843"/>
      <c r="E137" s="1539">
        <f t="shared" si="19"/>
        <v>0</v>
      </c>
      <c r="F137" s="1935">
        <f t="shared" si="6"/>
        <v>0</v>
      </c>
      <c r="G137" s="1792">
        <f t="shared" si="20"/>
        <v>0</v>
      </c>
    </row>
    <row r="138" spans="1:7" x14ac:dyDescent="0.25">
      <c r="A138" s="1652"/>
      <c r="B138" s="1666"/>
      <c r="C138" s="1653"/>
      <c r="D138" s="1843"/>
      <c r="E138" s="1539">
        <f t="shared" si="19"/>
        <v>0</v>
      </c>
      <c r="F138" s="1935">
        <f t="shared" si="6"/>
        <v>0</v>
      </c>
      <c r="G138" s="1792">
        <f t="shared" si="20"/>
        <v>0</v>
      </c>
    </row>
    <row r="139" spans="1:7" x14ac:dyDescent="0.25">
      <c r="A139" s="1652"/>
      <c r="B139" s="1666"/>
      <c r="C139" s="1653"/>
      <c r="D139" s="1843"/>
      <c r="E139" s="1539">
        <f t="shared" si="19"/>
        <v>0</v>
      </c>
      <c r="F139" s="1935">
        <f t="shared" si="6"/>
        <v>0</v>
      </c>
      <c r="G139" s="1792">
        <f t="shared" si="20"/>
        <v>0</v>
      </c>
    </row>
    <row r="140" spans="1:7" x14ac:dyDescent="0.25">
      <c r="A140" s="1652"/>
      <c r="B140" s="1666"/>
      <c r="C140" s="1653"/>
      <c r="D140" s="1843"/>
      <c r="E140" s="1539">
        <f t="shared" si="19"/>
        <v>0</v>
      </c>
      <c r="F140" s="1935">
        <f t="shared" si="6"/>
        <v>0</v>
      </c>
      <c r="G140" s="1792">
        <f t="shared" si="20"/>
        <v>0</v>
      </c>
    </row>
    <row r="141" spans="1:7" x14ac:dyDescent="0.25">
      <c r="A141" s="1652"/>
      <c r="B141" s="1665"/>
      <c r="C141" s="1653"/>
      <c r="D141" s="1843"/>
      <c r="E141" s="1539">
        <f t="shared" si="1"/>
        <v>0</v>
      </c>
      <c r="F141" s="1935">
        <f t="shared" si="6"/>
        <v>0</v>
      </c>
      <c r="G141" s="1792">
        <f t="shared" si="3"/>
        <v>0</v>
      </c>
    </row>
    <row r="142" spans="1:7" x14ac:dyDescent="0.25">
      <c r="A142" s="1795" t="s">
        <v>156</v>
      </c>
      <c r="B142" s="1796"/>
      <c r="C142" s="1797"/>
      <c r="D142" s="1793">
        <f>SUM(D18:D141)</f>
        <v>856509</v>
      </c>
      <c r="E142" s="1540">
        <f t="shared" si="0"/>
        <v>25000</v>
      </c>
      <c r="F142" s="1931">
        <f>SUM(F18:F141)</f>
        <v>250000</v>
      </c>
      <c r="G142" s="1794">
        <f>SUM(G18:G141)</f>
        <v>606509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10" colorId="8" zoomScale="110" zoomScaleNormal="110" workbookViewId="0">
      <selection activeCell="C12" sqref="C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3" t="s">
        <v>1679</v>
      </c>
      <c r="B5" s="2284"/>
      <c r="C5" s="2284"/>
      <c r="D5" s="2284"/>
      <c r="E5" s="2284"/>
      <c r="F5" s="2284"/>
      <c r="G5" s="2285"/>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c r="F10" s="973"/>
      <c r="G10" s="974"/>
      <c r="H10" s="161"/>
      <c r="I10" s="161"/>
    </row>
    <row r="11" spans="1:9" s="667" customFormat="1" ht="22.5" customHeight="1" x14ac:dyDescent="0.2">
      <c r="A11" s="2288" t="s">
        <v>1975</v>
      </c>
      <c r="B11" s="2289"/>
      <c r="C11" s="2289"/>
      <c r="D11" s="2290"/>
      <c r="E11" s="976"/>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5102794</v>
      </c>
      <c r="F19" s="1798"/>
      <c r="G19" s="1800">
        <f>'Expenditures 15-22'!K33-SUM('Expenditures 15-22'!G33,'Expenditures 15-22'!I33)+'Expenditures 15-22'!D229</f>
        <v>5102794</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602459</v>
      </c>
      <c r="F21" s="1801"/>
      <c r="G21" s="1804">
        <f>'Expenditures 15-22'!K42-SUM('Expenditures 15-22'!G42,'Expenditures 15-22'!I42)+'Expenditures 15-22'!K120-SUM('Expenditures 15-22'!G120,'Expenditures 15-22'!I120)+'Expenditures 15-22'!K180-SUM('Expenditures 15-22'!G180,'Expenditures 15-22'!I180)+'Expenditures 15-22'!D238</f>
        <v>602459</v>
      </c>
      <c r="H21" s="986"/>
      <c r="I21" s="161"/>
    </row>
    <row r="22" spans="1:9" s="667" customFormat="1" ht="12" customHeight="1" x14ac:dyDescent="0.2">
      <c r="A22" s="993" t="s">
        <v>564</v>
      </c>
      <c r="B22" s="994"/>
      <c r="C22" s="992">
        <v>2200</v>
      </c>
      <c r="D22" s="1801"/>
      <c r="E22" s="1803">
        <f>'Expenditures 15-22'!K47-SUM('Expenditures 15-22'!G47,'Expenditures 15-22'!I47)+'Expenditures 15-22'!D243</f>
        <v>157543</v>
      </c>
      <c r="F22" s="1801"/>
      <c r="G22" s="1804">
        <f>'Expenditures 15-22'!K47-SUM('Expenditures 15-22'!G47,'Expenditures 15-22'!I47)+'Expenditures 15-22'!D243</f>
        <v>157543</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636751</v>
      </c>
      <c r="F23" s="1801"/>
      <c r="G23" s="1803">
        <f>'Expenditures 15-22'!K53-SUM('Expenditures 15-22'!G53,'Expenditures 15-22'!I53)+'Expenditures 15-22'!D257+'Expenditures 15-22'!K330-SUM('Expenditures 15-22'!G330,'Expenditures 15-22'!I330)</f>
        <v>636751</v>
      </c>
      <c r="H23" s="986"/>
      <c r="I23" s="161"/>
    </row>
    <row r="24" spans="1:9" s="667" customFormat="1" ht="12" customHeight="1" x14ac:dyDescent="0.2">
      <c r="A24" s="993" t="s">
        <v>566</v>
      </c>
      <c r="B24" s="994"/>
      <c r="C24" s="992">
        <v>2400</v>
      </c>
      <c r="D24" s="1801"/>
      <c r="E24" s="1803">
        <f>'Expenditures 15-22'!K57-SUM('Expenditures 15-22'!G57,'Expenditures 15-22'!I57)+'Expenditures 15-22'!D261</f>
        <v>593176</v>
      </c>
      <c r="F24" s="1801"/>
      <c r="G24" s="1804">
        <f>'Expenditures 15-22'!K57-SUM('Expenditures 15-22'!G57,'Expenditures 15-22'!I57)+'Expenditures 15-22'!D261</f>
        <v>593176</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126667</v>
      </c>
      <c r="E26" s="1803">
        <f>'Expenditures 15-22'!K122-SUM('Expenditures 15-22'!G122,'Expenditures 15-22'!I122)+E7</f>
        <v>0</v>
      </c>
      <c r="F26" s="1803">
        <f>'Expenditures 15-22'!K59-SUM('Expenditures 15-22'!G59,'Expenditures 15-22'!I59)+'Expenditures 15-22'!D263-E7</f>
        <v>126667</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109669</v>
      </c>
      <c r="E27" s="1803">
        <f>E8</f>
        <v>0</v>
      </c>
      <c r="F27" s="1803">
        <f>'Expenditures 15-22'!K60-SUM('Expenditures 15-22'!G60,'Expenditures 15-22'!I60)+'Expenditures 15-22'!D264-E8</f>
        <v>109669</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766858</v>
      </c>
      <c r="F28" s="1805">
        <f>'Expenditures 15-22'!K61-SUM('Expenditures 15-22'!G61,'Expenditures 15-22'!I61)+'Expenditures 15-22'!K124-SUM('Expenditures 15-22'!G124,'Expenditures 15-22'!I124)+'Expenditures 15-22'!D266-E9</f>
        <v>766858</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284119</v>
      </c>
      <c r="F29" s="1801"/>
      <c r="G29" s="1804">
        <f>'Expenditures 15-22'!K62-SUM('Expenditures 15-22'!G62,'Expenditures 15-22'!I62)+'Expenditures 15-22'!K125-SUM('Expenditures 15-22'!G125,'Expenditures 15-22'!I125)+'Expenditures 15-22'!K182-SUM('Expenditures 15-22'!G182,'Expenditures 15-22'!I182)+'Expenditures 15-22'!D267</f>
        <v>284119</v>
      </c>
      <c r="H29" s="984"/>
    </row>
    <row r="30" spans="1:9" ht="12" customHeight="1" x14ac:dyDescent="0.2">
      <c r="A30" s="993" t="s">
        <v>100</v>
      </c>
      <c r="B30" s="996"/>
      <c r="C30" s="992">
        <v>2560</v>
      </c>
      <c r="D30" s="1801"/>
      <c r="E30" s="1803">
        <f>'Expenditures 15-22'!K63-SUM('Expenditures 15-22'!G63,'Expenditures 15-22'!I63)+'Expenditures 15-22'!D268-E10</f>
        <v>27333</v>
      </c>
      <c r="F30" s="1801"/>
      <c r="G30" s="1803">
        <f>'Expenditures 15-22'!K63-SUM('Expenditures 15-22'!G63,'Expenditures 15-22'!I63)+'Expenditures 15-22'!D268-E10</f>
        <v>27333</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324571</v>
      </c>
      <c r="E37" s="1803">
        <f>E14</f>
        <v>0</v>
      </c>
      <c r="F37" s="1803">
        <f>'Expenditures 15-22'!K71-SUM('Expenditures 15-22'!G71,'Expenditures 15-22'!I71)+'Expenditures 15-22'!D276-E14</f>
        <v>324571</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7027</v>
      </c>
      <c r="F39" s="1801"/>
      <c r="G39" s="1803">
        <f>'Expenditures 15-22'!K75-SUM('Expenditures 15-22'!G75,'Expenditures 15-22'!I75)+'Expenditures 15-22'!K130-SUM('Expenditures 15-22'!G130,'Expenditures 15-22'!I130)+'Expenditures 15-22'!K185-SUM('Expenditures 15-22'!G185,'Expenditures 15-22'!I185)+'Expenditures 15-22'!D280</f>
        <v>7027</v>
      </c>
    </row>
    <row r="40" spans="1:7" ht="12" customHeight="1" x14ac:dyDescent="0.2">
      <c r="A40" s="989" t="s">
        <v>1823</v>
      </c>
      <c r="B40" s="990"/>
      <c r="C40" s="992"/>
      <c r="D40" s="1801"/>
      <c r="E40" s="1805">
        <f>-'Contracts Paid in CY 29'!G142</f>
        <v>-606509</v>
      </c>
      <c r="F40" s="1801"/>
      <c r="G40" s="1805">
        <f>-'Contracts Paid in CY 29'!G142</f>
        <v>-606509</v>
      </c>
    </row>
    <row r="41" spans="1:7" ht="12" customHeight="1" x14ac:dyDescent="0.2">
      <c r="A41" s="997" t="s">
        <v>156</v>
      </c>
      <c r="B41" s="998"/>
      <c r="C41" s="999"/>
      <c r="D41" s="1805">
        <f>SUM(D19:D39)</f>
        <v>560907</v>
      </c>
      <c r="E41" s="1805">
        <f>SUM(E19:E40)</f>
        <v>7571551</v>
      </c>
      <c r="F41" s="1805">
        <f>SUM(F19:F39)</f>
        <v>1327765</v>
      </c>
      <c r="G41" s="1805">
        <f>SUM(G19:G40)</f>
        <v>6804693</v>
      </c>
    </row>
    <row r="42" spans="1:7" x14ac:dyDescent="0.2">
      <c r="A42" s="986"/>
      <c r="B42" s="161"/>
      <c r="C42" s="1000"/>
      <c r="D42" s="2286" t="s">
        <v>522</v>
      </c>
      <c r="E42" s="2287"/>
      <c r="F42" s="1001" t="s">
        <v>523</v>
      </c>
      <c r="G42" s="1002"/>
    </row>
    <row r="43" spans="1:7" ht="12" customHeight="1" x14ac:dyDescent="0.2">
      <c r="A43" s="986"/>
      <c r="B43" s="161"/>
      <c r="C43" s="1000"/>
      <c r="D43" s="1806" t="s">
        <v>473</v>
      </c>
      <c r="E43" s="1807">
        <f>D41</f>
        <v>560907</v>
      </c>
      <c r="F43" s="1806" t="s">
        <v>473</v>
      </c>
      <c r="G43" s="1807">
        <f>F41</f>
        <v>1327765</v>
      </c>
    </row>
    <row r="44" spans="1:7" ht="12" customHeight="1" x14ac:dyDescent="0.2">
      <c r="A44" s="986"/>
      <c r="B44" s="161"/>
      <c r="C44" s="1000"/>
      <c r="D44" s="1806" t="s">
        <v>474</v>
      </c>
      <c r="E44" s="1807">
        <f>E41</f>
        <v>7571551</v>
      </c>
      <c r="F44" s="1806" t="s">
        <v>474</v>
      </c>
      <c r="G44" s="1807">
        <f>G41</f>
        <v>6804693</v>
      </c>
    </row>
    <row r="45" spans="1:7" ht="12" customHeight="1" x14ac:dyDescent="0.2">
      <c r="A45" s="986"/>
      <c r="B45" s="161"/>
      <c r="C45" s="161"/>
      <c r="D45" s="1808" t="s">
        <v>1006</v>
      </c>
      <c r="E45" s="1809">
        <f>(E43/E44)</f>
        <v>7.4080858730265431E-2</v>
      </c>
      <c r="F45" s="1808" t="s">
        <v>1006</v>
      </c>
      <c r="G45" s="1809">
        <f>(G43/G44)</f>
        <v>0.19512489395186527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5" activePane="bottomLeft" state="frozen"/>
      <selection activeCell="C12" sqref="C12"/>
      <selection pane="bottomLeft" activeCell="H25" sqref="H25"/>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5" t="s">
        <v>1379</v>
      </c>
      <c r="B1" s="2305"/>
      <c r="C1" s="2305"/>
      <c r="D1" s="2305"/>
      <c r="E1" s="2305"/>
      <c r="F1" s="2305"/>
    </row>
    <row r="2" spans="1:10" x14ac:dyDescent="0.2">
      <c r="A2" s="1886" t="s">
        <v>1911</v>
      </c>
      <c r="B2" s="1847"/>
      <c r="C2" s="1886"/>
      <c r="D2" s="1847"/>
      <c r="E2" s="1847"/>
      <c r="F2" s="1848"/>
    </row>
    <row r="3" spans="1:10" x14ac:dyDescent="0.2">
      <c r="A3" s="1886" t="s">
        <v>1976</v>
      </c>
      <c r="B3" s="1847"/>
      <c r="C3" s="1886"/>
      <c r="D3" s="1847"/>
      <c r="E3" s="1847"/>
      <c r="F3" s="1848"/>
    </row>
    <row r="4" spans="1:10" ht="3.75" customHeight="1" x14ac:dyDescent="0.2">
      <c r="A4" s="1847"/>
      <c r="B4" s="1847"/>
      <c r="C4" s="1847"/>
      <c r="D4" s="1847"/>
      <c r="E4" s="1847"/>
      <c r="F4" s="1848"/>
    </row>
    <row r="5" spans="1:10" ht="15" x14ac:dyDescent="0.25">
      <c r="A5" s="2306" t="s">
        <v>1546</v>
      </c>
      <c r="B5" s="2307"/>
      <c r="C5" s="2308"/>
      <c r="D5" s="2308"/>
      <c r="E5" s="2308"/>
      <c r="F5" s="2308"/>
    </row>
    <row r="6" spans="1:10" ht="12" customHeight="1" x14ac:dyDescent="0.25">
      <c r="A6" s="1849"/>
      <c r="B6" s="1850"/>
      <c r="C6" s="2309" t="str">
        <f>COVER!A17</f>
        <v>Palos Heights SD 128</v>
      </c>
      <c r="D6" s="2309"/>
      <c r="E6" s="2309"/>
      <c r="F6" s="1851"/>
    </row>
    <row r="7" spans="1:10" ht="11.25" customHeight="1" thickBot="1" x14ac:dyDescent="0.3">
      <c r="A7" s="1849"/>
      <c r="B7" s="1850"/>
      <c r="C7" s="2310">
        <f>COVER!A13</f>
        <v>7016128002</v>
      </c>
      <c r="D7" s="2310"/>
      <c r="E7" s="2310"/>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2074</v>
      </c>
      <c r="D19" s="1864" t="s">
        <v>2074</v>
      </c>
      <c r="E19" s="1867" t="s">
        <v>2074</v>
      </c>
      <c r="F19" s="1866" t="s">
        <v>2092</v>
      </c>
      <c r="H19" s="1877">
        <f t="shared" si="0"/>
        <v>5</v>
      </c>
      <c r="I19" s="1877">
        <f t="shared" si="1"/>
        <v>5</v>
      </c>
      <c r="J19" s="1877">
        <f t="shared" si="2"/>
        <v>5</v>
      </c>
    </row>
    <row r="20" spans="1:12" ht="12" customHeight="1" x14ac:dyDescent="0.2">
      <c r="A20" s="1862" t="s">
        <v>1528</v>
      </c>
      <c r="B20" s="1863"/>
      <c r="C20" s="1864" t="s">
        <v>2074</v>
      </c>
      <c r="D20" s="1864" t="s">
        <v>2074</v>
      </c>
      <c r="E20" s="1867" t="s">
        <v>2074</v>
      </c>
      <c r="F20" s="1866" t="s">
        <v>2093</v>
      </c>
      <c r="H20" s="1877">
        <f t="shared" si="0"/>
        <v>5</v>
      </c>
      <c r="I20" s="1877">
        <f t="shared" si="1"/>
        <v>5</v>
      </c>
      <c r="J20" s="1877">
        <f t="shared" si="2"/>
        <v>5</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c r="D26" s="1864"/>
      <c r="E26" s="1867"/>
      <c r="F26" s="1866"/>
      <c r="H26" s="1877">
        <f t="shared" si="0"/>
        <v>0</v>
      </c>
      <c r="I26" s="1877">
        <f t="shared" si="1"/>
        <v>0</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10</v>
      </c>
      <c r="K34" s="1877">
        <f>SUM(H34:J34)</f>
        <v>30</v>
      </c>
    </row>
    <row r="35" spans="1:11" ht="12" customHeight="1" x14ac:dyDescent="0.2">
      <c r="A35" s="1870" t="s">
        <v>1392</v>
      </c>
      <c r="B35" s="1871"/>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2"/>
      <c r="B39" s="1872"/>
      <c r="C39" s="1872"/>
      <c r="D39" s="1872"/>
      <c r="E39" s="1872"/>
      <c r="F39" s="1872"/>
    </row>
    <row r="40" spans="1:11" s="1869" customFormat="1" ht="12" customHeight="1" x14ac:dyDescent="0.25">
      <c r="A40" s="1873" t="s">
        <v>1391</v>
      </c>
      <c r="B40" s="1874"/>
      <c r="C40" s="2300"/>
      <c r="D40" s="2300"/>
      <c r="E40" s="2300"/>
      <c r="F40" s="2301"/>
      <c r="H40" s="1878"/>
      <c r="I40" s="1878"/>
      <c r="J40" s="1878"/>
      <c r="K40" s="1878"/>
    </row>
    <row r="41" spans="1:11" s="1869" customFormat="1" ht="12" customHeight="1" x14ac:dyDescent="0.25">
      <c r="A41" s="2302"/>
      <c r="B41" s="2303"/>
      <c r="C41" s="2303"/>
      <c r="D41" s="2303"/>
      <c r="E41" s="2303"/>
      <c r="F41" s="2304"/>
      <c r="H41" s="1878"/>
      <c r="I41" s="1878"/>
      <c r="J41" s="1878"/>
      <c r="K41" s="1878"/>
    </row>
    <row r="42" spans="1:11" s="1869" customFormat="1" ht="12" customHeight="1" x14ac:dyDescent="0.25">
      <c r="A42" s="2302"/>
      <c r="B42" s="2303"/>
      <c r="C42" s="2303"/>
      <c r="D42" s="2303"/>
      <c r="E42" s="2303"/>
      <c r="F42" s="2304"/>
      <c r="H42" s="1878"/>
      <c r="I42" s="1878"/>
      <c r="J42" s="1878"/>
      <c r="K42" s="1878"/>
    </row>
    <row r="43" spans="1:11" s="1869" customFormat="1" ht="15" x14ac:dyDescent="0.25">
      <c r="A43" s="2291"/>
      <c r="B43" s="2292"/>
      <c r="C43" s="2292"/>
      <c r="D43" s="2292"/>
      <c r="E43" s="2292"/>
      <c r="F43" s="2293"/>
      <c r="H43" s="1878"/>
      <c r="I43" s="1878"/>
      <c r="J43" s="1878"/>
      <c r="K43" s="1878"/>
    </row>
    <row r="44" spans="1:11" s="1869" customFormat="1" ht="12" hidden="1" customHeight="1" x14ac:dyDescent="0.25">
      <c r="A44" s="2291"/>
      <c r="B44" s="2292"/>
      <c r="C44" s="2292"/>
      <c r="D44" s="2292"/>
      <c r="E44" s="2292"/>
      <c r="F44" s="229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8" t="str">
        <f>COVER!A17</f>
        <v>Palos Heights SD 128</v>
      </c>
      <c r="J6" s="2319"/>
      <c r="Q6" s="1663"/>
    </row>
    <row r="7" spans="1:17" x14ac:dyDescent="0.2">
      <c r="A7" s="2320" t="s">
        <v>869</v>
      </c>
      <c r="B7" s="2321"/>
      <c r="C7" s="2321"/>
      <c r="D7" s="2321"/>
      <c r="E7" s="2322"/>
      <c r="F7" s="1016"/>
      <c r="G7" s="1008"/>
      <c r="H7" s="1015" t="s">
        <v>372</v>
      </c>
      <c r="I7" s="2323">
        <f>COVER!A13</f>
        <v>7016128002</v>
      </c>
      <c r="J7" s="2323"/>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1977</v>
      </c>
      <c r="F9" s="1022"/>
      <c r="G9" s="1022"/>
      <c r="H9" s="1895" t="s">
        <v>1978</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4" t="s">
        <v>481</v>
      </c>
      <c r="B11" s="2325"/>
      <c r="C11" s="2326"/>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302923</v>
      </c>
      <c r="F12" s="1038"/>
      <c r="G12" s="1810">
        <f t="shared" ref="G12:G18" si="0">SUM(E12:F12)</f>
        <v>302923</v>
      </c>
      <c r="H12" s="1039">
        <v>300392</v>
      </c>
      <c r="I12" s="1038"/>
      <c r="J12" s="1810">
        <f t="shared" ref="J12:J18" si="1">SUM(H12:I12)</f>
        <v>300392</v>
      </c>
    </row>
    <row r="13" spans="1:17" ht="15" customHeight="1" x14ac:dyDescent="0.2">
      <c r="A13" s="1034">
        <v>2</v>
      </c>
      <c r="B13" s="1035" t="s">
        <v>42</v>
      </c>
      <c r="C13" s="1036"/>
      <c r="D13" s="1037">
        <v>2330</v>
      </c>
      <c r="E13" s="1810">
        <f>'Expenditures 15-22'!K51</f>
        <v>161623</v>
      </c>
      <c r="F13" s="1038"/>
      <c r="G13" s="1810">
        <f t="shared" si="0"/>
        <v>161623</v>
      </c>
      <c r="H13" s="1039">
        <v>165330</v>
      </c>
      <c r="I13" s="1038"/>
      <c r="J13" s="1810">
        <f t="shared" si="1"/>
        <v>165330</v>
      </c>
    </row>
    <row r="14" spans="1:17" ht="15" customHeight="1" x14ac:dyDescent="0.2">
      <c r="A14" s="1034">
        <v>3</v>
      </c>
      <c r="B14" s="1035" t="s">
        <v>43</v>
      </c>
      <c r="C14" s="1036"/>
      <c r="D14" s="1040">
        <v>2490</v>
      </c>
      <c r="E14" s="1810">
        <f>'Expenditures 15-22'!K56</f>
        <v>0</v>
      </c>
      <c r="F14" s="1038"/>
      <c r="G14" s="1810">
        <f t="shared" si="0"/>
        <v>0</v>
      </c>
      <c r="H14" s="1039">
        <v>0</v>
      </c>
      <c r="I14" s="1038"/>
      <c r="J14" s="1810">
        <f t="shared" si="1"/>
        <v>0</v>
      </c>
    </row>
    <row r="15" spans="1:17" ht="15" customHeight="1" x14ac:dyDescent="0.2">
      <c r="A15" s="1034">
        <v>4</v>
      </c>
      <c r="B15" s="1035" t="s">
        <v>1068</v>
      </c>
      <c r="C15" s="1036"/>
      <c r="D15" s="1037">
        <v>2510</v>
      </c>
      <c r="E15" s="1810">
        <f>'Expenditures 15-22'!K59</f>
        <v>110142</v>
      </c>
      <c r="F15" s="1810">
        <f>'Expenditures 15-22'!K122</f>
        <v>0</v>
      </c>
      <c r="G15" s="1810">
        <f t="shared" si="0"/>
        <v>110142</v>
      </c>
      <c r="H15" s="1039">
        <v>114626</v>
      </c>
      <c r="I15" s="1039">
        <v>0</v>
      </c>
      <c r="J15" s="1810">
        <f t="shared" si="1"/>
        <v>114626</v>
      </c>
    </row>
    <row r="16" spans="1:17" ht="15" customHeight="1" x14ac:dyDescent="0.2">
      <c r="A16" s="1034">
        <v>5</v>
      </c>
      <c r="B16" s="1035" t="s">
        <v>101</v>
      </c>
      <c r="C16" s="1036"/>
      <c r="D16" s="1037">
        <v>2570</v>
      </c>
      <c r="E16" s="1810">
        <f>'Expenditures 15-22'!K64</f>
        <v>0</v>
      </c>
      <c r="F16" s="1038"/>
      <c r="G16" s="1810">
        <f t="shared" si="0"/>
        <v>0</v>
      </c>
      <c r="H16" s="1039">
        <v>0</v>
      </c>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v>0</v>
      </c>
      <c r="I17" s="1038"/>
      <c r="J17" s="1810">
        <f t="shared" si="1"/>
        <v>0</v>
      </c>
    </row>
    <row r="18" spans="1:10" ht="22.5" customHeight="1" x14ac:dyDescent="0.2">
      <c r="A18" s="1041">
        <v>7</v>
      </c>
      <c r="B18" s="2327" t="s">
        <v>7</v>
      </c>
      <c r="C18" s="2328"/>
      <c r="D18" s="2329"/>
      <c r="E18" s="1042"/>
      <c r="F18" s="1042"/>
      <c r="G18" s="1811">
        <f t="shared" si="0"/>
        <v>0</v>
      </c>
      <c r="H18" s="1039">
        <v>0</v>
      </c>
      <c r="I18" s="1039">
        <v>0</v>
      </c>
      <c r="J18" s="1810">
        <f t="shared" si="1"/>
        <v>0</v>
      </c>
    </row>
    <row r="19" spans="1:10" ht="12.75" customHeight="1" thickBot="1" x14ac:dyDescent="0.25">
      <c r="A19" s="1034">
        <v>8</v>
      </c>
      <c r="B19" s="1043" t="s">
        <v>1161</v>
      </c>
      <c r="D19" s="1044"/>
      <c r="E19" s="1812">
        <f t="shared" ref="E19:J19" si="2">SUM(E12:E17)-E18</f>
        <v>574688</v>
      </c>
      <c r="F19" s="1812">
        <f t="shared" si="2"/>
        <v>0</v>
      </c>
      <c r="G19" s="1812">
        <f t="shared" si="2"/>
        <v>574688</v>
      </c>
      <c r="H19" s="1812">
        <f t="shared" si="2"/>
        <v>580348</v>
      </c>
      <c r="I19" s="1812">
        <f t="shared" si="2"/>
        <v>0</v>
      </c>
      <c r="J19" s="1812">
        <f t="shared" si="2"/>
        <v>580348</v>
      </c>
    </row>
    <row r="20" spans="1:10" ht="13.5" thickTop="1" x14ac:dyDescent="0.2">
      <c r="A20" s="1034">
        <v>9</v>
      </c>
      <c r="B20" s="2330" t="s">
        <v>1979</v>
      </c>
      <c r="C20" s="2330"/>
      <c r="D20" s="2331"/>
      <c r="E20" s="1045"/>
      <c r="F20" s="1045"/>
      <c r="G20" s="1045"/>
      <c r="H20" s="1045"/>
      <c r="I20" s="1045"/>
      <c r="J20" s="1813">
        <f>IF(AND(G19&gt;0,J19&gt;0),(((J19-G19)/G19)),"Enter Budget Data")</f>
        <v>9.8488223175009753E-3</v>
      </c>
    </row>
    <row r="21" spans="1:10" ht="9" customHeight="1" x14ac:dyDescent="0.2">
      <c r="B21" s="1046"/>
    </row>
    <row r="22" spans="1:10" x14ac:dyDescent="0.2">
      <c r="A22" s="1047" t="s">
        <v>133</v>
      </c>
      <c r="B22" s="1046"/>
    </row>
    <row r="23" spans="1:10" x14ac:dyDescent="0.2">
      <c r="A23" s="1010" t="s">
        <v>1980</v>
      </c>
      <c r="B23" s="1046"/>
    </row>
    <row r="24" spans="1:10" x14ac:dyDescent="0.2">
      <c r="A24" s="1010" t="s">
        <v>1993</v>
      </c>
      <c r="B24" s="1046"/>
    </row>
    <row r="25" spans="1:10" x14ac:dyDescent="0.2">
      <c r="A25" s="1048"/>
      <c r="B25" s="1046"/>
    </row>
    <row r="26" spans="1:10" ht="20.100000000000001" customHeight="1" x14ac:dyDescent="0.2">
      <c r="B26" s="1046"/>
      <c r="C26" s="2336"/>
      <c r="D26" s="2336"/>
      <c r="E26" s="1049"/>
      <c r="F26" s="2335"/>
      <c r="G26" s="2335"/>
    </row>
    <row r="27" spans="1:10" x14ac:dyDescent="0.2">
      <c r="B27" s="1046"/>
      <c r="C27" s="1050" t="s">
        <v>1033</v>
      </c>
      <c r="D27" s="1051"/>
      <c r="E27" s="1052"/>
      <c r="F27" s="2332" t="s">
        <v>1509</v>
      </c>
      <c r="G27" s="2332"/>
    </row>
    <row r="28" spans="1:10" ht="28.5" customHeight="1" x14ac:dyDescent="0.2">
      <c r="B28" s="1046"/>
      <c r="C28" s="2334"/>
      <c r="D28" s="2334"/>
      <c r="E28" s="1053"/>
      <c r="F28" s="2334"/>
      <c r="G28" s="2334"/>
    </row>
    <row r="29" spans="1:10" x14ac:dyDescent="0.2">
      <c r="B29" s="1046"/>
      <c r="C29" s="1054" t="s">
        <v>1561</v>
      </c>
      <c r="E29" s="1055"/>
      <c r="F29" s="2333" t="s">
        <v>1510</v>
      </c>
      <c r="G29" s="2333"/>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1"/>
    </row>
    <row r="36" spans="1:10" ht="13.5" customHeight="1" x14ac:dyDescent="0.2">
      <c r="B36" s="1060"/>
      <c r="C36" s="2317" t="s">
        <v>1981</v>
      </c>
      <c r="D36" s="2316"/>
      <c r="E36" s="2316"/>
      <c r="F36" s="2316"/>
      <c r="G36" s="2316"/>
      <c r="H36" s="2316"/>
      <c r="I36" s="2316"/>
      <c r="J36" s="1062"/>
    </row>
    <row r="37" spans="1:10" ht="22.5" customHeight="1" x14ac:dyDescent="0.2">
      <c r="C37" s="2316"/>
      <c r="D37" s="2316"/>
      <c r="E37" s="2316"/>
      <c r="F37" s="2316"/>
      <c r="G37" s="2316"/>
      <c r="H37" s="2316"/>
      <c r="I37" s="2316"/>
      <c r="J37" s="1062"/>
    </row>
    <row r="38" spans="1:10" ht="7.5" customHeight="1" x14ac:dyDescent="0.2">
      <c r="C38" s="1061"/>
      <c r="D38" s="1063"/>
      <c r="E38" s="1064"/>
      <c r="F38" s="1065"/>
      <c r="G38" s="1064"/>
    </row>
    <row r="39" spans="1:10" ht="13.5" customHeight="1" x14ac:dyDescent="0.2">
      <c r="B39" s="1060"/>
      <c r="C39" s="2313" t="s">
        <v>882</v>
      </c>
      <c r="D39" s="2314"/>
      <c r="E39" s="2314"/>
      <c r="F39" s="2314"/>
      <c r="G39" s="2314"/>
      <c r="H39" s="2314"/>
      <c r="I39" s="2314"/>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A6" sqref="A6:E6"/>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2094</v>
      </c>
    </row>
    <row r="6" spans="1:2" x14ac:dyDescent="0.2">
      <c r="A6" s="1067">
        <v>2</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Palos Heights SD 128</v>
      </c>
    </row>
    <row r="65" spans="2:2" x14ac:dyDescent="0.2">
      <c r="B65" s="1069">
        <f>COVER!A13</f>
        <v>7016128002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64" zoomScale="110" zoomScaleNormal="110" workbookViewId="0">
      <selection activeCell="B82" sqref="B8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5" t="s">
        <v>1611</v>
      </c>
    </row>
    <row r="23" spans="1:5" x14ac:dyDescent="0.2">
      <c r="A23" s="167"/>
      <c r="B23" s="161" t="s">
        <v>1856</v>
      </c>
      <c r="D23" s="166" t="s">
        <v>637</v>
      </c>
      <c r="E23" s="1835"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4" t="s">
        <v>1065</v>
      </c>
      <c r="B35" s="2054"/>
      <c r="C35" s="2054"/>
      <c r="D35" s="2054"/>
      <c r="E35" s="205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A6" sqref="A6:E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1:F18"/>
  <sheetViews>
    <sheetView showGridLines="0" zoomScale="110" zoomScaleNormal="110" workbookViewId="0">
      <selection activeCell="C30" sqref="C30"/>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57150</xdr:colOff>
                <xdr:row>3</xdr:row>
                <xdr:rowOff>47625</xdr:rowOff>
              </from>
              <to>
                <xdr:col>1</xdr:col>
                <xdr:colOff>971550</xdr:colOff>
                <xdr:row>8</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1457325</xdr:colOff>
                <xdr:row>3</xdr:row>
                <xdr:rowOff>47625</xdr:rowOff>
              </from>
              <to>
                <xdr:col>1</xdr:col>
                <xdr:colOff>2371725</xdr:colOff>
                <xdr:row>8</xdr:row>
                <xdr:rowOff>9525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2886075</xdr:colOff>
                <xdr:row>3</xdr:row>
                <xdr:rowOff>85725</xdr:rowOff>
              </from>
              <to>
                <xdr:col>1</xdr:col>
                <xdr:colOff>3800475</xdr:colOff>
                <xdr:row>8</xdr:row>
                <xdr:rowOff>47625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7" zoomScale="110" zoomScaleNormal="110" workbookViewId="0">
      <selection activeCell="A6" sqref="A6:E6"/>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3"/>
      <c r="H2" s="1073"/>
    </row>
    <row r="3" spans="1:8" ht="57" customHeight="1" x14ac:dyDescent="0.2">
      <c r="A3" s="2351" t="s">
        <v>1686</v>
      </c>
      <c r="B3" s="2352"/>
      <c r="C3" s="2352"/>
      <c r="D3" s="2352"/>
      <c r="E3" s="2352"/>
      <c r="F3" s="2353"/>
      <c r="G3" s="1073"/>
      <c r="H3" s="1073"/>
    </row>
    <row r="4" spans="1:8" ht="14.25" customHeight="1" x14ac:dyDescent="0.2">
      <c r="A4" s="2357" t="s">
        <v>1986</v>
      </c>
      <c r="B4" s="2358"/>
      <c r="C4" s="2358"/>
      <c r="D4" s="2358"/>
      <c r="E4" s="2358"/>
      <c r="F4" s="2359"/>
      <c r="G4" s="1073"/>
      <c r="H4" s="1073"/>
    </row>
    <row r="5" spans="1:8" ht="14.25" customHeight="1" x14ac:dyDescent="0.2">
      <c r="A5" s="2360" t="s">
        <v>1982</v>
      </c>
      <c r="B5" s="2361"/>
      <c r="C5" s="2361"/>
      <c r="D5" s="2361"/>
      <c r="E5" s="2361"/>
      <c r="F5" s="2362"/>
      <c r="G5" s="1073"/>
      <c r="H5" s="1073"/>
    </row>
    <row r="6" spans="1:8" s="1074" customFormat="1" ht="41.25" customHeight="1" x14ac:dyDescent="0.2">
      <c r="A6" s="2354" t="s">
        <v>1691</v>
      </c>
      <c r="B6" s="2355"/>
      <c r="C6" s="2355"/>
      <c r="D6" s="2355"/>
      <c r="E6" s="2355"/>
      <c r="F6" s="235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8266914</v>
      </c>
      <c r="C8" s="1814">
        <f>'Acct Summary 7-8'!D8</f>
        <v>817263</v>
      </c>
      <c r="D8" s="1814">
        <f>'Acct Summary 7-8'!F8</f>
        <v>479211</v>
      </c>
      <c r="E8" s="1814">
        <f>'Acct Summary 7-8'!I8</f>
        <v>69521</v>
      </c>
      <c r="F8" s="1814">
        <f>SUM(B8:E8)</f>
        <v>9632909</v>
      </c>
    </row>
    <row r="9" spans="1:8" s="1078" customFormat="1" ht="14.25" customHeight="1" thickBot="1" x14ac:dyDescent="0.25">
      <c r="A9" s="1077" t="s">
        <v>1369</v>
      </c>
      <c r="B9" s="1815">
        <f>'Acct Summary 7-8'!C17</f>
        <v>7682356</v>
      </c>
      <c r="C9" s="1815">
        <f>'Acct Summary 7-8'!D17</f>
        <v>872589</v>
      </c>
      <c r="D9" s="1815">
        <f>'Acct Summary 7-8'!F17</f>
        <v>284119</v>
      </c>
      <c r="E9" s="1814"/>
      <c r="F9" s="1814">
        <f>SUM(B9:E9)</f>
        <v>8839064</v>
      </c>
    </row>
    <row r="10" spans="1:8" s="1078" customFormat="1" ht="14.25" thickTop="1" thickBot="1" x14ac:dyDescent="0.25">
      <c r="A10" s="1079" t="s">
        <v>1370</v>
      </c>
      <c r="B10" s="1816">
        <f>(B8-B9)</f>
        <v>584558</v>
      </c>
      <c r="C10" s="1816">
        <f>(C8-C9)</f>
        <v>-55326</v>
      </c>
      <c r="D10" s="1816">
        <f>(D8-D9)</f>
        <v>195092</v>
      </c>
      <c r="E10" s="1815">
        <f>(E8-E9)</f>
        <v>69521</v>
      </c>
      <c r="F10" s="1817">
        <f>SUM(F8-F9)</f>
        <v>793845</v>
      </c>
    </row>
    <row r="11" spans="1:8" s="1078" customFormat="1" ht="14.25" thickTop="1" thickBot="1" x14ac:dyDescent="0.25">
      <c r="A11" s="1080" t="s">
        <v>1983</v>
      </c>
      <c r="B11" s="1818">
        <f>'Acct Summary 7-8'!C81</f>
        <v>6107196</v>
      </c>
      <c r="C11" s="1818">
        <f>'Acct Summary 7-8'!D81</f>
        <v>754114</v>
      </c>
      <c r="D11" s="1818">
        <f>'Acct Summary 7-8'!F81</f>
        <v>535443</v>
      </c>
      <c r="E11" s="1818">
        <f>'Acct Summary 7-8'!I81</f>
        <v>2897899</v>
      </c>
      <c r="F11" s="1819">
        <f>SUM(B11:E11)</f>
        <v>10294652</v>
      </c>
    </row>
    <row r="12" spans="1:8" ht="16.5" customHeight="1" thickTop="1" x14ac:dyDescent="0.2">
      <c r="A12" s="1081"/>
      <c r="B12" s="1082"/>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3"/>
      <c r="B13" s="1084"/>
      <c r="C13" s="2342"/>
      <c r="D13" s="2343"/>
      <c r="E13" s="2343"/>
      <c r="F13" s="2344"/>
      <c r="H13" s="1073"/>
    </row>
    <row r="14" spans="1:8" ht="19.5" customHeight="1" x14ac:dyDescent="0.2">
      <c r="A14" s="1083"/>
      <c r="B14" s="1084"/>
      <c r="C14" s="2342"/>
      <c r="D14" s="2343"/>
      <c r="E14" s="2343"/>
      <c r="F14" s="2344"/>
      <c r="H14" s="1073"/>
    </row>
    <row r="15" spans="1:8" ht="17.25" customHeight="1" x14ac:dyDescent="0.2">
      <c r="A15" s="1083"/>
      <c r="B15" s="1084"/>
      <c r="C15" s="2345"/>
      <c r="D15" s="2346"/>
      <c r="E15" s="2346"/>
      <c r="F15" s="2347"/>
      <c r="H15" s="1073"/>
    </row>
    <row r="16" spans="1:8" s="309" customFormat="1" ht="51.75" hidden="1" customHeight="1" x14ac:dyDescent="0.2">
      <c r="A16" s="2341" t="s">
        <v>1687</v>
      </c>
      <c r="B16" s="2341"/>
      <c r="C16" s="2341"/>
      <c r="D16" s="2341"/>
      <c r="E16" s="2341"/>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A6" sqref="A6:E6"/>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3" t="s">
        <v>665</v>
      </c>
      <c r="B3" s="2364"/>
      <c r="C3" s="2364"/>
      <c r="D3" s="2365"/>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4" t="s">
        <v>1504</v>
      </c>
      <c r="D7" s="2375"/>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6" t="s">
        <v>1008</v>
      </c>
      <c r="B15" s="2367"/>
      <c r="C15" s="2367"/>
      <c r="D15" s="2368"/>
    </row>
    <row r="16" spans="1:4" s="667" customFormat="1" ht="24" customHeight="1" x14ac:dyDescent="0.2">
      <c r="A16" s="2369" t="s">
        <v>663</v>
      </c>
      <c r="B16" s="2370"/>
      <c r="C16" s="2370"/>
      <c r="D16" s="2371"/>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8" t="s">
        <v>314</v>
      </c>
      <c r="D21" s="2379"/>
    </row>
    <row r="22" spans="1:10" ht="12.75" x14ac:dyDescent="0.2">
      <c r="A22" s="1138"/>
      <c r="B22" s="1139">
        <v>2</v>
      </c>
      <c r="C22" s="2376" t="s">
        <v>1524</v>
      </c>
      <c r="D22" s="237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0" t="s">
        <v>536</v>
      </c>
      <c r="D43" s="238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2" t="s">
        <v>784</v>
      </c>
      <c r="D56" s="237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2" t="s">
        <v>1696</v>
      </c>
      <c r="D70" s="237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29'!D142&gt;0,"OK","PLEASE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7016128002</v>
      </c>
    </row>
    <row r="3" spans="1:2" x14ac:dyDescent="0.2">
      <c r="A3" t="s">
        <v>956</v>
      </c>
      <c r="B3" s="137" t="str">
        <f>COVER!A15</f>
        <v>Cook</v>
      </c>
    </row>
    <row r="4" spans="1:2" x14ac:dyDescent="0.2">
      <c r="A4" t="s">
        <v>1007</v>
      </c>
      <c r="B4" s="137" t="str">
        <f>COVER!A17</f>
        <v>Palos Heights SD 128</v>
      </c>
    </row>
    <row r="5" spans="1:2" x14ac:dyDescent="0.2">
      <c r="A5" t="s">
        <v>704</v>
      </c>
      <c r="B5" s="137" t="str">
        <f>COVER!A38</f>
        <v>Dr. Merryl Brownlow</v>
      </c>
    </row>
    <row r="6" spans="1:2" x14ac:dyDescent="0.2">
      <c r="A6" t="s">
        <v>709</v>
      </c>
      <c r="B6" s="137" t="str">
        <f>COVER!P35</f>
        <v>Worth</v>
      </c>
    </row>
    <row r="7" spans="1:2" x14ac:dyDescent="0.2">
      <c r="A7" t="s">
        <v>705</v>
      </c>
      <c r="B7" s="137" t="str">
        <f>COVER!I38</f>
        <v>Terrance LaBella</v>
      </c>
    </row>
    <row r="8" spans="1:2" x14ac:dyDescent="0.2">
      <c r="A8" t="s">
        <v>706</v>
      </c>
      <c r="B8" s="137" t="str">
        <f>COVER!T38</f>
        <v>Dr. Vanessa Kinder</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06-5035081</v>
      </c>
    </row>
    <row r="16" spans="1:2" x14ac:dyDescent="0.2">
      <c r="A16" t="s">
        <v>422</v>
      </c>
      <c r="B16" s="137" t="str">
        <f>COVER!T13</f>
        <v>RSM US LLP</v>
      </c>
    </row>
    <row r="17" spans="1:2" x14ac:dyDescent="0.2">
      <c r="A17" t="s">
        <v>884</v>
      </c>
      <c r="B17" s="137" t="str">
        <f>COVER!T15</f>
        <v>Mandy Pittman</v>
      </c>
    </row>
    <row r="18" spans="1:2" x14ac:dyDescent="0.2">
      <c r="A18" t="s">
        <v>1150</v>
      </c>
      <c r="B18" s="137" t="str">
        <f>COVER!T17</f>
        <v>One South Wacker Drive, Suite 800</v>
      </c>
    </row>
    <row r="19" spans="1:2" x14ac:dyDescent="0.2">
      <c r="A19" t="s">
        <v>886</v>
      </c>
      <c r="B19" s="137" t="str">
        <f>COVER!T25</f>
        <v>mandy.pittman@rsmus.com</v>
      </c>
    </row>
    <row r="20" spans="1:2" x14ac:dyDescent="0.2">
      <c r="A20" t="s">
        <v>887</v>
      </c>
      <c r="B20" s="137" t="str">
        <f>COVER!T19</f>
        <v>Chicago</v>
      </c>
    </row>
    <row r="21" spans="1:2" x14ac:dyDescent="0.2">
      <c r="A21" t="s">
        <v>479</v>
      </c>
      <c r="B21" s="137" t="str">
        <f>COVER!X19</f>
        <v>Illinois</v>
      </c>
    </row>
    <row r="22" spans="1:2" x14ac:dyDescent="0.2">
      <c r="A22" t="s">
        <v>888</v>
      </c>
      <c r="B22" s="137">
        <f>COVER!Z19</f>
        <v>60606</v>
      </c>
    </row>
    <row r="23" spans="1:2" x14ac:dyDescent="0.2">
      <c r="A23" t="s">
        <v>1152</v>
      </c>
      <c r="B23" s="137" t="str">
        <f>COVER!T21</f>
        <v>312-634-4414</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38898</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6111598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4402</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4402</v>
      </c>
      <c r="C91" s="2" t="s">
        <v>573</v>
      </c>
      <c r="D91" s="2" t="str">
        <f t="shared" si="0"/>
        <v>Error?</v>
      </c>
    </row>
    <row r="92" spans="1:4" x14ac:dyDescent="0.2">
      <c r="A92" s="5">
        <v>31</v>
      </c>
      <c r="B92" s="137">
        <f>'Assets-Liab 5-6'!C39</f>
        <v>6107196</v>
      </c>
      <c r="D92" s="2" t="str">
        <f t="shared" si="0"/>
        <v>Error?</v>
      </c>
    </row>
    <row r="93" spans="1:4" x14ac:dyDescent="0.2">
      <c r="A93" s="5">
        <v>32</v>
      </c>
      <c r="B93" s="137">
        <f>'Assets-Liab 5-6'!C41</f>
        <v>6111598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754682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568</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568</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754682</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671030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671030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546823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11380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11380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546823</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251474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624</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2667</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251474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170069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170069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58959</v>
      </c>
      <c r="D273" s="2" t="str">
        <f t="shared" si="3"/>
        <v>Error?</v>
      </c>
    </row>
    <row r="274" spans="1:4" x14ac:dyDescent="0.2">
      <c r="A274" s="5">
        <v>213</v>
      </c>
      <c r="B274" s="137">
        <f>'Assets-Liab 5-6'!M17</f>
        <v>10629112</v>
      </c>
      <c r="D274" s="2" t="str">
        <f t="shared" si="3"/>
        <v>Error?</v>
      </c>
    </row>
    <row r="275" spans="1:4" x14ac:dyDescent="0.2">
      <c r="A275" s="5">
        <v>214</v>
      </c>
      <c r="B275" s="137">
        <f>'Assets-Liab 5-6'!M18</f>
        <v>0</v>
      </c>
      <c r="D275" s="2" t="str">
        <f t="shared" si="3"/>
        <v>Error?</v>
      </c>
    </row>
    <row r="276" spans="1:4" x14ac:dyDescent="0.2">
      <c r="A276" s="5">
        <v>215</v>
      </c>
      <c r="B276" s="137">
        <f>'Assets-Liab 5-6'!M19</f>
        <v>192026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10880097</v>
      </c>
      <c r="C279" s="2" t="s">
        <v>573</v>
      </c>
      <c r="D279" s="2" t="str">
        <f t="shared" si="3"/>
        <v>Error?</v>
      </c>
    </row>
    <row r="280" spans="1:4" x14ac:dyDescent="0.2">
      <c r="A280" s="5">
        <v>219</v>
      </c>
      <c r="B280" s="137">
        <f>'Assets-Liab 5-6'!M40</f>
        <v>10880097</v>
      </c>
      <c r="D280" s="2" t="str">
        <f t="shared" si="3"/>
        <v>Error?</v>
      </c>
    </row>
    <row r="281" spans="1:4" x14ac:dyDescent="0.2">
      <c r="A281" s="5">
        <v>220</v>
      </c>
      <c r="B281" s="137">
        <f>'Assets-Liab 5-6'!M41</f>
        <v>10880097</v>
      </c>
      <c r="C281" s="2" t="s">
        <v>573</v>
      </c>
      <c r="D281" s="2" t="str">
        <f t="shared" si="3"/>
        <v>Error?</v>
      </c>
    </row>
    <row r="282" spans="1:4" x14ac:dyDescent="0.2">
      <c r="A282" s="5">
        <v>221</v>
      </c>
      <c r="B282" s="137">
        <f>'Assets-Liab 5-6'!N21</f>
        <v>1735000</v>
      </c>
      <c r="D282" s="2" t="str">
        <f t="shared" si="3"/>
        <v>Error?</v>
      </c>
    </row>
    <row r="283" spans="1:4" x14ac:dyDescent="0.2">
      <c r="A283" s="5">
        <v>222</v>
      </c>
      <c r="B283" s="137">
        <f>'Assets-Liab 5-6'!N22</f>
        <v>840000</v>
      </c>
      <c r="D283" s="2" t="str">
        <f t="shared" si="3"/>
        <v>Error?</v>
      </c>
    </row>
    <row r="284" spans="1:4" x14ac:dyDescent="0.2">
      <c r="A284" s="5">
        <v>223</v>
      </c>
      <c r="B284" s="137">
        <f>'Assets-Liab 5-6'!N23</f>
        <v>2575000</v>
      </c>
      <c r="C284" s="2" t="s">
        <v>573</v>
      </c>
      <c r="D284" s="2" t="str">
        <f t="shared" si="3"/>
        <v>Error?</v>
      </c>
    </row>
    <row r="285" spans="1:4" x14ac:dyDescent="0.2">
      <c r="A285" s="5">
        <v>224</v>
      </c>
      <c r="B285" s="137">
        <f>'Assets-Liab 5-6'!N36</f>
        <v>2575000</v>
      </c>
      <c r="D285" s="2" t="str">
        <f t="shared" si="3"/>
        <v>Error?</v>
      </c>
    </row>
    <row r="286" spans="1:4" x14ac:dyDescent="0.2">
      <c r="A286" s="10">
        <v>225</v>
      </c>
      <c r="D286" s="2" t="str">
        <f t="shared" si="3"/>
        <v>OK</v>
      </c>
    </row>
    <row r="287" spans="1:4" x14ac:dyDescent="0.2">
      <c r="A287" s="5">
        <v>226</v>
      </c>
      <c r="B287" s="137">
        <f>'Assets-Liab 5-6'!N37</f>
        <v>2575000</v>
      </c>
      <c r="C287" s="2" t="s">
        <v>573</v>
      </c>
      <c r="D287" s="2" t="str">
        <f t="shared" si="3"/>
        <v>Error?</v>
      </c>
    </row>
    <row r="288" spans="1:4" x14ac:dyDescent="0.2">
      <c r="A288" s="5">
        <v>227</v>
      </c>
      <c r="B288" s="137">
        <f>'Assets-Liab 5-6'!N41</f>
        <v>2575000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2444328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59750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92567</v>
      </c>
      <c r="D718" s="2" t="str">
        <f t="shared" si="10"/>
        <v>Error?</v>
      </c>
    </row>
    <row r="719" spans="1:4" x14ac:dyDescent="0.2">
      <c r="A719" s="5">
        <v>658</v>
      </c>
      <c r="B719" s="137">
        <f>'Expenditures 15-22'!C15</f>
        <v>0</v>
      </c>
      <c r="D719" s="2" t="str">
        <f t="shared" si="10"/>
        <v>Error?</v>
      </c>
    </row>
    <row r="720" spans="1:4" x14ac:dyDescent="0.2">
      <c r="A720" s="5">
        <v>659</v>
      </c>
      <c r="B720" s="137">
        <f>'Expenditures 15-22'!C33</f>
        <v>3803202</v>
      </c>
      <c r="C720" s="2" t="s">
        <v>573</v>
      </c>
      <c r="D720" s="2" t="str">
        <f t="shared" si="10"/>
        <v>Error?</v>
      </c>
    </row>
    <row r="721" spans="1:4" x14ac:dyDescent="0.2">
      <c r="A721" s="5">
        <v>660</v>
      </c>
      <c r="B721" s="137">
        <f>'Expenditures 15-22'!C36</f>
        <v>103966</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128337</v>
      </c>
      <c r="D723" s="2" t="str">
        <f t="shared" si="10"/>
        <v>Error?</v>
      </c>
    </row>
    <row r="724" spans="1:4" x14ac:dyDescent="0.2">
      <c r="A724" s="5">
        <v>663</v>
      </c>
      <c r="B724" s="137">
        <f>'Expenditures 15-22'!C39</f>
        <v>58154</v>
      </c>
      <c r="D724" s="2" t="str">
        <f t="shared" si="10"/>
        <v>Error?</v>
      </c>
    </row>
    <row r="725" spans="1:4" x14ac:dyDescent="0.2">
      <c r="A725" s="5">
        <v>664</v>
      </c>
      <c r="B725" s="137">
        <f>'Expenditures 15-22'!C40</f>
        <v>138921</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429378</v>
      </c>
      <c r="C727" s="2" t="s">
        <v>573</v>
      </c>
      <c r="D727" s="2" t="str">
        <f t="shared" si="10"/>
        <v>Error?</v>
      </c>
    </row>
    <row r="728" spans="1:4" x14ac:dyDescent="0.2">
      <c r="A728" s="5">
        <v>667</v>
      </c>
      <c r="B728" s="137">
        <f>'Expenditures 15-22'!C44</f>
        <v>0</v>
      </c>
      <c r="D728" s="2" t="str">
        <f t="shared" si="10"/>
        <v>Error?</v>
      </c>
    </row>
    <row r="729" spans="1:4" x14ac:dyDescent="0.2">
      <c r="A729" s="5">
        <v>668</v>
      </c>
      <c r="B729" s="137">
        <f>'Expenditures 15-22'!C45</f>
        <v>99146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99146</v>
      </c>
      <c r="C731" s="2" t="s">
        <v>573</v>
      </c>
      <c r="D731" s="2" t="str">
        <f t="shared" si="10"/>
        <v>Error?</v>
      </c>
    </row>
    <row r="732" spans="1:4" x14ac:dyDescent="0.2">
      <c r="A732" s="5">
        <v>671</v>
      </c>
      <c r="B732" s="137">
        <f>'Expenditures 15-22'!C49</f>
        <v>600</v>
      </c>
      <c r="D732" s="2" t="str">
        <f t="shared" si="10"/>
        <v>Error?</v>
      </c>
    </row>
    <row r="733" spans="1:4" x14ac:dyDescent="0.2">
      <c r="A733" s="5">
        <v>672</v>
      </c>
      <c r="B733" s="137">
        <f>'Expenditures 15-22'!C50</f>
        <v>211474</v>
      </c>
      <c r="D733" s="2" t="str">
        <f t="shared" si="10"/>
        <v>Error?</v>
      </c>
    </row>
    <row r="734" spans="1:4" x14ac:dyDescent="0.2">
      <c r="A734" s="5">
        <v>673</v>
      </c>
      <c r="B734" s="137">
        <f>'Expenditures 15-22'!C53</f>
        <v>343966</v>
      </c>
      <c r="C734" s="2" t="s">
        <v>573</v>
      </c>
      <c r="D734" s="2" t="str">
        <f t="shared" si="10"/>
        <v>Error?</v>
      </c>
    </row>
    <row r="735" spans="1:4" x14ac:dyDescent="0.2">
      <c r="A735" s="5">
        <v>674</v>
      </c>
      <c r="B735" s="137">
        <f>'Expenditures 15-22'!C55</f>
        <v>399377</v>
      </c>
      <c r="D735" s="2" t="str">
        <f t="shared" si="10"/>
        <v>Error?</v>
      </c>
    </row>
    <row r="736" spans="1:4" x14ac:dyDescent="0.2">
      <c r="A736" s="5">
        <v>675</v>
      </c>
      <c r="B736" s="137">
        <f>'Expenditures 15-22'!C56</f>
        <v>0</v>
      </c>
      <c r="D736" s="2" t="str">
        <f t="shared" si="10"/>
        <v>Error?</v>
      </c>
    </row>
    <row r="737" spans="1:4" x14ac:dyDescent="0.2">
      <c r="A737" s="5">
        <v>676</v>
      </c>
      <c r="B737" s="137">
        <f>'Expenditures 15-22'!C57</f>
        <v>399377</v>
      </c>
      <c r="C737" s="2" t="s">
        <v>573</v>
      </c>
      <c r="D737" s="2" t="str">
        <f t="shared" si="10"/>
        <v>Error?</v>
      </c>
    </row>
    <row r="738" spans="1:4" x14ac:dyDescent="0.2">
      <c r="A738" s="5">
        <v>677</v>
      </c>
      <c r="B738" s="137">
        <f>'Expenditures 15-22'!C59</f>
        <v>85032</v>
      </c>
      <c r="D738" s="2" t="str">
        <f t="shared" si="10"/>
        <v>Error?</v>
      </c>
    </row>
    <row r="739" spans="1:4" x14ac:dyDescent="0.2">
      <c r="A739" s="5">
        <v>678</v>
      </c>
      <c r="B739" s="137">
        <f>'Expenditures 15-22'!C60</f>
        <v>45911</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11038</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141981</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146332</v>
      </c>
      <c r="D751" s="2" t="str">
        <f t="shared" si="10"/>
        <v>Error?</v>
      </c>
    </row>
    <row r="752" spans="1:4" x14ac:dyDescent="0.2">
      <c r="A752" s="10">
        <v>691</v>
      </c>
      <c r="D752" s="2" t="str">
        <f t="shared" si="10"/>
        <v>OK</v>
      </c>
    </row>
    <row r="753" spans="1:4" x14ac:dyDescent="0.2">
      <c r="A753" s="5">
        <v>692</v>
      </c>
      <c r="B753" s="137">
        <f>'Expenditures 15-22'!C72</f>
        <v>146332</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1560180</v>
      </c>
      <c r="C755" s="2" t="s">
        <v>573</v>
      </c>
      <c r="D755" s="2" t="str">
        <f t="shared" si="10"/>
        <v>Error?</v>
      </c>
    </row>
    <row r="756" spans="1:4" x14ac:dyDescent="0.2">
      <c r="A756" s="5">
        <v>695</v>
      </c>
      <c r="B756" s="137">
        <f>'Expenditures 15-22'!C75</f>
        <v>7027</v>
      </c>
      <c r="D756" s="2" t="str">
        <f t="shared" si="10"/>
        <v>Error?</v>
      </c>
    </row>
    <row r="757" spans="1:4" x14ac:dyDescent="0.2">
      <c r="A757" s="5">
        <v>696</v>
      </c>
      <c r="B757" s="137">
        <f>'Expenditures 15-22'!C114</f>
        <v>5370409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460654</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18358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1352</v>
      </c>
      <c r="D776" s="2" t="str">
        <f t="shared" si="11"/>
        <v>Error?</v>
      </c>
    </row>
    <row r="777" spans="1:4" x14ac:dyDescent="0.2">
      <c r="A777" s="5">
        <v>716</v>
      </c>
      <c r="B777" s="137">
        <f>'Expenditures 15-22'!D15</f>
        <v>0</v>
      </c>
      <c r="D777" s="2" t="str">
        <f t="shared" si="11"/>
        <v>Error?</v>
      </c>
    </row>
    <row r="778" spans="1:4" x14ac:dyDescent="0.2">
      <c r="A778" s="5">
        <v>717</v>
      </c>
      <c r="B778" s="137">
        <f>'Expenditures 15-22'!D33</f>
        <v>724478</v>
      </c>
      <c r="C778" s="2" t="s">
        <v>573</v>
      </c>
      <c r="D778" s="2" t="str">
        <f t="shared" si="11"/>
        <v>Error?</v>
      </c>
    </row>
    <row r="779" spans="1:4" x14ac:dyDescent="0.2">
      <c r="A779" s="5">
        <v>718</v>
      </c>
      <c r="B779" s="137">
        <f>'Expenditures 15-22'!D36</f>
        <v>10980</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20227</v>
      </c>
      <c r="D781" s="2" t="str">
        <f t="shared" si="11"/>
        <v>Error?</v>
      </c>
    </row>
    <row r="782" spans="1:4" x14ac:dyDescent="0.2">
      <c r="A782" s="5">
        <v>721</v>
      </c>
      <c r="B782" s="137">
        <f>'Expenditures 15-22'!D39</f>
        <v>18345</v>
      </c>
      <c r="D782" s="2" t="str">
        <f t="shared" si="11"/>
        <v>Error?</v>
      </c>
    </row>
    <row r="783" spans="1:4" x14ac:dyDescent="0.2">
      <c r="A783" s="5">
        <v>722</v>
      </c>
      <c r="B783" s="137">
        <f>'Expenditures 15-22'!D40</f>
        <v>37026</v>
      </c>
      <c r="D783" s="2" t="str">
        <f t="shared" si="11"/>
        <v>Error?</v>
      </c>
    </row>
    <row r="784" spans="1:4" x14ac:dyDescent="0.2">
      <c r="A784" s="5">
        <v>723</v>
      </c>
      <c r="B784" s="137">
        <f>'Expenditures 15-22'!D41</f>
        <v>0</v>
      </c>
      <c r="D784" s="2" t="str">
        <f t="shared" si="11"/>
        <v>Error?</v>
      </c>
    </row>
    <row r="785" spans="1:4" x14ac:dyDescent="0.2">
      <c r="A785" s="5">
        <v>724</v>
      </c>
      <c r="B785" s="137">
        <f>'Expenditures 15-22'!D42</f>
        <v>86578</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15912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15912</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73051</v>
      </c>
      <c r="D791" s="2" t="str">
        <f t="shared" si="11"/>
        <v>Error?</v>
      </c>
    </row>
    <row r="792" spans="1:4" x14ac:dyDescent="0.2">
      <c r="A792" s="5">
        <v>731</v>
      </c>
      <c r="B792" s="137">
        <f>'Expenditures 15-22'!D53</f>
        <v>101157</v>
      </c>
      <c r="C792" s="2" t="s">
        <v>573</v>
      </c>
      <c r="D792" s="2" t="str">
        <f t="shared" si="11"/>
        <v>Error?</v>
      </c>
    </row>
    <row r="793" spans="1:4" x14ac:dyDescent="0.2">
      <c r="A793" s="5">
        <v>732</v>
      </c>
      <c r="B793" s="137">
        <f>'Expenditures 15-22'!D55</f>
        <v>154950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154950</v>
      </c>
      <c r="C795" s="2" t="s">
        <v>573</v>
      </c>
      <c r="D795" s="2" t="str">
        <f t="shared" si="11"/>
        <v>Error?</v>
      </c>
    </row>
    <row r="796" spans="1:4" x14ac:dyDescent="0.2">
      <c r="A796" s="5">
        <v>735</v>
      </c>
      <c r="B796" s="137">
        <f>'Expenditures 15-22'!D59</f>
        <v>24180</v>
      </c>
      <c r="D796" s="2" t="str">
        <f t="shared" si="11"/>
        <v>Error?</v>
      </c>
    </row>
    <row r="797" spans="1:4" x14ac:dyDescent="0.2">
      <c r="A797" s="5">
        <v>736</v>
      </c>
      <c r="B797" s="137">
        <f>'Expenditures 15-22'!D60</f>
        <v>9685</v>
      </c>
      <c r="D797" s="2" t="str">
        <f t="shared" si="11"/>
        <v>Error?</v>
      </c>
    </row>
    <row r="798" spans="1:4" x14ac:dyDescent="0.2">
      <c r="A798" s="5">
        <v>737</v>
      </c>
      <c r="B798" s="137">
        <f>'Expenditures 15-22'!D61</f>
        <v>69</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33934</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22090</v>
      </c>
      <c r="D809" s="2" t="str">
        <f t="shared" si="11"/>
        <v>Error?</v>
      </c>
    </row>
    <row r="810" spans="1:4" x14ac:dyDescent="0.2">
      <c r="A810" s="10">
        <v>749</v>
      </c>
      <c r="D810" s="2" t="str">
        <f t="shared" si="11"/>
        <v>OK</v>
      </c>
    </row>
    <row r="811" spans="1:4" x14ac:dyDescent="0.2">
      <c r="A811" s="5">
        <v>750</v>
      </c>
      <c r="B811" s="137">
        <f>'Expenditures 15-22'!D72</f>
        <v>22090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414621</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1139099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7249</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314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4498</v>
      </c>
      <c r="D834" s="2" t="str">
        <f t="shared" si="12"/>
        <v>Error?</v>
      </c>
    </row>
    <row r="835" spans="1:4" x14ac:dyDescent="0.2">
      <c r="A835" s="5">
        <v>774</v>
      </c>
      <c r="B835" s="137">
        <f>'Expenditures 15-22'!E15</f>
        <v>0</v>
      </c>
      <c r="D835" s="2" t="str">
        <f t="shared" si="12"/>
        <v>Error?</v>
      </c>
    </row>
    <row r="836" spans="1:4" x14ac:dyDescent="0.2">
      <c r="A836" s="5">
        <v>775</v>
      </c>
      <c r="B836" s="137">
        <f>'Expenditures 15-22'!E33</f>
        <v>68939</v>
      </c>
      <c r="C836" s="2" t="s">
        <v>573</v>
      </c>
      <c r="D836" s="2" t="str">
        <f t="shared" si="12"/>
        <v>Error?</v>
      </c>
    </row>
    <row r="837" spans="1:4" x14ac:dyDescent="0.2">
      <c r="A837" s="5">
        <v>776</v>
      </c>
      <c r="B837" s="137">
        <f>'Expenditures 15-22'!E36</f>
        <v>235</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26246</v>
      </c>
      <c r="D839" s="2" t="str">
        <f t="shared" si="12"/>
        <v>Error?</v>
      </c>
    </row>
    <row r="840" spans="1:4" x14ac:dyDescent="0.2">
      <c r="A840" s="5">
        <v>779</v>
      </c>
      <c r="B840" s="137">
        <f>'Expenditures 15-22'!E39</f>
        <v>0</v>
      </c>
      <c r="D840" s="2" t="str">
        <f t="shared" si="12"/>
        <v>Error?</v>
      </c>
    </row>
    <row r="841" spans="1:4" x14ac:dyDescent="0.2">
      <c r="A841" s="5">
        <v>780</v>
      </c>
      <c r="B841" s="137">
        <f>'Expenditures 15-22'!E40</f>
        <v>26440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52921</v>
      </c>
      <c r="C843" s="2" t="s">
        <v>573</v>
      </c>
      <c r="D843" s="2" t="str">
        <f t="shared" si="12"/>
        <v>Error?</v>
      </c>
    </row>
    <row r="844" spans="1:4" x14ac:dyDescent="0.2">
      <c r="A844" s="5">
        <v>783</v>
      </c>
      <c r="B844" s="137">
        <f>'Expenditures 15-22'!E44</f>
        <v>23635</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23635</v>
      </c>
      <c r="C847" s="2" t="s">
        <v>573</v>
      </c>
      <c r="D847" s="2" t="str">
        <f t="shared" si="12"/>
        <v>Error?</v>
      </c>
    </row>
    <row r="848" spans="1:4" x14ac:dyDescent="0.2">
      <c r="A848" s="5">
        <v>787</v>
      </c>
      <c r="B848" s="137">
        <f>'Expenditures 15-22'!E49</f>
        <v>148832</v>
      </c>
      <c r="D848" s="2" t="str">
        <f t="shared" si="12"/>
        <v>Error?</v>
      </c>
    </row>
    <row r="849" spans="1:4" x14ac:dyDescent="0.2">
      <c r="A849" s="5">
        <v>788</v>
      </c>
      <c r="B849" s="137">
        <f>'Expenditures 15-22'!E50</f>
        <v>7578</v>
      </c>
      <c r="D849" s="2" t="str">
        <f t="shared" si="12"/>
        <v>Error?</v>
      </c>
    </row>
    <row r="850" spans="1:4" x14ac:dyDescent="0.2">
      <c r="A850" s="5">
        <v>789</v>
      </c>
      <c r="B850" s="137">
        <f>'Expenditures 15-22'!E53</f>
        <v>158035</v>
      </c>
      <c r="C850" s="2" t="s">
        <v>573</v>
      </c>
      <c r="D850" s="2" t="str">
        <f t="shared" si="12"/>
        <v>Error?</v>
      </c>
    </row>
    <row r="851" spans="1:4" x14ac:dyDescent="0.2">
      <c r="A851" s="5">
        <v>790</v>
      </c>
      <c r="B851" s="137">
        <f>'Expenditures 15-22'!E55</f>
        <v>3509</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3509</v>
      </c>
      <c r="C853" s="2" t="s">
        <v>573</v>
      </c>
      <c r="D853" s="2" t="str">
        <f t="shared" si="12"/>
        <v>Error?</v>
      </c>
    </row>
    <row r="854" spans="1:4" x14ac:dyDescent="0.2">
      <c r="A854" s="5">
        <v>793</v>
      </c>
      <c r="B854" s="137">
        <f>'Expenditures 15-22'!E59</f>
        <v>930</v>
      </c>
      <c r="D854" s="2" t="str">
        <f t="shared" si="12"/>
        <v>Error?</v>
      </c>
    </row>
    <row r="855" spans="1:4" x14ac:dyDescent="0.2">
      <c r="A855" s="5">
        <v>794</v>
      </c>
      <c r="B855" s="137">
        <f>'Expenditures 15-22'!E60</f>
        <v>45145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46075</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95573</v>
      </c>
      <c r="D867" s="2" t="str">
        <f t="shared" si="12"/>
        <v>Error?</v>
      </c>
    </row>
    <row r="868" spans="1:4" x14ac:dyDescent="0.2">
      <c r="A868" s="10">
        <v>807</v>
      </c>
      <c r="D868" s="2" t="str">
        <f t="shared" si="12"/>
        <v>OK</v>
      </c>
    </row>
    <row r="869" spans="1:4" x14ac:dyDescent="0.2">
      <c r="A869" s="5">
        <v>808</v>
      </c>
      <c r="B869" s="137">
        <f>'Expenditures 15-22'!E72</f>
        <v>95573</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379748</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448687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91876</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835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4534</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108956</v>
      </c>
      <c r="C894" s="2" t="s">
        <v>573</v>
      </c>
      <c r="D894" s="2" t="str">
        <f t="shared" si="12"/>
        <v>Error?</v>
      </c>
    </row>
    <row r="895" spans="1:4" x14ac:dyDescent="0.2">
      <c r="A895" s="5">
        <v>834</v>
      </c>
      <c r="B895" s="137">
        <f>'Expenditures 15-22'!F36</f>
        <v>1570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4018</v>
      </c>
      <c r="D897" s="2" t="str">
        <f t="shared" si="13"/>
        <v>Error?</v>
      </c>
    </row>
    <row r="898" spans="1:4" x14ac:dyDescent="0.2">
      <c r="A898" s="5">
        <v>837</v>
      </c>
      <c r="B898" s="137">
        <f>'Expenditures 15-22'!F39</f>
        <v>838</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6426</v>
      </c>
      <c r="C901" s="2" t="s">
        <v>573</v>
      </c>
      <c r="D901" s="2" t="str">
        <f t="shared" si="13"/>
        <v>Error?</v>
      </c>
    </row>
    <row r="902" spans="1:4" x14ac:dyDescent="0.2">
      <c r="A902" s="5">
        <v>841</v>
      </c>
      <c r="B902" s="137">
        <f>'Expenditures 15-22'!F44</f>
        <v>992</v>
      </c>
      <c r="D902" s="2" t="str">
        <f t="shared" si="13"/>
        <v>Error?</v>
      </c>
    </row>
    <row r="903" spans="1:4" x14ac:dyDescent="0.2">
      <c r="A903" s="5">
        <v>842</v>
      </c>
      <c r="B903" s="137">
        <f>'Expenditures 15-22'!F45</f>
        <v>5726</v>
      </c>
      <c r="D903" s="2" t="str">
        <f t="shared" si="13"/>
        <v>Error?</v>
      </c>
    </row>
    <row r="904" spans="1:4" x14ac:dyDescent="0.2">
      <c r="A904" s="5">
        <v>843</v>
      </c>
      <c r="B904" s="137">
        <f>'Expenditures 15-22'!F46</f>
        <v>7500</v>
      </c>
      <c r="D904" s="2" t="str">
        <f t="shared" si="13"/>
        <v>Error?</v>
      </c>
    </row>
    <row r="905" spans="1:4" x14ac:dyDescent="0.2">
      <c r="A905" s="5">
        <v>844</v>
      </c>
      <c r="B905" s="137">
        <f>'Expenditures 15-22'!F47</f>
        <v>14218</v>
      </c>
      <c r="C905" s="2" t="s">
        <v>573</v>
      </c>
      <c r="D905" s="2" t="str">
        <f t="shared" si="13"/>
        <v>Error?</v>
      </c>
    </row>
    <row r="906" spans="1:4" x14ac:dyDescent="0.2">
      <c r="A906" s="5">
        <v>845</v>
      </c>
      <c r="B906" s="137">
        <f>'Expenditures 15-22'!F49</f>
        <v>3928</v>
      </c>
      <c r="D906" s="2" t="str">
        <f t="shared" si="13"/>
        <v>Error?</v>
      </c>
    </row>
    <row r="907" spans="1:4" x14ac:dyDescent="0.2">
      <c r="A907" s="5">
        <v>846</v>
      </c>
      <c r="B907" s="137">
        <f>'Expenditures 15-22'!F50</f>
        <v>3917</v>
      </c>
      <c r="D907" s="2" t="str">
        <f t="shared" si="13"/>
        <v>Error?</v>
      </c>
    </row>
    <row r="908" spans="1:4" x14ac:dyDescent="0.2">
      <c r="A908" s="5">
        <v>847</v>
      </c>
      <c r="B908" s="137">
        <f>'Expenditures 15-22'!F53</f>
        <v>7845</v>
      </c>
      <c r="C908" s="2" t="s">
        <v>573</v>
      </c>
      <c r="D908" s="2" t="str">
        <f t="shared" si="13"/>
        <v>Error?</v>
      </c>
    </row>
    <row r="909" spans="1:4" x14ac:dyDescent="0.2">
      <c r="A909" s="5">
        <v>848</v>
      </c>
      <c r="B909" s="137">
        <f>'Expenditures 15-22'!F55</f>
        <v>9694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9694</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15451</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15451</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31881</v>
      </c>
      <c r="D925" s="2" t="str">
        <f t="shared" si="13"/>
        <v>Error?</v>
      </c>
    </row>
    <row r="926" spans="1:4" x14ac:dyDescent="0.2">
      <c r="A926" s="10">
        <v>865</v>
      </c>
      <c r="D926" s="2" t="str">
        <f t="shared" si="13"/>
        <v>OK</v>
      </c>
    </row>
    <row r="927" spans="1:4" x14ac:dyDescent="0.2">
      <c r="A927" s="5">
        <v>866</v>
      </c>
      <c r="B927" s="137">
        <f>'Expenditures 15-22'!F72</f>
        <v>31881</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85515</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194471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101725</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101725</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6903</v>
      </c>
      <c r="D965" s="2" t="str">
        <f t="shared" si="14"/>
        <v>Error?</v>
      </c>
    </row>
    <row r="966" spans="1:4" x14ac:dyDescent="0.2">
      <c r="A966" s="5">
        <v>905</v>
      </c>
      <c r="B966" s="137">
        <f>'Expenditures 15-22'!G53</f>
        <v>6903</v>
      </c>
      <c r="C966" s="2" t="s">
        <v>573</v>
      </c>
      <c r="D966" s="2" t="str">
        <f t="shared" si="14"/>
        <v>Error?</v>
      </c>
    </row>
    <row r="967" spans="1:4" x14ac:dyDescent="0.2">
      <c r="A967" s="5">
        <v>906</v>
      </c>
      <c r="B967" s="137">
        <f>'Expenditures 15-22'!G55</f>
        <v>910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910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72294</v>
      </c>
      <c r="D983" s="2" t="str">
        <f t="shared" si="14"/>
        <v>Error?</v>
      </c>
    </row>
    <row r="984" spans="1:4" x14ac:dyDescent="0.2">
      <c r="A984" s="10">
        <v>923</v>
      </c>
      <c r="D984" s="2" t="str">
        <f t="shared" si="14"/>
        <v>OK</v>
      </c>
    </row>
    <row r="985" spans="1:4" x14ac:dyDescent="0.2">
      <c r="A985" s="5">
        <v>924</v>
      </c>
      <c r="B985" s="137">
        <f>'Expenditures 15-22'!G72</f>
        <v>72294</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80107</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181832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500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5202</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259455</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13710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13710</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13710</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74693</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347858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3106332</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79257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108153</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5066755</v>
      </c>
      <c r="C1108" s="2" t="s">
        <v>573</v>
      </c>
      <c r="D1108" s="2" t="str">
        <f t="shared" si="16"/>
        <v>Error?</v>
      </c>
    </row>
    <row r="1109" spans="1:4" x14ac:dyDescent="0.2">
      <c r="A1109" s="5">
        <v>1048</v>
      </c>
      <c r="B1109" s="137">
        <f>'Expenditures 15-22'!K36</f>
        <v>116751</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178828</v>
      </c>
      <c r="C1111" s="2" t="s">
        <v>573</v>
      </c>
      <c r="D1111" s="2" t="str">
        <f t="shared" si="16"/>
        <v>Error?</v>
      </c>
    </row>
    <row r="1112" spans="1:4" x14ac:dyDescent="0.2">
      <c r="A1112" s="5">
        <v>1051</v>
      </c>
      <c r="B1112" s="137">
        <f>'Expenditures 15-22'!K39</f>
        <v>77337</v>
      </c>
      <c r="C1112" s="2" t="s">
        <v>573</v>
      </c>
      <c r="D1112" s="2" t="str">
        <f t="shared" si="16"/>
        <v>Error?</v>
      </c>
    </row>
    <row r="1113" spans="1:4" x14ac:dyDescent="0.2">
      <c r="A1113" s="5">
        <v>1052</v>
      </c>
      <c r="B1113" s="137">
        <f>'Expenditures 15-22'!K40</f>
        <v>202387</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575303</v>
      </c>
      <c r="C1115" s="2" t="s">
        <v>573</v>
      </c>
      <c r="D1115" s="2" t="str">
        <f t="shared" si="16"/>
        <v>Error?</v>
      </c>
    </row>
    <row r="1116" spans="1:4" x14ac:dyDescent="0.2">
      <c r="A1116" s="5">
        <v>1055</v>
      </c>
      <c r="B1116" s="137">
        <f>'Expenditures 15-22'!K44</f>
        <v>24627</v>
      </c>
      <c r="C1116" s="2" t="s">
        <v>573</v>
      </c>
      <c r="D1116" s="2" t="str">
        <f t="shared" si="16"/>
        <v>Error?</v>
      </c>
    </row>
    <row r="1117" spans="1:4" x14ac:dyDescent="0.2">
      <c r="A1117" s="5">
        <v>1056</v>
      </c>
      <c r="B1117" s="137">
        <f>'Expenditures 15-22'!K45</f>
        <v>120784</v>
      </c>
      <c r="C1117" s="2" t="s">
        <v>573</v>
      </c>
      <c r="D1117" s="2" t="str">
        <f t="shared" si="16"/>
        <v>Error?</v>
      </c>
    </row>
    <row r="1118" spans="1:4" x14ac:dyDescent="0.2">
      <c r="A1118" s="5">
        <v>1057</v>
      </c>
      <c r="B1118" s="137">
        <f>'Expenditures 15-22'!K46</f>
        <v>7500</v>
      </c>
      <c r="C1118" s="2" t="s">
        <v>573</v>
      </c>
      <c r="D1118" s="2" t="str">
        <f t="shared" si="16"/>
        <v>Error?</v>
      </c>
    </row>
    <row r="1119" spans="1:4" x14ac:dyDescent="0.2">
      <c r="A1119" s="5">
        <v>1058</v>
      </c>
      <c r="B1119" s="137">
        <f>'Expenditures 15-22'!K47</f>
        <v>152911</v>
      </c>
      <c r="C1119" s="2" t="s">
        <v>573</v>
      </c>
      <c r="D1119" s="2" t="str">
        <f t="shared" si="16"/>
        <v>Error?</v>
      </c>
    </row>
    <row r="1120" spans="1:4" x14ac:dyDescent="0.2">
      <c r="A1120" s="5">
        <v>1059</v>
      </c>
      <c r="B1120" s="137">
        <f>'Expenditures 15-22'!K49</f>
        <v>167070</v>
      </c>
      <c r="C1120" s="2" t="s">
        <v>573</v>
      </c>
      <c r="D1120" s="2" t="str">
        <f t="shared" si="16"/>
        <v>Error?</v>
      </c>
    </row>
    <row r="1121" spans="1:4" x14ac:dyDescent="0.2">
      <c r="A1121" s="5">
        <v>1060</v>
      </c>
      <c r="B1121" s="137">
        <f>'Expenditures 15-22'!K50</f>
        <v>302923</v>
      </c>
      <c r="C1121" s="2" t="s">
        <v>573</v>
      </c>
      <c r="D1121" s="2" t="str">
        <f t="shared" si="16"/>
        <v>Error?</v>
      </c>
    </row>
    <row r="1122" spans="1:4" x14ac:dyDescent="0.2">
      <c r="A1122" s="5">
        <v>1061</v>
      </c>
      <c r="B1122" s="137">
        <f>'Expenditures 15-22'!K53</f>
        <v>631616</v>
      </c>
      <c r="C1122" s="2" t="s">
        <v>573</v>
      </c>
      <c r="D1122" s="2" t="str">
        <f t="shared" si="16"/>
        <v>Error?</v>
      </c>
    </row>
    <row r="1123" spans="1:4" x14ac:dyDescent="0.2">
      <c r="A1123" s="5">
        <v>1062</v>
      </c>
      <c r="B1123" s="137">
        <f>'Expenditures 15-22'!K55</f>
        <v>568440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568440</v>
      </c>
      <c r="C1125" s="2" t="s">
        <v>573</v>
      </c>
      <c r="D1125" s="2" t="str">
        <f t="shared" si="16"/>
        <v>Error?</v>
      </c>
    </row>
    <row r="1126" spans="1:4" x14ac:dyDescent="0.2">
      <c r="A1126" s="5">
        <v>1065</v>
      </c>
      <c r="B1126" s="137">
        <f>'Expenditures 15-22'!K59</f>
        <v>110142</v>
      </c>
      <c r="C1126" s="2" t="s">
        <v>573</v>
      </c>
      <c r="D1126" s="2" t="str">
        <f t="shared" si="16"/>
        <v>Error?</v>
      </c>
    </row>
    <row r="1127" spans="1:4" x14ac:dyDescent="0.2">
      <c r="A1127" s="5">
        <v>1066</v>
      </c>
      <c r="B1127" s="137">
        <f>'Expenditures 15-22'!K60</f>
        <v>100741</v>
      </c>
      <c r="C1127" s="2" t="s">
        <v>573</v>
      </c>
      <c r="D1127" s="2" t="str">
        <f t="shared" si="16"/>
        <v>Error?</v>
      </c>
    </row>
    <row r="1128" spans="1:4" x14ac:dyDescent="0.2">
      <c r="A1128" s="5">
        <v>1067</v>
      </c>
      <c r="B1128" s="137">
        <f>'Expenditures 15-22'!K61</f>
        <v>69</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26489</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237441</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368170</v>
      </c>
      <c r="C1139" s="2" t="s">
        <v>573</v>
      </c>
      <c r="D1139" s="2" t="str">
        <f t="shared" si="16"/>
        <v>Error?</v>
      </c>
    </row>
    <row r="1140" spans="1:4" x14ac:dyDescent="0.2">
      <c r="A1140" s="10">
        <v>1079</v>
      </c>
      <c r="D1140" s="2" t="str">
        <f t="shared" si="16"/>
        <v>OK</v>
      </c>
    </row>
    <row r="1141" spans="1:4" x14ac:dyDescent="0.2">
      <c r="A1141" s="5">
        <v>1080</v>
      </c>
      <c r="B1141" s="137">
        <f>'Expenditures 15-22'!K72</f>
        <v>368170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2533881</v>
      </c>
      <c r="C1143" s="2" t="s">
        <v>573</v>
      </c>
      <c r="D1143" s="2" t="str">
        <f t="shared" si="16"/>
        <v>Error?</v>
      </c>
    </row>
    <row r="1144" spans="1:4" x14ac:dyDescent="0.2">
      <c r="A1144" s="5">
        <v>1083</v>
      </c>
      <c r="B1144" s="137">
        <f>'Expenditures 15-22'!K75</f>
        <v>7027</v>
      </c>
      <c r="C1144" s="2" t="s">
        <v>573</v>
      </c>
      <c r="D1144" s="2" t="str">
        <f t="shared" si="16"/>
        <v>Error?</v>
      </c>
    </row>
    <row r="1145" spans="1:4" x14ac:dyDescent="0.2">
      <c r="A1145" s="5">
        <v>1084</v>
      </c>
      <c r="B1145" s="137">
        <f>'Expenditures 15-22'!K102</f>
        <v>74693</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7682356</v>
      </c>
      <c r="C1152" s="2" t="s">
        <v>573</v>
      </c>
      <c r="D1152" s="2" t="str">
        <f t="shared" si="17"/>
        <v>Error?</v>
      </c>
    </row>
    <row r="1153" spans="1:4" x14ac:dyDescent="0.2">
      <c r="A1153" s="5">
        <v>1092</v>
      </c>
      <c r="B1153" s="137">
        <f>'Expenditures 15-22'!K115</f>
        <v>584558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272378</v>
      </c>
      <c r="D1221" s="2" t="str">
        <f t="shared" si="18"/>
        <v>Error?</v>
      </c>
    </row>
    <row r="1222" spans="1:4" x14ac:dyDescent="0.2">
      <c r="A1222" s="10">
        <v>1161</v>
      </c>
      <c r="D1222" s="2" t="str">
        <f t="shared" si="18"/>
        <v>OK</v>
      </c>
    </row>
    <row r="1223" spans="1:4" x14ac:dyDescent="0.2">
      <c r="A1223" s="5">
        <v>1162</v>
      </c>
      <c r="B1223" s="137">
        <f>'Expenditures 15-22'!C127</f>
        <v>272378</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272378</v>
      </c>
      <c r="C1225" s="2" t="s">
        <v>573</v>
      </c>
      <c r="D1225" s="2" t="str">
        <f t="shared" si="18"/>
        <v>Error?</v>
      </c>
    </row>
    <row r="1226" spans="1:4" x14ac:dyDescent="0.2">
      <c r="A1226" s="5">
        <v>1165</v>
      </c>
      <c r="B1226" s="137">
        <f>'Expenditures 15-22'!C151</f>
        <v>272378</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43719</v>
      </c>
      <c r="D1229" s="2" t="str">
        <f t="shared" si="18"/>
        <v>Error?</v>
      </c>
    </row>
    <row r="1230" spans="1:4" x14ac:dyDescent="0.2">
      <c r="A1230" s="10">
        <v>1169</v>
      </c>
      <c r="D1230" s="2" t="str">
        <f t="shared" si="18"/>
        <v>OK</v>
      </c>
    </row>
    <row r="1231" spans="1:4" x14ac:dyDescent="0.2">
      <c r="A1231" s="5">
        <v>1170</v>
      </c>
      <c r="B1231" s="137">
        <f>'Expenditures 15-22'!D127</f>
        <v>43719</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43719</v>
      </c>
      <c r="C1233" s="2" t="s">
        <v>573</v>
      </c>
      <c r="D1233" s="2" t="str">
        <f t="shared" si="18"/>
        <v>Error?</v>
      </c>
    </row>
    <row r="1234" spans="1:4" x14ac:dyDescent="0.2">
      <c r="A1234" s="5">
        <v>1173</v>
      </c>
      <c r="B1234" s="137">
        <f>'Expenditures 15-22'!D151</f>
        <v>43719</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2375</v>
      </c>
      <c r="D1236" s="2" t="str">
        <f t="shared" si="18"/>
        <v>Error?</v>
      </c>
    </row>
    <row r="1237" spans="1:4" x14ac:dyDescent="0.2">
      <c r="A1237" s="5">
        <v>1176</v>
      </c>
      <c r="B1237" s="137">
        <f>'Expenditures 15-22'!E124</f>
        <v>197258</v>
      </c>
      <c r="D1237" s="2" t="str">
        <f t="shared" si="18"/>
        <v>Error?</v>
      </c>
    </row>
    <row r="1238" spans="1:4" x14ac:dyDescent="0.2">
      <c r="A1238" s="10">
        <v>1177</v>
      </c>
      <c r="D1238" s="2" t="str">
        <f t="shared" si="18"/>
        <v>OK</v>
      </c>
    </row>
    <row r="1239" spans="1:4" x14ac:dyDescent="0.2">
      <c r="A1239" s="5">
        <v>1178</v>
      </c>
      <c r="B1239" s="137">
        <f>'Expenditures 15-22'!E127</f>
        <v>199633</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199633</v>
      </c>
      <c r="C1241" s="2" t="s">
        <v>573</v>
      </c>
      <c r="D1241" s="2" t="str">
        <f t="shared" si="18"/>
        <v>Error?</v>
      </c>
    </row>
    <row r="1242" spans="1:4" x14ac:dyDescent="0.2">
      <c r="A1242" s="5">
        <v>1181</v>
      </c>
      <c r="B1242" s="137">
        <f>'Expenditures 15-22'!E151</f>
        <v>199633</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316</v>
      </c>
      <c r="D1244" s="2" t="str">
        <f t="shared" si="18"/>
        <v>Error?</v>
      </c>
    </row>
    <row r="1245" spans="1:4" x14ac:dyDescent="0.2">
      <c r="A1245" s="5">
        <v>1184</v>
      </c>
      <c r="B1245" s="137">
        <f>'Expenditures 15-22'!F124</f>
        <v>200567</v>
      </c>
      <c r="D1245" s="2" t="str">
        <f t="shared" si="18"/>
        <v>Error?</v>
      </c>
    </row>
    <row r="1246" spans="1:4" x14ac:dyDescent="0.2">
      <c r="A1246" s="10">
        <v>1185</v>
      </c>
      <c r="D1246" s="2" t="str">
        <f t="shared" si="18"/>
        <v>OK</v>
      </c>
    </row>
    <row r="1247" spans="1:4" x14ac:dyDescent="0.2">
      <c r="A1247" s="5">
        <v>1186</v>
      </c>
      <c r="B1247" s="137">
        <f>'Expenditures 15-22'!F127</f>
        <v>200883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200883</v>
      </c>
      <c r="C1249" s="2" t="s">
        <v>573</v>
      </c>
      <c r="D1249" s="2" t="str">
        <f t="shared" si="18"/>
        <v>Error?</v>
      </c>
    </row>
    <row r="1250" spans="1:4" x14ac:dyDescent="0.2">
      <c r="A1250" s="5">
        <v>1189</v>
      </c>
      <c r="B1250" s="137">
        <f>'Expenditures 15-22'!F151</f>
        <v>200883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85241</v>
      </c>
      <c r="D1252" s="2" t="str">
        <f t="shared" si="18"/>
        <v>Error?</v>
      </c>
    </row>
    <row r="1253" spans="1:4" x14ac:dyDescent="0.2">
      <c r="A1253" s="5">
        <v>1192</v>
      </c>
      <c r="B1253" s="137">
        <f>'Expenditures 15-22'!G124</f>
        <v>25665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110906</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110906</v>
      </c>
      <c r="C1258" s="2" t="s">
        <v>573</v>
      </c>
      <c r="D1258" s="2" t="str">
        <f t="shared" si="18"/>
        <v>Error?</v>
      </c>
    </row>
    <row r="1259" spans="1:4" x14ac:dyDescent="0.2">
      <c r="A1259" s="5">
        <v>1198</v>
      </c>
      <c r="B1259" s="137">
        <f>'Expenditures 15-22'!G151</f>
        <v>110906</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45070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45070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45070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45070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133002</v>
      </c>
      <c r="C1275" s="2" t="s">
        <v>573</v>
      </c>
      <c r="D1275" s="2" t="str">
        <f t="shared" si="18"/>
        <v>Error?</v>
      </c>
    </row>
    <row r="1276" spans="1:4" x14ac:dyDescent="0.2">
      <c r="A1276" s="5">
        <v>1215</v>
      </c>
      <c r="B1276" s="137">
        <f>'Expenditures 15-22'!K124</f>
        <v>739587</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872589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872589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872589</v>
      </c>
      <c r="C1288" s="2" t="s">
        <v>573</v>
      </c>
      <c r="D1288" s="2" t="str">
        <f t="shared" si="19"/>
        <v>Error?</v>
      </c>
    </row>
    <row r="1289" spans="1:4" x14ac:dyDescent="0.2">
      <c r="A1289" s="5">
        <v>1228</v>
      </c>
      <c r="B1289" s="137">
        <f>'Expenditures 15-22'!K152</f>
        <v>-55326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67953</v>
      </c>
      <c r="D1312" s="2" t="str">
        <f t="shared" si="19"/>
        <v>Error?</v>
      </c>
    </row>
    <row r="1313" spans="1:4" x14ac:dyDescent="0.2">
      <c r="A1313" s="5">
        <v>1252</v>
      </c>
      <c r="B1313" s="137">
        <f>'Expenditures 15-22'!H167</f>
        <v>1473</v>
      </c>
      <c r="D1313" s="2" t="str">
        <f t="shared" si="19"/>
        <v>Error?</v>
      </c>
    </row>
    <row r="1314" spans="1:4" x14ac:dyDescent="0.2">
      <c r="A1314" s="5">
        <v>1253</v>
      </c>
      <c r="B1314" s="137">
        <f>'Expenditures 15-22'!H168</f>
        <v>1473</v>
      </c>
      <c r="C1314" s="2" t="s">
        <v>573</v>
      </c>
      <c r="D1314" s="2" t="str">
        <f t="shared" si="19"/>
        <v>Error?</v>
      </c>
    </row>
    <row r="1315" spans="1:4" x14ac:dyDescent="0.2">
      <c r="A1315" s="5">
        <v>1254</v>
      </c>
      <c r="B1315" s="137">
        <f>'Expenditures 15-22'!H170</f>
        <v>825000</v>
      </c>
      <c r="D1315" s="2" t="str">
        <f t="shared" si="19"/>
        <v>Error?</v>
      </c>
    </row>
    <row r="1316" spans="1:4" x14ac:dyDescent="0.2">
      <c r="A1316" s="5">
        <v>1255</v>
      </c>
      <c r="B1316" s="137">
        <f>'Expenditures 15-22'!H171</f>
        <v>800000</v>
      </c>
      <c r="D1316" s="2" t="str">
        <f t="shared" si="19"/>
        <v>Error?</v>
      </c>
    </row>
    <row r="1317" spans="1:4" x14ac:dyDescent="0.2">
      <c r="A1317" s="5">
        <v>1256</v>
      </c>
      <c r="B1317" s="137">
        <f>'Expenditures 15-22'!H172</f>
        <v>1694426</v>
      </c>
      <c r="C1317" s="2" t="s">
        <v>573</v>
      </c>
      <c r="D1317" s="2" t="str">
        <f t="shared" si="19"/>
        <v>Error?</v>
      </c>
    </row>
    <row r="1318" spans="1:4" x14ac:dyDescent="0.2">
      <c r="A1318" s="5">
        <v>1257</v>
      </c>
      <c r="B1318" s="137">
        <f>'Expenditures 15-22'!H174</f>
        <v>1694426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67953</v>
      </c>
      <c r="C1326" s="2" t="s">
        <v>573</v>
      </c>
      <c r="D1326" s="2" t="str">
        <f t="shared" si="19"/>
        <v>Error?</v>
      </c>
    </row>
    <row r="1327" spans="1:4" x14ac:dyDescent="0.2">
      <c r="A1327" s="5">
        <v>1266</v>
      </c>
      <c r="B1327" s="137">
        <f>'Expenditures 15-22'!K167</f>
        <v>1473</v>
      </c>
      <c r="C1327" s="2" t="s">
        <v>573</v>
      </c>
      <c r="D1327" s="2" t="str">
        <f t="shared" si="19"/>
        <v>Error?</v>
      </c>
    </row>
    <row r="1328" spans="1:4" x14ac:dyDescent="0.2">
      <c r="A1328" s="5">
        <v>1267</v>
      </c>
      <c r="B1328" s="137">
        <f>'Expenditures 15-22'!K168</f>
        <v>1473</v>
      </c>
      <c r="C1328" s="2" t="s">
        <v>573</v>
      </c>
      <c r="D1328" s="2" t="str">
        <f t="shared" si="19"/>
        <v>Error?</v>
      </c>
    </row>
    <row r="1329" spans="1:4" x14ac:dyDescent="0.2">
      <c r="A1329" s="5">
        <v>1268</v>
      </c>
      <c r="B1329" s="137">
        <f>'Expenditures 15-22'!K170</f>
        <v>825000</v>
      </c>
      <c r="C1329" s="2" t="s">
        <v>573</v>
      </c>
      <c r="D1329" s="2" t="str">
        <f t="shared" si="19"/>
        <v>Error?</v>
      </c>
    </row>
    <row r="1330" spans="1:4" x14ac:dyDescent="0.2">
      <c r="A1330" s="5">
        <v>1269</v>
      </c>
      <c r="B1330" s="137">
        <f>'Expenditures 15-22'!K171</f>
        <v>800000</v>
      </c>
      <c r="C1330" s="2" t="s">
        <v>573</v>
      </c>
      <c r="D1330" s="2" t="str">
        <f t="shared" si="19"/>
        <v>Error?</v>
      </c>
    </row>
    <row r="1331" spans="1:4" x14ac:dyDescent="0.2">
      <c r="A1331" s="5">
        <v>1270</v>
      </c>
      <c r="B1331" s="137">
        <f>'Expenditures 15-22'!K172</f>
        <v>1694426</v>
      </c>
      <c r="C1331" s="2" t="s">
        <v>573</v>
      </c>
      <c r="D1331" s="2" t="str">
        <f t="shared" si="19"/>
        <v>Error?</v>
      </c>
    </row>
    <row r="1332" spans="1:4" x14ac:dyDescent="0.2">
      <c r="A1332" s="5">
        <v>1271</v>
      </c>
      <c r="B1332" s="137">
        <f>'Expenditures 15-22'!K174</f>
        <v>1694426</v>
      </c>
      <c r="C1332" s="2" t="s">
        <v>573</v>
      </c>
      <c r="D1332" s="2" t="str">
        <f t="shared" si="19"/>
        <v>Error?</v>
      </c>
    </row>
    <row r="1333" spans="1:4" x14ac:dyDescent="0.2">
      <c r="A1333" s="5">
        <v>1272</v>
      </c>
      <c r="B1333" s="137">
        <f>'Expenditures 15-22'!K175</f>
        <v>-758469</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284119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284119</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284119</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284119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284119</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284119</v>
      </c>
      <c r="C1388" s="2" t="s">
        <v>573</v>
      </c>
      <c r="D1388" s="2" t="str">
        <f t="shared" si="20"/>
        <v>Error?</v>
      </c>
    </row>
    <row r="1389" spans="1:4" x14ac:dyDescent="0.2">
      <c r="A1389" s="5">
        <v>1328</v>
      </c>
      <c r="B1389" s="137">
        <f>'Expenditures 15-22'!K211</f>
        <v>195092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850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1646</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137764</v>
      </c>
      <c r="C1410" s="2" t="s">
        <v>573</v>
      </c>
      <c r="D1410" s="2" t="str">
        <f t="shared" si="21"/>
        <v>Error?</v>
      </c>
    </row>
    <row r="1411" spans="1:4" x14ac:dyDescent="0.2">
      <c r="A1411" s="5">
        <v>1350</v>
      </c>
      <c r="B1411" s="137">
        <f>'Expenditures 15-22'!D232</f>
        <v>1488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23133</v>
      </c>
      <c r="D1413" s="2" t="str">
        <f t="shared" si="21"/>
        <v>Error?</v>
      </c>
    </row>
    <row r="1414" spans="1:4" x14ac:dyDescent="0.2">
      <c r="A1414" s="5">
        <v>1353</v>
      </c>
      <c r="B1414" s="137">
        <f>'Expenditures 15-22'!D235</f>
        <v>729</v>
      </c>
      <c r="D1414" s="2" t="str">
        <f t="shared" si="21"/>
        <v>Error?</v>
      </c>
    </row>
    <row r="1415" spans="1:4" x14ac:dyDescent="0.2">
      <c r="A1415" s="5">
        <v>1354</v>
      </c>
      <c r="B1415" s="137">
        <f>'Expenditures 15-22'!D236</f>
        <v>1806</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27156</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4632</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4632</v>
      </c>
      <c r="C1421" s="2" t="s">
        <v>573</v>
      </c>
      <c r="D1421" s="2" t="str">
        <f t="shared" si="21"/>
        <v>Error?</v>
      </c>
    </row>
    <row r="1422" spans="1:4" x14ac:dyDescent="0.2">
      <c r="A1422" s="5">
        <v>1361</v>
      </c>
      <c r="B1422" s="137">
        <f>'Expenditures 15-22'!D245</f>
        <v>46</v>
      </c>
      <c r="D1422" s="2" t="str">
        <f t="shared" si="21"/>
        <v>Error?</v>
      </c>
    </row>
    <row r="1423" spans="1:4" x14ac:dyDescent="0.2">
      <c r="A1423" s="5">
        <v>1362</v>
      </c>
      <c r="B1423" s="137">
        <f>'Expenditures 15-22'!D246</f>
        <v>8123</v>
      </c>
      <c r="D1423" s="2" t="str">
        <f t="shared" si="21"/>
        <v>Error?</v>
      </c>
    </row>
    <row r="1424" spans="1:4" x14ac:dyDescent="0.2">
      <c r="A1424" s="5">
        <v>1363</v>
      </c>
      <c r="B1424" s="137">
        <f>'Expenditures 15-22'!D257</f>
        <v>12038</v>
      </c>
      <c r="C1424" s="2" t="s">
        <v>573</v>
      </c>
      <c r="D1424" s="2" t="str">
        <f t="shared" si="21"/>
        <v>Error?</v>
      </c>
    </row>
    <row r="1425" spans="1:4" x14ac:dyDescent="0.2">
      <c r="A1425" s="5">
        <v>1364</v>
      </c>
      <c r="B1425" s="137">
        <f>'Expenditures 15-22'!D259</f>
        <v>25646</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25646</v>
      </c>
      <c r="C1427" s="2" t="s">
        <v>573</v>
      </c>
      <c r="D1427" s="2" t="str">
        <f t="shared" si="21"/>
        <v>Error?</v>
      </c>
    </row>
    <row r="1428" spans="1:4" x14ac:dyDescent="0.2">
      <c r="A1428" s="5">
        <v>1367</v>
      </c>
      <c r="B1428" s="137">
        <f>'Expenditures 15-22'!D263</f>
        <v>16525</v>
      </c>
      <c r="D1428" s="2" t="str">
        <f t="shared" si="21"/>
        <v>Error?</v>
      </c>
    </row>
    <row r="1429" spans="1:4" x14ac:dyDescent="0.2">
      <c r="A1429" s="5">
        <v>1368</v>
      </c>
      <c r="B1429" s="137">
        <f>'Expenditures 15-22'!D264</f>
        <v>8928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52867</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844</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79164</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28695</v>
      </c>
      <c r="D1442" s="2" t="str">
        <f t="shared" si="21"/>
        <v>Error?</v>
      </c>
    </row>
    <row r="1443" spans="1:4" x14ac:dyDescent="0.2">
      <c r="A1443" s="10">
        <v>1382</v>
      </c>
      <c r="D1443" s="2" t="str">
        <f t="shared" si="21"/>
        <v>OK</v>
      </c>
    </row>
    <row r="1444" spans="1:4" x14ac:dyDescent="0.2">
      <c r="A1444" s="5">
        <v>1383</v>
      </c>
      <c r="B1444" s="137">
        <f>'Expenditures 15-22'!D277</f>
        <v>28695</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177331</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315095</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850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1646</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137764</v>
      </c>
      <c r="C1474" s="2" t="s">
        <v>573</v>
      </c>
      <c r="D1474" s="2" t="str">
        <f t="shared" si="22"/>
        <v>Error?</v>
      </c>
    </row>
    <row r="1475" spans="1:4" x14ac:dyDescent="0.2">
      <c r="A1475" s="5">
        <v>1414</v>
      </c>
      <c r="B1475" s="137">
        <f>'Expenditures 15-22'!K232</f>
        <v>1488</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23133</v>
      </c>
      <c r="C1477" s="2" t="s">
        <v>573</v>
      </c>
      <c r="D1477" s="2" t="str">
        <f t="shared" si="22"/>
        <v>Error?</v>
      </c>
    </row>
    <row r="1478" spans="1:4" x14ac:dyDescent="0.2">
      <c r="A1478" s="5">
        <v>1417</v>
      </c>
      <c r="B1478" s="137">
        <f>'Expenditures 15-22'!K235</f>
        <v>729</v>
      </c>
      <c r="C1478" s="2" t="s">
        <v>573</v>
      </c>
      <c r="D1478" s="2" t="str">
        <f t="shared" si="22"/>
        <v>Error?</v>
      </c>
    </row>
    <row r="1479" spans="1:4" x14ac:dyDescent="0.2">
      <c r="A1479" s="5">
        <v>1418</v>
      </c>
      <c r="B1479" s="137">
        <f>'Expenditures 15-22'!K236</f>
        <v>1806</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27156</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4632</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4632</v>
      </c>
      <c r="C1485" s="2" t="s">
        <v>573</v>
      </c>
      <c r="D1485" s="2" t="str">
        <f t="shared" si="22"/>
        <v>Error?</v>
      </c>
    </row>
    <row r="1486" spans="1:4" x14ac:dyDescent="0.2">
      <c r="A1486" s="5">
        <v>1425</v>
      </c>
      <c r="B1486" s="137">
        <f>'Expenditures 15-22'!K245</f>
        <v>46</v>
      </c>
      <c r="C1486" s="2" t="s">
        <v>573</v>
      </c>
      <c r="D1486" s="2" t="str">
        <f t="shared" si="22"/>
        <v>Error?</v>
      </c>
    </row>
    <row r="1487" spans="1:4" x14ac:dyDescent="0.2">
      <c r="A1487" s="5">
        <v>1426</v>
      </c>
      <c r="B1487" s="137">
        <f>'Expenditures 15-22'!K246</f>
        <v>8123</v>
      </c>
      <c r="C1487" s="2" t="s">
        <v>573</v>
      </c>
      <c r="D1487" s="2" t="str">
        <f t="shared" si="22"/>
        <v>Error?</v>
      </c>
    </row>
    <row r="1488" spans="1:4" x14ac:dyDescent="0.2">
      <c r="A1488" s="5">
        <v>1427</v>
      </c>
      <c r="B1488" s="137">
        <f>'Expenditures 15-22'!K257</f>
        <v>12038</v>
      </c>
      <c r="C1488" s="2" t="s">
        <v>573</v>
      </c>
      <c r="D1488" s="2" t="str">
        <f t="shared" si="22"/>
        <v>Error?</v>
      </c>
    </row>
    <row r="1489" spans="1:4" x14ac:dyDescent="0.2">
      <c r="A1489" s="5">
        <v>1428</v>
      </c>
      <c r="B1489" s="137">
        <f>'Expenditures 15-22'!K259</f>
        <v>25646</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25646</v>
      </c>
      <c r="C1491" s="2" t="s">
        <v>573</v>
      </c>
      <c r="D1491" s="2" t="str">
        <f t="shared" si="22"/>
        <v>Error?</v>
      </c>
    </row>
    <row r="1492" spans="1:4" x14ac:dyDescent="0.2">
      <c r="A1492" s="5">
        <v>1431</v>
      </c>
      <c r="B1492" s="137">
        <f>'Expenditures 15-22'!K263</f>
        <v>16525</v>
      </c>
      <c r="C1492" s="2" t="s">
        <v>573</v>
      </c>
      <c r="D1492" s="2" t="str">
        <f t="shared" si="22"/>
        <v>Error?</v>
      </c>
    </row>
    <row r="1493" spans="1:4" x14ac:dyDescent="0.2">
      <c r="A1493" s="5">
        <v>1432</v>
      </c>
      <c r="B1493" s="137">
        <f>'Expenditures 15-22'!K264</f>
        <v>8928</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52867</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844</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79164</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28695</v>
      </c>
      <c r="C1506" s="2" t="s">
        <v>573</v>
      </c>
      <c r="D1506" s="2" t="str">
        <f t="shared" si="22"/>
        <v>Error?</v>
      </c>
    </row>
    <row r="1507" spans="1:4" x14ac:dyDescent="0.2">
      <c r="A1507" s="10">
        <v>1446</v>
      </c>
      <c r="D1507" s="2" t="str">
        <f t="shared" si="22"/>
        <v>OK</v>
      </c>
    </row>
    <row r="1508" spans="1:4" x14ac:dyDescent="0.2">
      <c r="A1508" s="5">
        <v>1447</v>
      </c>
      <c r="B1508" s="137">
        <f>'Expenditures 15-22'!K277</f>
        <v>28695</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177331</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315095</v>
      </c>
      <c r="C1517" s="2" t="s">
        <v>573</v>
      </c>
      <c r="D1517" s="2" t="str">
        <f t="shared" si="22"/>
        <v>Error?</v>
      </c>
    </row>
    <row r="1518" spans="1:4" x14ac:dyDescent="0.2">
      <c r="A1518" s="5">
        <v>1457</v>
      </c>
      <c r="B1518" s="137">
        <f>'Expenditures 15-22'!K296</f>
        <v>17564</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3083971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3083971</v>
      </c>
      <c r="C1547" s="2" t="s">
        <v>573</v>
      </c>
      <c r="D1547" s="2" t="str">
        <f t="shared" si="23"/>
        <v>Error?</v>
      </c>
    </row>
    <row r="1548" spans="1:4" x14ac:dyDescent="0.2">
      <c r="A1548" s="5">
        <v>1487</v>
      </c>
      <c r="B1548" s="137">
        <f>'Expenditures 15-22'!G312</f>
        <v>3083971</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3083971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3083971</v>
      </c>
      <c r="C1559" s="2" t="s">
        <v>573</v>
      </c>
      <c r="D1559" s="2" t="str">
        <f t="shared" si="23"/>
        <v>Error?</v>
      </c>
    </row>
    <row r="1560" spans="1:4" x14ac:dyDescent="0.2">
      <c r="A1560" s="5">
        <v>1499</v>
      </c>
      <c r="B1560" s="137">
        <f>'Expenditures 15-22'!K312</f>
        <v>3083971</v>
      </c>
      <c r="C1560" s="2" t="s">
        <v>573</v>
      </c>
      <c r="D1560" s="2" t="str">
        <f t="shared" si="23"/>
        <v>Error?</v>
      </c>
    </row>
    <row r="1561" spans="1:4" x14ac:dyDescent="0.2">
      <c r="A1561" s="5">
        <v>1500</v>
      </c>
      <c r="B1561" s="137">
        <f>'Expenditures 15-22'!K313</f>
        <v>-3064937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5522638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6107196</v>
      </c>
      <c r="C1630" s="2" t="s">
        <v>573</v>
      </c>
      <c r="D1630" s="2" t="str">
        <f t="shared" si="24"/>
        <v>Error?</v>
      </c>
    </row>
    <row r="1631" spans="1:4" x14ac:dyDescent="0.2">
      <c r="A1631" s="5">
        <v>1570</v>
      </c>
      <c r="B1631" s="137">
        <f>'Acct Summary 7-8'!D79</f>
        <v>1008437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754114</v>
      </c>
      <c r="C1644" s="2" t="s">
        <v>573</v>
      </c>
      <c r="D1644" s="2" t="str">
        <f t="shared" si="24"/>
        <v>Error?</v>
      </c>
    </row>
    <row r="1645" spans="1:4" x14ac:dyDescent="0.2">
      <c r="A1645" s="5">
        <v>1584</v>
      </c>
      <c r="B1645" s="137">
        <f>'Acct Summary 7-8'!E79</f>
        <v>1429499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671030</v>
      </c>
      <c r="C1658" s="2" t="s">
        <v>573</v>
      </c>
      <c r="D1658" s="2" t="str">
        <f t="shared" si="24"/>
        <v>Error?</v>
      </c>
    </row>
    <row r="1659" spans="1:4" x14ac:dyDescent="0.2">
      <c r="A1659" s="5">
        <v>1598</v>
      </c>
      <c r="B1659" s="137">
        <f>'Acct Summary 7-8'!F79</f>
        <v>539348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535443</v>
      </c>
      <c r="C1672" s="2" t="s">
        <v>573</v>
      </c>
      <c r="D1672" s="2" t="str">
        <f t="shared" si="25"/>
        <v>Error?</v>
      </c>
    </row>
    <row r="1673" spans="1:4" x14ac:dyDescent="0.2">
      <c r="A1673" s="5">
        <v>1612</v>
      </c>
      <c r="B1673" s="137">
        <f>'Acct Summary 7-8'!G79</f>
        <v>231243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248807</v>
      </c>
      <c r="C1686" s="2" t="s">
        <v>573</v>
      </c>
      <c r="D1686" s="2" t="str">
        <f t="shared" si="25"/>
        <v>Error?</v>
      </c>
    </row>
    <row r="1687" spans="1:4" x14ac:dyDescent="0.2">
      <c r="A1687" s="5">
        <v>1626</v>
      </c>
      <c r="B1687" s="137">
        <f>'Acct Summary 7-8'!H79</f>
        <v>2837012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170069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6290795</v>
      </c>
      <c r="C1744" s="2" t="s">
        <v>573</v>
      </c>
      <c r="D1744" s="2" t="str">
        <f t="shared" si="26"/>
        <v>Error?</v>
      </c>
    </row>
    <row r="1745" spans="1:5" x14ac:dyDescent="0.2">
      <c r="A1745" s="5">
        <v>1684</v>
      </c>
      <c r="B1745" s="137">
        <f>'Tax Sched 23'!B5</f>
        <v>698043</v>
      </c>
      <c r="C1745" s="2" t="s">
        <v>573</v>
      </c>
      <c r="D1745" s="2" t="str">
        <f t="shared" si="26"/>
        <v>Error?</v>
      </c>
    </row>
    <row r="1746" spans="1:5" x14ac:dyDescent="0.2">
      <c r="A1746" s="5">
        <v>1685</v>
      </c>
      <c r="B1746" s="137">
        <f>'Tax Sched 23'!B6</f>
        <v>908023</v>
      </c>
      <c r="C1746" s="2" t="s">
        <v>573</v>
      </c>
      <c r="D1746" s="2" t="str">
        <f t="shared" si="26"/>
        <v>Error?</v>
      </c>
    </row>
    <row r="1747" spans="1:5" x14ac:dyDescent="0.2">
      <c r="A1747" s="5">
        <v>1686</v>
      </c>
      <c r="B1747" s="137">
        <f>'Tax Sched 23'!B7</f>
        <v>301802</v>
      </c>
      <c r="C1747" s="2" t="s">
        <v>573</v>
      </c>
      <c r="D1747" s="2" t="str">
        <f t="shared" si="26"/>
        <v>Error?</v>
      </c>
    </row>
    <row r="1748" spans="1:5" x14ac:dyDescent="0.2">
      <c r="A1748" s="5">
        <v>1687</v>
      </c>
      <c r="B1748" s="137">
        <f>'Tax Sched 23'!B8</f>
        <v>152098</v>
      </c>
      <c r="C1748" s="2" t="s">
        <v>573</v>
      </c>
      <c r="D1748" s="2" t="str">
        <f t="shared" si="26"/>
        <v>Error?</v>
      </c>
    </row>
    <row r="1749" spans="1:5" x14ac:dyDescent="0.2">
      <c r="A1749" s="5">
        <v>1688</v>
      </c>
      <c r="B1749" s="137">
        <f>'Tax Sched 23'!B10</f>
        <v>1062</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1062</v>
      </c>
      <c r="C1753" s="2" t="s">
        <v>573</v>
      </c>
      <c r="D1753" s="2" t="str">
        <f t="shared" si="26"/>
        <v>Error?</v>
      </c>
    </row>
    <row r="1754" spans="1:5" x14ac:dyDescent="0.2">
      <c r="A1754" s="5">
        <v>1693</v>
      </c>
      <c r="B1754" s="137">
        <f>'Tax Sched 23'!B14</f>
        <v>206980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8731893</v>
      </c>
      <c r="C1759" s="2" t="s">
        <v>573</v>
      </c>
      <c r="D1759" s="2" t="str">
        <f t="shared" si="26"/>
        <v>Error?</v>
      </c>
    </row>
    <row r="1760" spans="1:5" x14ac:dyDescent="0.2">
      <c r="A1760" s="5">
        <v>1699</v>
      </c>
      <c r="B1760" s="137">
        <f>'Tax Sched 23'!D4</f>
        <v>2887377</v>
      </c>
      <c r="C1760" s="2" t="s">
        <v>573</v>
      </c>
      <c r="D1760" s="2" t="str">
        <f t="shared" si="26"/>
        <v>Error?</v>
      </c>
    </row>
    <row r="1761" spans="1:5" x14ac:dyDescent="0.2">
      <c r="A1761" s="5">
        <v>1700</v>
      </c>
      <c r="B1761" s="137">
        <f>'Tax Sched 23'!D5</f>
        <v>317939</v>
      </c>
      <c r="C1761" s="2" t="s">
        <v>573</v>
      </c>
      <c r="D1761" s="2" t="str">
        <f t="shared" si="26"/>
        <v>Error?</v>
      </c>
    </row>
    <row r="1762" spans="1:5" s="8" customFormat="1" x14ac:dyDescent="0.2">
      <c r="A1762" s="5">
        <v>1701</v>
      </c>
      <c r="B1762" s="137">
        <f>'Tax Sched 23'!D6</f>
        <v>421794</v>
      </c>
      <c r="C1762" s="2" t="s">
        <v>573</v>
      </c>
      <c r="D1762" s="2" t="str">
        <f t="shared" si="26"/>
        <v>Error?</v>
      </c>
      <c r="E1762" s="9"/>
    </row>
    <row r="1763" spans="1:5" x14ac:dyDescent="0.2">
      <c r="A1763" s="5">
        <v>1702</v>
      </c>
      <c r="B1763" s="137">
        <f>'Tax Sched 23'!D7</f>
        <v>140182</v>
      </c>
      <c r="C1763" s="2" t="s">
        <v>573</v>
      </c>
      <c r="D1763" s="2" t="str">
        <f t="shared" si="26"/>
        <v>Error?</v>
      </c>
    </row>
    <row r="1764" spans="1:5" x14ac:dyDescent="0.2">
      <c r="A1764" s="5">
        <v>1703</v>
      </c>
      <c r="B1764" s="137">
        <f>'Tax Sched 23'!D8</f>
        <v>69777</v>
      </c>
      <c r="C1764" s="2" t="s">
        <v>573</v>
      </c>
      <c r="D1764" s="2" t="str">
        <f t="shared" si="26"/>
        <v>Error?</v>
      </c>
    </row>
    <row r="1765" spans="1:5" x14ac:dyDescent="0.2">
      <c r="A1765" s="5">
        <v>1704</v>
      </c>
      <c r="B1765" s="137">
        <f>'Tax Sched 23'!D10</f>
        <v>401</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-661</v>
      </c>
      <c r="C1768" s="2" t="s">
        <v>573</v>
      </c>
      <c r="D1768" s="2" t="str">
        <f t="shared" si="26"/>
        <v>Error?</v>
      </c>
    </row>
    <row r="1769" spans="1:5" x14ac:dyDescent="0.2">
      <c r="A1769" s="5">
        <v>1708</v>
      </c>
      <c r="B1769" s="137">
        <f>'Tax Sched 23'!D12</f>
        <v>401</v>
      </c>
      <c r="C1769" s="2" t="s">
        <v>573</v>
      </c>
      <c r="D1769" s="2" t="str">
        <f t="shared" si="26"/>
        <v>Error?</v>
      </c>
    </row>
    <row r="1770" spans="1:5" x14ac:dyDescent="0.2">
      <c r="A1770" s="5">
        <v>1709</v>
      </c>
      <c r="B1770" s="137">
        <f>'Tax Sched 23'!D14</f>
        <v>96132</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4008927</v>
      </c>
      <c r="C1775" s="2" t="s">
        <v>573</v>
      </c>
      <c r="D1775" s="2" t="str">
        <f t="shared" si="26"/>
        <v>Error?</v>
      </c>
    </row>
    <row r="1776" spans="1:5" x14ac:dyDescent="0.2">
      <c r="A1776" s="5">
        <v>1715</v>
      </c>
      <c r="B1776" s="137">
        <f>'Tax Sched 23'!C4</f>
        <v>3403418</v>
      </c>
      <c r="D1776" s="2" t="str">
        <f t="shared" si="26"/>
        <v>Error?</v>
      </c>
    </row>
    <row r="1777" spans="1:4" x14ac:dyDescent="0.2">
      <c r="A1777" s="5">
        <v>1716</v>
      </c>
      <c r="B1777" s="137">
        <f>'Tax Sched 23'!C5</f>
        <v>380104</v>
      </c>
      <c r="D1777" s="2" t="str">
        <f t="shared" si="26"/>
        <v>Error?</v>
      </c>
    </row>
    <row r="1778" spans="1:4" x14ac:dyDescent="0.2">
      <c r="A1778" s="5">
        <v>1717</v>
      </c>
      <c r="B1778" s="137">
        <f>'Tax Sched 23'!C6</f>
        <v>486229</v>
      </c>
      <c r="D1778" s="2" t="str">
        <f t="shared" si="26"/>
        <v>Error?</v>
      </c>
    </row>
    <row r="1779" spans="1:4" x14ac:dyDescent="0.2">
      <c r="A1779" s="5">
        <v>1718</v>
      </c>
      <c r="B1779" s="137">
        <f>'Tax Sched 23'!C7</f>
        <v>161620</v>
      </c>
      <c r="D1779" s="2" t="str">
        <f t="shared" si="26"/>
        <v>Error?</v>
      </c>
    </row>
    <row r="1780" spans="1:4" x14ac:dyDescent="0.2">
      <c r="A1780" s="5">
        <v>1719</v>
      </c>
      <c r="B1780" s="137">
        <f>'Tax Sched 23'!C8</f>
        <v>82321</v>
      </c>
      <c r="D1780" s="2" t="str">
        <f t="shared" si="26"/>
        <v>Error?</v>
      </c>
    </row>
    <row r="1781" spans="1:4" x14ac:dyDescent="0.2">
      <c r="A1781" s="5">
        <v>1720</v>
      </c>
      <c r="B1781" s="137">
        <f>'Tax Sched 23'!C10</f>
        <v>661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661</v>
      </c>
      <c r="D1784" s="2" t="str">
        <f t="shared" si="26"/>
        <v>Error?</v>
      </c>
    </row>
    <row r="1785" spans="1:4" x14ac:dyDescent="0.2">
      <c r="A1785" s="5">
        <v>1724</v>
      </c>
      <c r="B1785" s="137">
        <f>'Tax Sched 23'!C12</f>
        <v>661</v>
      </c>
      <c r="D1785" s="2" t="str">
        <f t="shared" si="26"/>
        <v>Error?</v>
      </c>
    </row>
    <row r="1786" spans="1:4" x14ac:dyDescent="0.2">
      <c r="A1786" s="5">
        <v>1725</v>
      </c>
      <c r="B1786" s="137">
        <f>'Tax Sched 23'!C14</f>
        <v>110848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4722966</v>
      </c>
      <c r="C1791" s="2" t="s">
        <v>573</v>
      </c>
      <c r="D1791" s="2" t="str">
        <f t="shared" ref="D1791:D1854" si="27">IF(ISBLANK(B1791),"OK",IF(A1791-B1791=0,"OK","Error?"))</f>
        <v>Error?</v>
      </c>
    </row>
    <row r="1792" spans="1:4" x14ac:dyDescent="0.2">
      <c r="A1792" s="5">
        <v>1731</v>
      </c>
      <c r="B1792" s="137">
        <f>'Tax Sched 23'!F4</f>
        <v>3148762</v>
      </c>
      <c r="C1792" s="2" t="s">
        <v>573</v>
      </c>
      <c r="D1792" s="2" t="str">
        <f t="shared" si="27"/>
        <v>Error?</v>
      </c>
    </row>
    <row r="1793" spans="1:4" x14ac:dyDescent="0.2">
      <c r="A1793" s="5">
        <v>1732</v>
      </c>
      <c r="B1793" s="137">
        <f>'Tax Sched 23'!F5</f>
        <v>351650</v>
      </c>
      <c r="C1793" s="2" t="s">
        <v>573</v>
      </c>
      <c r="D1793" s="2" t="str">
        <f t="shared" si="27"/>
        <v>Error?</v>
      </c>
    </row>
    <row r="1794" spans="1:4" x14ac:dyDescent="0.2">
      <c r="A1794" s="5">
        <v>1733</v>
      </c>
      <c r="B1794" s="137">
        <f>'Tax Sched 23'!F6</f>
        <v>449846</v>
      </c>
      <c r="C1794" s="2" t="s">
        <v>573</v>
      </c>
      <c r="D1794" s="2" t="str">
        <f t="shared" si="27"/>
        <v>Error?</v>
      </c>
    </row>
    <row r="1795" spans="1:4" x14ac:dyDescent="0.2">
      <c r="A1795" s="5">
        <v>1734</v>
      </c>
      <c r="B1795" s="137">
        <f>'Tax Sched 23'!F7</f>
        <v>149522</v>
      </c>
      <c r="C1795" s="2" t="s">
        <v>573</v>
      </c>
      <c r="D1795" s="2" t="str">
        <f t="shared" si="27"/>
        <v>Error?</v>
      </c>
    </row>
    <row r="1796" spans="1:4" x14ac:dyDescent="0.2">
      <c r="A1796" s="5">
        <v>1735</v>
      </c>
      <c r="B1796" s="137">
        <f>'Tax Sched 23'!F8</f>
        <v>76179</v>
      </c>
      <c r="C1796" s="2" t="s">
        <v>573</v>
      </c>
      <c r="D1796" s="2" t="str">
        <f t="shared" si="27"/>
        <v>Error?</v>
      </c>
    </row>
    <row r="1797" spans="1:4" x14ac:dyDescent="0.2">
      <c r="A1797" s="5">
        <v>1736</v>
      </c>
      <c r="B1797" s="137">
        <f>'Tax Sched 23'!F10</f>
        <v>572</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-661</v>
      </c>
      <c r="C1800" s="2" t="s">
        <v>573</v>
      </c>
      <c r="D1800" s="2" t="str">
        <f t="shared" si="27"/>
        <v>Error?</v>
      </c>
    </row>
    <row r="1801" spans="1:4" x14ac:dyDescent="0.2">
      <c r="A1801" s="5">
        <v>1740</v>
      </c>
      <c r="B1801" s="137">
        <f>'Tax Sched 23'!F12</f>
        <v>572</v>
      </c>
      <c r="C1801" s="2" t="s">
        <v>573</v>
      </c>
      <c r="D1801" s="2" t="str">
        <f t="shared" si="27"/>
        <v>Error?</v>
      </c>
    </row>
    <row r="1802" spans="1:4" x14ac:dyDescent="0.2">
      <c r="A1802" s="5">
        <v>1741</v>
      </c>
      <c r="B1802" s="137">
        <f>'Tax Sched 23'!F14</f>
        <v>102541</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4369409</v>
      </c>
      <c r="C1807" s="2" t="s">
        <v>573</v>
      </c>
      <c r="D1807" s="2" t="str">
        <f t="shared" si="27"/>
        <v>Error?</v>
      </c>
    </row>
    <row r="1808" spans="1:4" x14ac:dyDescent="0.2">
      <c r="A1808" s="5">
        <v>1747</v>
      </c>
      <c r="B1808" s="137">
        <f>'Tax Sched 23'!E4</f>
        <v>6552180</v>
      </c>
      <c r="D1808" s="2" t="str">
        <f t="shared" si="27"/>
        <v>Error?</v>
      </c>
    </row>
    <row r="1809" spans="1:4" x14ac:dyDescent="0.2">
      <c r="A1809" s="5">
        <v>1748</v>
      </c>
      <c r="B1809" s="137">
        <f>'Tax Sched 23'!E5</f>
        <v>731754</v>
      </c>
      <c r="D1809" s="2" t="str">
        <f t="shared" si="27"/>
        <v>Error?</v>
      </c>
    </row>
    <row r="1810" spans="1:4" x14ac:dyDescent="0.2">
      <c r="A1810" s="5">
        <v>1749</v>
      </c>
      <c r="B1810" s="137">
        <f>'Tax Sched 23'!E6</f>
        <v>936075</v>
      </c>
      <c r="D1810" s="2" t="str">
        <f t="shared" si="27"/>
        <v>Error?</v>
      </c>
    </row>
    <row r="1811" spans="1:4" x14ac:dyDescent="0.2">
      <c r="A1811" s="5">
        <v>1750</v>
      </c>
      <c r="B1811" s="137">
        <f>'Tax Sched 23'!E7</f>
        <v>311142</v>
      </c>
      <c r="D1811" s="2" t="str">
        <f t="shared" si="27"/>
        <v>Error?</v>
      </c>
    </row>
    <row r="1812" spans="1:4" x14ac:dyDescent="0.2">
      <c r="A1812" s="5">
        <v>1751</v>
      </c>
      <c r="B1812" s="137">
        <f>'Tax Sched 23'!E8</f>
        <v>158500</v>
      </c>
      <c r="D1812" s="2" t="str">
        <f t="shared" si="27"/>
        <v>Error?</v>
      </c>
    </row>
    <row r="1813" spans="1:4" x14ac:dyDescent="0.2">
      <c r="A1813" s="5">
        <v>1752</v>
      </c>
      <c r="B1813" s="137">
        <f>'Tax Sched 23'!E10</f>
        <v>1233</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1233</v>
      </c>
      <c r="D1817" s="2" t="str">
        <f t="shared" si="27"/>
        <v>Error?</v>
      </c>
    </row>
    <row r="1818" spans="1:4" x14ac:dyDescent="0.2">
      <c r="A1818" s="5">
        <v>1757</v>
      </c>
      <c r="B1818" s="137">
        <f>'Tax Sched 23'!E14</f>
        <v>213389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9092375</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3400000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58959</v>
      </c>
      <c r="D2008" s="2" t="str">
        <f t="shared" si="30"/>
        <v>Error?</v>
      </c>
    </row>
    <row r="2009" spans="1:4" x14ac:dyDescent="0.2">
      <c r="A2009" s="5">
        <v>1948</v>
      </c>
      <c r="B2009" s="137">
        <f>'Cap Outlay Deprec 26'!C8</f>
        <v>19758171</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4222793</v>
      </c>
      <c r="D2012" s="2" t="str">
        <f t="shared" si="30"/>
        <v>Error?</v>
      </c>
    </row>
    <row r="2013" spans="1:4" x14ac:dyDescent="0.2">
      <c r="A2013" s="5">
        <v>1952</v>
      </c>
      <c r="B2013" s="137">
        <f>'Cap Outlay Deprec 26'!C16</f>
        <v>24039923</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3124039</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89604</v>
      </c>
      <c r="D2018" s="2" t="str">
        <f t="shared" si="30"/>
        <v>Error?</v>
      </c>
    </row>
    <row r="2019" spans="1:4" x14ac:dyDescent="0.2">
      <c r="A2019" s="5">
        <v>1958</v>
      </c>
      <c r="B2019" s="137">
        <f>'Cap Outlay Deprec 26'!D16</f>
        <v>3213643</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58959</v>
      </c>
      <c r="C2026" s="2" t="s">
        <v>573</v>
      </c>
      <c r="D2026" s="2" t="str">
        <f t="shared" si="30"/>
        <v>Error?</v>
      </c>
    </row>
    <row r="2027" spans="1:4" x14ac:dyDescent="0.2">
      <c r="A2027" s="5">
        <v>1966</v>
      </c>
      <c r="B2027" s="137">
        <f>'Cap Outlay Deprec 26'!F8</f>
        <v>22882210</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4312397</v>
      </c>
      <c r="C2030" s="2" t="s">
        <v>573</v>
      </c>
      <c r="D2030" s="2" t="str">
        <f t="shared" si="30"/>
        <v>Error?</v>
      </c>
    </row>
    <row r="2031" spans="1:4" x14ac:dyDescent="0.2">
      <c r="A2031" s="5">
        <v>1970</v>
      </c>
      <c r="B2031" s="137">
        <f>'Cap Outlay Deprec 26'!F16</f>
        <v>27253566</v>
      </c>
      <c r="C2031" s="2" t="s">
        <v>573</v>
      </c>
      <c r="D2031" s="2" t="str">
        <f t="shared" si="30"/>
        <v>Error?</v>
      </c>
    </row>
    <row r="2032" spans="1:4" x14ac:dyDescent="0.2">
      <c r="A2032" s="10">
        <v>1971</v>
      </c>
      <c r="D2032" s="2" t="str">
        <f t="shared" si="30"/>
        <v>OK</v>
      </c>
    </row>
    <row r="2033" spans="1:4" x14ac:dyDescent="0.2">
      <c r="A2033" s="5">
        <v>1972</v>
      </c>
      <c r="B2033" s="137">
        <f>'Cap Outlay Deprec 26'!H8</f>
        <v>11736965</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3958413</v>
      </c>
      <c r="D2036" s="2" t="str">
        <f t="shared" si="30"/>
        <v>Error?</v>
      </c>
    </row>
    <row r="2037" spans="1:4" x14ac:dyDescent="0.2">
      <c r="A2037" s="5">
        <v>1976</v>
      </c>
      <c r="B2037" s="137">
        <f>'Cap Outlay Deprec 26'!H16</f>
        <v>15695378</v>
      </c>
      <c r="C2037" s="2" t="s">
        <v>573</v>
      </c>
      <c r="D2037" s="2" t="str">
        <f t="shared" si="30"/>
        <v>Error?</v>
      </c>
    </row>
    <row r="2038" spans="1:4" x14ac:dyDescent="0.2">
      <c r="A2038" s="10">
        <v>1977</v>
      </c>
      <c r="D2038" s="2" t="str">
        <f t="shared" si="30"/>
        <v>OK</v>
      </c>
    </row>
    <row r="2039" spans="1:4" x14ac:dyDescent="0.2">
      <c r="A2039" s="5">
        <v>1978</v>
      </c>
      <c r="B2039" s="137">
        <f>'Cap Outlay Deprec 26'!I8</f>
        <v>516133</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161958</v>
      </c>
      <c r="D2042" s="2" t="str">
        <f t="shared" si="30"/>
        <v>Error?</v>
      </c>
    </row>
    <row r="2043" spans="1:4" x14ac:dyDescent="0.2">
      <c r="A2043" s="5">
        <v>1982</v>
      </c>
      <c r="B2043" s="137">
        <f>'Cap Outlay Deprec 26'!I16</f>
        <v>678091</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12253098</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4120371</v>
      </c>
      <c r="C2054" s="2" t="s">
        <v>573</v>
      </c>
      <c r="D2054" s="2" t="str">
        <f t="shared" si="31"/>
        <v>Error?</v>
      </c>
    </row>
    <row r="2055" spans="1:4" x14ac:dyDescent="0.2">
      <c r="A2055" s="5">
        <v>1994</v>
      </c>
      <c r="B2055" s="137">
        <f>'Cap Outlay Deprec 26'!K16</f>
        <v>16373469</v>
      </c>
      <c r="C2055" s="2" t="s">
        <v>573</v>
      </c>
      <c r="D2055" s="2" t="str">
        <f t="shared" si="31"/>
        <v>Error?</v>
      </c>
    </row>
    <row r="2056" spans="1:4" x14ac:dyDescent="0.2">
      <c r="A2056" s="5">
        <v>1995</v>
      </c>
      <c r="B2056" s="137">
        <f>'Cap Outlay Deprec 26'!L5</f>
        <v>58959</v>
      </c>
      <c r="C2056" s="2" t="s">
        <v>573</v>
      </c>
      <c r="D2056" s="2" t="str">
        <f t="shared" si="31"/>
        <v>Error?</v>
      </c>
    </row>
    <row r="2057" spans="1:4" x14ac:dyDescent="0.2">
      <c r="A2057" s="5">
        <v>1996</v>
      </c>
      <c r="B2057" s="137">
        <f>'Cap Outlay Deprec 26'!L8</f>
        <v>10629112</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192026</v>
      </c>
      <c r="C2060" s="2" t="s">
        <v>573</v>
      </c>
      <c r="D2060" s="2" t="str">
        <f t="shared" si="31"/>
        <v>Error?</v>
      </c>
    </row>
    <row r="2061" spans="1:4" x14ac:dyDescent="0.2">
      <c r="A2061" s="5">
        <v>2000</v>
      </c>
      <c r="B2061" s="137">
        <f>'Cap Outlay Deprec 26'!L16</f>
        <v>10880097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74693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74693</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754114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535443</v>
      </c>
      <c r="D2475" s="2" t="str">
        <f t="shared" si="37"/>
        <v>Error?</v>
      </c>
    </row>
    <row r="2476" spans="1:4" x14ac:dyDescent="0.2">
      <c r="A2476" s="10">
        <v>2415</v>
      </c>
      <c r="D2476" s="2" t="str">
        <f t="shared" si="37"/>
        <v>OK</v>
      </c>
    </row>
    <row r="2477" spans="1:4" x14ac:dyDescent="0.2">
      <c r="A2477" s="5">
        <v>2416</v>
      </c>
      <c r="B2477" s="137">
        <f>'Assets-Liab 5-6'!G38</f>
        <v>248807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671030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170069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7246198</v>
      </c>
      <c r="C2551" s="2" t="s">
        <v>573</v>
      </c>
      <c r="D2551" s="2" t="str">
        <f t="shared" si="38"/>
        <v>Error?</v>
      </c>
    </row>
    <row r="2552" spans="1:4" x14ac:dyDescent="0.2">
      <c r="A2552" s="10">
        <v>2491</v>
      </c>
      <c r="D2552" s="2" t="str">
        <f t="shared" si="38"/>
        <v>OK</v>
      </c>
    </row>
    <row r="2553" spans="1:4" x14ac:dyDescent="0.2">
      <c r="A2553" s="5">
        <v>2492</v>
      </c>
      <c r="B2553" s="137">
        <f>'Acct Summary 7-8'!C6</f>
        <v>653117</v>
      </c>
      <c r="C2553" s="2" t="s">
        <v>573</v>
      </c>
      <c r="D2553" s="2" t="str">
        <f t="shared" si="38"/>
        <v>Error?</v>
      </c>
    </row>
    <row r="2554" spans="1:4" x14ac:dyDescent="0.2">
      <c r="A2554" s="5">
        <v>2493</v>
      </c>
      <c r="B2554" s="137">
        <f>'Acct Summary 7-8'!C7</f>
        <v>367599</v>
      </c>
      <c r="C2554" s="2" t="s">
        <v>573</v>
      </c>
      <c r="D2554" s="2" t="str">
        <f t="shared" si="38"/>
        <v>Error?</v>
      </c>
    </row>
    <row r="2555" spans="1:4" x14ac:dyDescent="0.2">
      <c r="A2555" s="5">
        <v>2494</v>
      </c>
      <c r="B2555" s="137">
        <f>'Acct Summary 7-8'!C8</f>
        <v>8266914</v>
      </c>
      <c r="C2555" s="2" t="s">
        <v>573</v>
      </c>
      <c r="D2555" s="2" t="str">
        <f t="shared" si="38"/>
        <v>Error?</v>
      </c>
    </row>
    <row r="2556" spans="1:4" x14ac:dyDescent="0.2">
      <c r="A2556" s="5">
        <v>2495</v>
      </c>
      <c r="B2556" s="137">
        <f>'Acct Summary 7-8'!C12</f>
        <v>5066755</v>
      </c>
      <c r="C2556" s="2" t="s">
        <v>573</v>
      </c>
      <c r="D2556" s="2" t="str">
        <f t="shared" si="38"/>
        <v>Error?</v>
      </c>
    </row>
    <row r="2557" spans="1:4" x14ac:dyDescent="0.2">
      <c r="A2557" s="5">
        <v>2496</v>
      </c>
      <c r="B2557" s="137">
        <f>'Acct Summary 7-8'!C13</f>
        <v>2533881</v>
      </c>
      <c r="C2557" s="2" t="s">
        <v>573</v>
      </c>
      <c r="D2557" s="2" t="str">
        <f t="shared" si="38"/>
        <v>Error?</v>
      </c>
    </row>
    <row r="2558" spans="1:4" x14ac:dyDescent="0.2">
      <c r="A2558" s="5">
        <v>2497</v>
      </c>
      <c r="B2558" s="137">
        <f>'Acct Summary 7-8'!C14</f>
        <v>7027</v>
      </c>
      <c r="C2558" s="2" t="s">
        <v>573</v>
      </c>
      <c r="D2558" s="2" t="str">
        <f t="shared" si="38"/>
        <v>Error?</v>
      </c>
    </row>
    <row r="2559" spans="1:4" x14ac:dyDescent="0.2">
      <c r="A2559" s="5">
        <v>2498</v>
      </c>
      <c r="B2559" s="137">
        <f>'Acct Summary 7-8'!C15</f>
        <v>74693</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7682356</v>
      </c>
      <c r="C2561" s="2" t="s">
        <v>573</v>
      </c>
      <c r="D2561" s="2" t="str">
        <f t="shared" si="39"/>
        <v>Error?</v>
      </c>
    </row>
    <row r="2562" spans="1:4" x14ac:dyDescent="0.2">
      <c r="A2562" s="5">
        <v>2501</v>
      </c>
      <c r="B2562" s="137">
        <f>'Acct Summary 7-8'!C20</f>
        <v>584558</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742263</v>
      </c>
      <c r="C2564" s="2" t="s">
        <v>573</v>
      </c>
      <c r="D2564" s="2" t="str">
        <f t="shared" si="39"/>
        <v>Error?</v>
      </c>
    </row>
    <row r="2565" spans="1:4" x14ac:dyDescent="0.2">
      <c r="A2565" s="10">
        <v>2504</v>
      </c>
      <c r="D2565" s="2" t="str">
        <f t="shared" si="39"/>
        <v>OK</v>
      </c>
    </row>
    <row r="2566" spans="1:4" x14ac:dyDescent="0.2">
      <c r="A2566" s="5">
        <v>2505</v>
      </c>
      <c r="B2566" s="137">
        <f>'Acct Summary 7-8'!D6</f>
        <v>75000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817263</v>
      </c>
      <c r="C2568" s="2" t="s">
        <v>573</v>
      </c>
      <c r="D2568" s="2" t="str">
        <f t="shared" si="39"/>
        <v>Error?</v>
      </c>
    </row>
    <row r="2569" spans="1:4" x14ac:dyDescent="0.2">
      <c r="A2569" s="5">
        <v>2508</v>
      </c>
      <c r="B2569" s="137">
        <f>'Acct Summary 7-8'!D13</f>
        <v>872589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872589</v>
      </c>
      <c r="C2573" s="2" t="s">
        <v>573</v>
      </c>
      <c r="D2573" s="2" t="str">
        <f t="shared" si="39"/>
        <v>Error?</v>
      </c>
    </row>
    <row r="2574" spans="1:4" x14ac:dyDescent="0.2">
      <c r="A2574" s="5">
        <v>2513</v>
      </c>
      <c r="B2574" s="137">
        <f>'Acct Summary 7-8'!D20</f>
        <v>-55326</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334330</v>
      </c>
      <c r="C2591" s="2" t="s">
        <v>573</v>
      </c>
      <c r="D2591" s="2" t="str">
        <f t="shared" si="39"/>
        <v>Error?</v>
      </c>
    </row>
    <row r="2592" spans="1:4" x14ac:dyDescent="0.2">
      <c r="A2592" s="10">
        <v>2531</v>
      </c>
      <c r="D2592" s="2" t="str">
        <f t="shared" si="39"/>
        <v>OK</v>
      </c>
    </row>
    <row r="2593" spans="1:4" x14ac:dyDescent="0.2">
      <c r="A2593" s="5">
        <v>2532</v>
      </c>
      <c r="B2593" s="137">
        <f>'Acct Summary 7-8'!F6</f>
        <v>144881</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479211</v>
      </c>
      <c r="C2595" s="2" t="s">
        <v>573</v>
      </c>
      <c r="D2595" s="2" t="str">
        <f t="shared" si="39"/>
        <v>Error?</v>
      </c>
    </row>
    <row r="2596" spans="1:4" x14ac:dyDescent="0.2">
      <c r="A2596" s="5">
        <v>2535</v>
      </c>
      <c r="B2596" s="137">
        <f>'Acct Summary 7-8'!F13</f>
        <v>284119</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284119</v>
      </c>
      <c r="C2600" s="2" t="s">
        <v>573</v>
      </c>
      <c r="D2600" s="2" t="str">
        <f t="shared" si="39"/>
        <v>Error?</v>
      </c>
    </row>
    <row r="2601" spans="1:4" x14ac:dyDescent="0.2">
      <c r="A2601" s="5">
        <v>2540</v>
      </c>
      <c r="B2601" s="137">
        <f>'Acct Summary 7-8'!F20</f>
        <v>195092</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332659</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332659</v>
      </c>
      <c r="C2606" s="2" t="s">
        <v>573</v>
      </c>
      <c r="D2606" s="2" t="str">
        <f t="shared" si="39"/>
        <v>Error?</v>
      </c>
    </row>
    <row r="2607" spans="1:4" x14ac:dyDescent="0.2">
      <c r="A2607" s="5">
        <v>2546</v>
      </c>
      <c r="B2607" s="137">
        <f>'Acct Summary 7-8'!G12</f>
        <v>137764</v>
      </c>
      <c r="C2607" s="2" t="s">
        <v>573</v>
      </c>
      <c r="D2607" s="2" t="str">
        <f t="shared" si="39"/>
        <v>Error?</v>
      </c>
    </row>
    <row r="2608" spans="1:4" x14ac:dyDescent="0.2">
      <c r="A2608" s="5">
        <v>2547</v>
      </c>
      <c r="B2608" s="137">
        <f>'Acct Summary 7-8'!G13</f>
        <v>177331</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315095</v>
      </c>
      <c r="C2612" s="2" t="s">
        <v>573</v>
      </c>
      <c r="D2612" s="2" t="str">
        <f t="shared" si="39"/>
        <v>Error?</v>
      </c>
    </row>
    <row r="2613" spans="1:4" x14ac:dyDescent="0.2">
      <c r="A2613" s="5">
        <v>2552</v>
      </c>
      <c r="B2613" s="137">
        <f>'Acct Summary 7-8'!G20</f>
        <v>17564</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935957</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935957</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1694426</v>
      </c>
      <c r="C2634" s="2" t="s">
        <v>573</v>
      </c>
      <c r="D2634" s="2" t="str">
        <f t="shared" si="40"/>
        <v>Error?</v>
      </c>
    </row>
    <row r="2635" spans="1:4" x14ac:dyDescent="0.2">
      <c r="A2635" s="5">
        <v>2574</v>
      </c>
      <c r="B2635" s="137">
        <f>'Acct Summary 7-8'!E17</f>
        <v>1694426</v>
      </c>
      <c r="C2635" s="2" t="s">
        <v>573</v>
      </c>
      <c r="D2635" s="2" t="str">
        <f t="shared" si="40"/>
        <v>Error?</v>
      </c>
    </row>
    <row r="2636" spans="1:4" x14ac:dyDescent="0.2">
      <c r="A2636" s="5">
        <v>2575</v>
      </c>
      <c r="B2636" s="137">
        <f>'Acct Summary 7-8'!E20</f>
        <v>-758469</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19034</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19034</v>
      </c>
      <c r="C2658" s="2" t="s">
        <v>573</v>
      </c>
      <c r="D2658" s="2" t="str">
        <f t="shared" si="40"/>
        <v>Error?</v>
      </c>
    </row>
    <row r="2659" spans="1:4" x14ac:dyDescent="0.2">
      <c r="A2659" s="5">
        <v>2598</v>
      </c>
      <c r="B2659" s="137">
        <f>'Acct Summary 7-8'!H13</f>
        <v>3083971</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3083971</v>
      </c>
      <c r="C2661" s="2" t="s">
        <v>573</v>
      </c>
      <c r="D2661" s="2" t="str">
        <f t="shared" si="40"/>
        <v>Error?</v>
      </c>
    </row>
    <row r="2662" spans="1:4" x14ac:dyDescent="0.2">
      <c r="A2662" s="5">
        <v>2601</v>
      </c>
      <c r="B2662" s="137">
        <f>'Acct Summary 7-8'!H20</f>
        <v>-3064937</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131892</v>
      </c>
      <c r="D2718" s="2" t="str">
        <f t="shared" si="41"/>
        <v>Error?</v>
      </c>
    </row>
    <row r="2719" spans="1:4" x14ac:dyDescent="0.2">
      <c r="A2719" s="5">
        <v>2658</v>
      </c>
      <c r="B2719" s="137">
        <f>'Expenditures 15-22'!D51</f>
        <v>28106</v>
      </c>
      <c r="D2719" s="2" t="str">
        <f t="shared" si="41"/>
        <v>Error?</v>
      </c>
    </row>
    <row r="2720" spans="1:4" x14ac:dyDescent="0.2">
      <c r="A2720" s="5">
        <v>2659</v>
      </c>
      <c r="B2720" s="137">
        <f>'Expenditures 15-22'!E51</f>
        <v>1625</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161623</v>
      </c>
      <c r="C2724" s="2" t="s">
        <v>573</v>
      </c>
      <c r="D2724" s="2" t="str">
        <f t="shared" si="41"/>
        <v>Error?</v>
      </c>
    </row>
    <row r="2725" spans="1:4" x14ac:dyDescent="0.2">
      <c r="A2725" s="5">
        <v>2664</v>
      </c>
      <c r="B2725" s="137">
        <f>'Expenditures 15-22'!D247</f>
        <v>3869</v>
      </c>
      <c r="D2725" s="2" t="str">
        <f t="shared" si="41"/>
        <v>Error?</v>
      </c>
    </row>
    <row r="2726" spans="1:4" x14ac:dyDescent="0.2">
      <c r="A2726" s="5">
        <v>2665</v>
      </c>
      <c r="B2726" s="137">
        <f>'Expenditures 15-22'!K247</f>
        <v>3869</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2897899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16767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2897899</v>
      </c>
      <c r="D2912" s="2" t="str">
        <f t="shared" si="44"/>
        <v>Error?</v>
      </c>
    </row>
    <row r="2913" spans="1:4" x14ac:dyDescent="0.2">
      <c r="A2913" s="5">
        <v>2852</v>
      </c>
      <c r="B2913" s="137">
        <f>'Assets-Liab 5-6'!I41</f>
        <v>2897899</v>
      </c>
      <c r="C2913" s="2" t="s">
        <v>573</v>
      </c>
      <c r="D2913" s="2" t="str">
        <f t="shared" si="44"/>
        <v>Error?</v>
      </c>
    </row>
    <row r="2914" spans="1:4" x14ac:dyDescent="0.2">
      <c r="A2914" s="5">
        <v>2853</v>
      </c>
      <c r="B2914" s="137">
        <f>'Assets-Liab 5-6'!L33</f>
        <v>16767</v>
      </c>
      <c r="D2914" s="2" t="str">
        <f t="shared" si="44"/>
        <v>Error?</v>
      </c>
    </row>
    <row r="2915" spans="1:4" x14ac:dyDescent="0.2">
      <c r="A2915" s="10">
        <v>2854</v>
      </c>
      <c r="D2915" s="2" t="str">
        <f t="shared" si="44"/>
        <v>OK</v>
      </c>
    </row>
    <row r="2916" spans="1:4" x14ac:dyDescent="0.2">
      <c r="A2916" s="5">
        <v>2855</v>
      </c>
      <c r="B2916" s="137">
        <f>'Assets-Liab 5-6'!L34</f>
        <v>16767</v>
      </c>
      <c r="C2916" s="2" t="s">
        <v>573</v>
      </c>
      <c r="D2916" s="2" t="str">
        <f t="shared" si="44"/>
        <v>Error?</v>
      </c>
    </row>
    <row r="2917" spans="1:4" x14ac:dyDescent="0.2">
      <c r="A2917" s="5">
        <v>2856</v>
      </c>
      <c r="B2917" s="137">
        <f>'Assets-Liab 5-6'!L41</f>
        <v>16767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74693</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74693</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61738</v>
      </c>
      <c r="D3055" s="2" t="str">
        <f t="shared" si="46"/>
        <v>Error?</v>
      </c>
    </row>
    <row r="3056" spans="1:4" x14ac:dyDescent="0.2">
      <c r="A3056" s="5">
        <v>2995</v>
      </c>
      <c r="B3056" s="137">
        <f>'Expenditures 15-22'!D10</f>
        <v>22337</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6756</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90831</v>
      </c>
      <c r="C3062" s="2" t="s">
        <v>573</v>
      </c>
      <c r="D3062" s="2" t="str">
        <f t="shared" si="46"/>
        <v>Error?</v>
      </c>
    </row>
    <row r="3063" spans="1:4" x14ac:dyDescent="0.2">
      <c r="A3063" s="10">
        <v>3002</v>
      </c>
      <c r="D3063" s="2" t="str">
        <f t="shared" si="46"/>
        <v>OK</v>
      </c>
    </row>
    <row r="3064" spans="1:4" x14ac:dyDescent="0.2">
      <c r="A3064" s="5">
        <v>3003</v>
      </c>
      <c r="B3064" s="137">
        <f>'Expenditures 15-22'!D219</f>
        <v>2533</v>
      </c>
      <c r="D3064" s="2" t="str">
        <f t="shared" si="46"/>
        <v>Error?</v>
      </c>
    </row>
    <row r="3065" spans="1:4" x14ac:dyDescent="0.2">
      <c r="A3065" s="5">
        <v>3004</v>
      </c>
      <c r="B3065" s="137">
        <f>'Expenditures 15-22'!K219</f>
        <v>2533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69521</v>
      </c>
      <c r="C3225" s="2" t="s">
        <v>573</v>
      </c>
      <c r="D3225" s="2" t="str">
        <f t="shared" si="49"/>
        <v>Error?</v>
      </c>
    </row>
    <row r="3226" spans="1:4" x14ac:dyDescent="0.2">
      <c r="A3226" s="5">
        <v>3165</v>
      </c>
      <c r="B3226" s="137">
        <f>'Acct Summary 7-8'!I8</f>
        <v>69521</v>
      </c>
      <c r="C3226" s="2" t="s">
        <v>573</v>
      </c>
      <c r="D3226" s="2" t="str">
        <f t="shared" si="49"/>
        <v>Error?</v>
      </c>
    </row>
    <row r="3227" spans="1:4" x14ac:dyDescent="0.2">
      <c r="A3227" s="5">
        <v>3166</v>
      </c>
      <c r="B3227" s="137">
        <f>'Acct Summary 7-8'!I20</f>
        <v>69521</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584558</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198997</v>
      </c>
      <c r="D3236" s="2" t="str">
        <f t="shared" si="49"/>
        <v>Error?</v>
      </c>
    </row>
    <row r="3237" spans="1:4" x14ac:dyDescent="0.2">
      <c r="A3237" s="5">
        <v>3176</v>
      </c>
      <c r="B3237" s="137">
        <f>'Acct Summary 7-8'!D76</f>
        <v>198997</v>
      </c>
      <c r="C3237" s="2" t="s">
        <v>573</v>
      </c>
      <c r="D3237" s="2" t="str">
        <f t="shared" si="49"/>
        <v>Error?</v>
      </c>
    </row>
    <row r="3238" spans="1:4" x14ac:dyDescent="0.2">
      <c r="A3238" s="5">
        <v>3177</v>
      </c>
      <c r="B3238" s="137">
        <f>'Acct Summary 7-8'!D77</f>
        <v>-198997</v>
      </c>
      <c r="C3238" s="2" t="s">
        <v>573</v>
      </c>
      <c r="D3238" s="2" t="str">
        <f t="shared" si="49"/>
        <v>Error?</v>
      </c>
    </row>
    <row r="3239" spans="1:4" x14ac:dyDescent="0.2">
      <c r="A3239" s="5">
        <v>3178</v>
      </c>
      <c r="B3239" s="137">
        <f>'Acct Summary 7-8'!D78</f>
        <v>-254323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198997</v>
      </c>
      <c r="D3253" s="2" t="str">
        <f t="shared" si="49"/>
        <v>Error?</v>
      </c>
    </row>
    <row r="3254" spans="1:4" x14ac:dyDescent="0.2">
      <c r="A3254" s="5">
        <v>3193</v>
      </c>
      <c r="B3254" s="137">
        <f>'Acct Summary 7-8'!F76</f>
        <v>198997</v>
      </c>
      <c r="C3254" s="2" t="s">
        <v>573</v>
      </c>
      <c r="D3254" s="2" t="str">
        <f t="shared" si="49"/>
        <v>Error?</v>
      </c>
    </row>
    <row r="3255" spans="1:4" x14ac:dyDescent="0.2">
      <c r="A3255" s="5">
        <v>3194</v>
      </c>
      <c r="B3255" s="137">
        <f>'Acct Summary 7-8'!F77</f>
        <v>-198997</v>
      </c>
      <c r="C3255" s="2" t="s">
        <v>573</v>
      </c>
      <c r="D3255" s="2" t="str">
        <f t="shared" si="49"/>
        <v>Error?</v>
      </c>
    </row>
    <row r="3256" spans="1:4" x14ac:dyDescent="0.2">
      <c r="A3256" s="5">
        <v>3195</v>
      </c>
      <c r="B3256" s="137">
        <f>'Acct Summary 7-8'!F78</f>
        <v>-3905</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17564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-758469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397994</v>
      </c>
      <c r="D3295" s="2" t="str">
        <f t="shared" si="50"/>
        <v>Error?</v>
      </c>
    </row>
    <row r="3296" spans="1:4" x14ac:dyDescent="0.2">
      <c r="A3296" s="5">
        <v>3235</v>
      </c>
      <c r="B3296" s="137">
        <f>'Acct Summary 7-8'!H44</f>
        <v>397994</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397994</v>
      </c>
      <c r="C3299" s="2" t="s">
        <v>573</v>
      </c>
      <c r="D3299" s="2" t="str">
        <f t="shared" si="50"/>
        <v>Error?</v>
      </c>
    </row>
    <row r="3300" spans="1:4" x14ac:dyDescent="0.2">
      <c r="A3300" s="5">
        <v>3239</v>
      </c>
      <c r="B3300" s="137">
        <f>'Acct Summary 7-8'!H78</f>
        <v>-2666943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800000</v>
      </c>
      <c r="D3316" s="2" t="str">
        <f t="shared" si="50"/>
        <v>Error?</v>
      </c>
    </row>
    <row r="3317" spans="1:4" x14ac:dyDescent="0.2">
      <c r="A3317" s="5">
        <v>3256</v>
      </c>
      <c r="B3317" s="137">
        <f>'Acct Summary 7-8'!I44</f>
        <v>800000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800000</v>
      </c>
      <c r="C3319" s="2" t="s">
        <v>573</v>
      </c>
      <c r="D3319" s="2" t="str">
        <f t="shared" si="50"/>
        <v>Error?</v>
      </c>
    </row>
    <row r="3320" spans="1:4" x14ac:dyDescent="0.2">
      <c r="A3320" s="5">
        <v>3259</v>
      </c>
      <c r="B3320" s="137">
        <f>'Acct Summary 7-8'!I78</f>
        <v>869521</v>
      </c>
      <c r="C3320" s="2" t="s">
        <v>573</v>
      </c>
      <c r="D3320" s="2" t="str">
        <f t="shared" si="50"/>
        <v>Error?</v>
      </c>
    </row>
    <row r="3321" spans="1:4" x14ac:dyDescent="0.2">
      <c r="A3321" s="5">
        <v>3260</v>
      </c>
      <c r="B3321" s="137">
        <f>'Acct Summary 7-8'!I79</f>
        <v>2028378</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2897899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904013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160985</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56878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4521</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923</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1127320</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36307</v>
      </c>
      <c r="D3387" s="2" t="str">
        <f t="shared" si="51"/>
        <v>Error?</v>
      </c>
    </row>
    <row r="3388" spans="1:4" x14ac:dyDescent="0.2">
      <c r="A3388" s="5">
        <v>3327</v>
      </c>
      <c r="B3388" s="137">
        <f>'Expenditures 15-22'!D217</f>
        <v>80195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36307</v>
      </c>
      <c r="C3390" s="2" t="s">
        <v>573</v>
      </c>
      <c r="D3390" s="2" t="str">
        <f t="shared" si="51"/>
        <v>Error?</v>
      </c>
    </row>
    <row r="3391" spans="1:4" x14ac:dyDescent="0.2">
      <c r="A3391" s="5">
        <v>3330</v>
      </c>
      <c r="B3391" s="137">
        <f>'Expenditures 15-22'!K217</f>
        <v>80195</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6025160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725845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671030</v>
      </c>
      <c r="D3417" s="2" t="str">
        <f t="shared" si="52"/>
        <v>Error?</v>
      </c>
    </row>
    <row r="3418" spans="1:4" x14ac:dyDescent="0.2">
      <c r="A3418" s="10">
        <v>3357</v>
      </c>
      <c r="D3418" s="2" t="str">
        <f t="shared" si="52"/>
        <v>OK</v>
      </c>
    </row>
    <row r="3419" spans="1:4" x14ac:dyDescent="0.2">
      <c r="A3419" s="5">
        <v>3358</v>
      </c>
      <c r="B3419" s="137">
        <f>'Assets-Liab 5-6'!F4</f>
        <v>546823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251474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170069</v>
      </c>
      <c r="D3425" s="2" t="str">
        <f t="shared" si="52"/>
        <v>Error?</v>
      </c>
    </row>
    <row r="3426" spans="1:4" x14ac:dyDescent="0.2">
      <c r="A3426" s="10">
        <v>3365</v>
      </c>
      <c r="D3426" s="2" t="str">
        <f t="shared" si="52"/>
        <v>OK</v>
      </c>
    </row>
    <row r="3427" spans="1:4" x14ac:dyDescent="0.2">
      <c r="A3427" s="5">
        <v>3366</v>
      </c>
      <c r="B3427" s="137">
        <f>'Assets-Liab 5-6'!I4</f>
        <v>2897899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16767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170966</v>
      </c>
      <c r="C3446" s="2" t="s">
        <v>573</v>
      </c>
      <c r="D3446" s="2" t="str">
        <f t="shared" si="52"/>
        <v>Error?</v>
      </c>
    </row>
    <row r="3447" spans="1:4" x14ac:dyDescent="0.2">
      <c r="A3447" s="5">
        <v>3386</v>
      </c>
      <c r="B3447" s="137">
        <f>'Tax Sched 23'!D16</f>
        <v>74523</v>
      </c>
      <c r="C3447" s="2" t="s">
        <v>573</v>
      </c>
      <c r="D3447" s="2" t="str">
        <f t="shared" si="52"/>
        <v>Error?</v>
      </c>
    </row>
    <row r="3448" spans="1:4" x14ac:dyDescent="0.2">
      <c r="A3448" s="5">
        <v>3387</v>
      </c>
      <c r="B3448" s="137">
        <f>'Tax Sched 23'!C16</f>
        <v>96443</v>
      </c>
      <c r="D3448" s="2" t="str">
        <f t="shared" si="52"/>
        <v>Error?</v>
      </c>
    </row>
    <row r="3449" spans="1:4" x14ac:dyDescent="0.2">
      <c r="A3449" s="5">
        <v>3388</v>
      </c>
      <c r="B3449" s="137">
        <f>'Tax Sched 23'!F16</f>
        <v>89193</v>
      </c>
      <c r="C3449" s="2" t="s">
        <v>573</v>
      </c>
      <c r="D3449" s="2" t="str">
        <f t="shared" si="52"/>
        <v>Error?</v>
      </c>
    </row>
    <row r="3450" spans="1:4" x14ac:dyDescent="0.2">
      <c r="A3450" s="5">
        <v>3389</v>
      </c>
      <c r="B3450" s="137">
        <f>'Tax Sched 23'!E16</f>
        <v>185636</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43554</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43554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43554</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43554</v>
      </c>
      <c r="C3568" s="2" t="s">
        <v>573</v>
      </c>
      <c r="D3568" s="2" t="str">
        <f t="shared" si="54"/>
        <v>Error?</v>
      </c>
    </row>
    <row r="3569" spans="1:4" x14ac:dyDescent="0.2">
      <c r="A3569" s="5">
        <v>3508</v>
      </c>
      <c r="B3569" s="137">
        <f>'Acct Summary 7-8'!K4</f>
        <v>2182</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2182</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2182</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2182</v>
      </c>
      <c r="C3588" s="2" t="s">
        <v>573</v>
      </c>
      <c r="D3588" s="2" t="str">
        <f t="shared" si="55"/>
        <v>Error?</v>
      </c>
    </row>
    <row r="3589" spans="1:4" x14ac:dyDescent="0.2">
      <c r="A3589" s="5">
        <v>3528</v>
      </c>
      <c r="B3589" s="137">
        <f>'Acct Summary 7-8'!K79</f>
        <v>41372</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43554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2182</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1062</v>
      </c>
      <c r="C3725" s="2" t="s">
        <v>573</v>
      </c>
      <c r="D3725" s="2" t="str">
        <f t="shared" si="57"/>
        <v>Error?</v>
      </c>
    </row>
    <row r="3726" spans="1:4" x14ac:dyDescent="0.2">
      <c r="A3726" s="5">
        <v>3665</v>
      </c>
      <c r="B3726" s="137">
        <f>'Tax Sched 23'!D13</f>
        <v>1062</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1233</v>
      </c>
      <c r="C3728" s="2" t="s">
        <v>573</v>
      </c>
      <c r="D3728" s="2" t="str">
        <f t="shared" si="57"/>
        <v>Error?</v>
      </c>
    </row>
    <row r="3729" spans="1:4" x14ac:dyDescent="0.2">
      <c r="A3729" s="5">
        <v>3668</v>
      </c>
      <c r="B3729" s="137">
        <f>'Tax Sched 23'!E13</f>
        <v>1233</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1882495</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10149409</v>
      </c>
      <c r="C4122" s="2" t="s">
        <v>573</v>
      </c>
      <c r="D4122" s="2" t="str">
        <f t="shared" si="63"/>
        <v>Error?</v>
      </c>
    </row>
    <row r="4123" spans="1:4" x14ac:dyDescent="0.2">
      <c r="A4123" s="5">
        <v>4062</v>
      </c>
      <c r="B4123" s="137">
        <f>'Acct Summary 7-8'!D10</f>
        <v>817263</v>
      </c>
      <c r="C4123" s="2" t="s">
        <v>573</v>
      </c>
      <c r="D4123" s="2" t="str">
        <f t="shared" si="63"/>
        <v>Error?</v>
      </c>
    </row>
    <row r="4124" spans="1:4" x14ac:dyDescent="0.2">
      <c r="A4124" s="5">
        <v>4063</v>
      </c>
      <c r="B4124" s="137">
        <f>'Acct Summary 7-8'!E10</f>
        <v>935957</v>
      </c>
      <c r="C4124" s="2" t="s">
        <v>573</v>
      </c>
      <c r="D4124" s="2" t="str">
        <f t="shared" si="63"/>
        <v>Error?</v>
      </c>
    </row>
    <row r="4125" spans="1:4" x14ac:dyDescent="0.2">
      <c r="A4125" s="5">
        <v>4064</v>
      </c>
      <c r="B4125" s="137">
        <f>'Acct Summary 7-8'!F10</f>
        <v>479211</v>
      </c>
      <c r="C4125" s="2" t="s">
        <v>573</v>
      </c>
      <c r="D4125" s="2" t="str">
        <f t="shared" si="63"/>
        <v>Error?</v>
      </c>
    </row>
    <row r="4126" spans="1:4" x14ac:dyDescent="0.2">
      <c r="A4126" s="5">
        <v>4065</v>
      </c>
      <c r="B4126" s="137">
        <f>'Acct Summary 7-8'!G10</f>
        <v>332659</v>
      </c>
      <c r="C4126" s="2" t="s">
        <v>573</v>
      </c>
      <c r="D4126" s="2" t="str">
        <f t="shared" si="63"/>
        <v>Error?</v>
      </c>
    </row>
    <row r="4127" spans="1:4" x14ac:dyDescent="0.2">
      <c r="A4127" s="5">
        <v>4066</v>
      </c>
      <c r="B4127" s="137">
        <f>'Acct Summary 7-8'!H10</f>
        <v>19034</v>
      </c>
      <c r="C4127" s="2" t="s">
        <v>573</v>
      </c>
      <c r="D4127" s="2" t="str">
        <f t="shared" si="63"/>
        <v>Error?</v>
      </c>
    </row>
    <row r="4128" spans="1:4" x14ac:dyDescent="0.2">
      <c r="A4128" s="5">
        <v>4067</v>
      </c>
      <c r="B4128" s="137">
        <f>'Acct Summary 7-8'!I10</f>
        <v>69521</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2182</v>
      </c>
      <c r="C4130" s="2" t="s">
        <v>573</v>
      </c>
      <c r="D4130" s="2" t="str">
        <f t="shared" si="63"/>
        <v>Error?</v>
      </c>
    </row>
    <row r="4131" spans="1:4" x14ac:dyDescent="0.2">
      <c r="A4131" s="5">
        <v>4070</v>
      </c>
      <c r="B4131" s="137">
        <f>'Acct Summary 7-8'!C18</f>
        <v>1882495</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9564851</v>
      </c>
      <c r="C4136" s="2" t="s">
        <v>573</v>
      </c>
      <c r="D4136" s="2" t="str">
        <f t="shared" si="63"/>
        <v>Error?</v>
      </c>
    </row>
    <row r="4137" spans="1:4" x14ac:dyDescent="0.2">
      <c r="A4137" s="5">
        <v>4076</v>
      </c>
      <c r="B4137" s="137">
        <f>'Acct Summary 7-8'!D19</f>
        <v>872589</v>
      </c>
      <c r="C4137" s="2" t="s">
        <v>573</v>
      </c>
      <c r="D4137" s="2" t="str">
        <f t="shared" si="63"/>
        <v>Error?</v>
      </c>
    </row>
    <row r="4138" spans="1:4" x14ac:dyDescent="0.2">
      <c r="A4138" s="5">
        <v>4077</v>
      </c>
      <c r="B4138" s="137">
        <f>'Acct Summary 7-8'!E19</f>
        <v>1694426</v>
      </c>
      <c r="C4138" s="2" t="s">
        <v>573</v>
      </c>
      <c r="D4138" s="2" t="str">
        <f t="shared" si="63"/>
        <v>Error?</v>
      </c>
    </row>
    <row r="4139" spans="1:4" x14ac:dyDescent="0.2">
      <c r="A4139" s="5">
        <v>4078</v>
      </c>
      <c r="B4139" s="137">
        <f>'Acct Summary 7-8'!F19</f>
        <v>284119</v>
      </c>
      <c r="C4139" s="2" t="s">
        <v>573</v>
      </c>
      <c r="D4139" s="2" t="str">
        <f t="shared" si="63"/>
        <v>Error?</v>
      </c>
    </row>
    <row r="4140" spans="1:4" x14ac:dyDescent="0.2">
      <c r="A4140" s="5">
        <v>4079</v>
      </c>
      <c r="B4140" s="137">
        <f>'Acct Summary 7-8'!G19</f>
        <v>315095</v>
      </c>
      <c r="C4140" s="2" t="s">
        <v>573</v>
      </c>
      <c r="D4140" s="2" t="str">
        <f t="shared" si="63"/>
        <v>Error?</v>
      </c>
    </row>
    <row r="4141" spans="1:4" x14ac:dyDescent="0.2">
      <c r="A4141" s="5">
        <v>4080</v>
      </c>
      <c r="B4141" s="137">
        <f>'Acct Summary 7-8'!H19</f>
        <v>3083971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2575000</v>
      </c>
      <c r="C4171" s="2" t="s">
        <v>573</v>
      </c>
      <c r="D4171" s="2" t="str">
        <f t="shared" si="64"/>
        <v>Error?</v>
      </c>
    </row>
    <row r="4172" spans="1:4" x14ac:dyDescent="0.2">
      <c r="A4172" s="5">
        <v>4111</v>
      </c>
      <c r="B4172" s="137">
        <f>'Short-Term Long-Term Debt 24'!J49</f>
        <v>840000</v>
      </c>
      <c r="C4172" s="2" t="s">
        <v>573</v>
      </c>
      <c r="D4172" s="2" t="str">
        <f t="shared" si="64"/>
        <v>Error?</v>
      </c>
    </row>
    <row r="4173" spans="1:4" x14ac:dyDescent="0.2">
      <c r="A4173" s="5">
        <v>4112</v>
      </c>
      <c r="B4173" s="137">
        <f>'Short-Term Long-Term Debt 24'!H49</f>
        <v>825000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219.40000000000003</v>
      </c>
      <c r="C4265" s="2" t="s">
        <v>573</v>
      </c>
      <c r="D4265" s="2" t="str">
        <f t="shared" si="65"/>
        <v>Error?</v>
      </c>
      <c r="E4265" s="127"/>
    </row>
    <row r="4266" spans="1:5" x14ac:dyDescent="0.2">
      <c r="A4266" s="12">
        <v>4205</v>
      </c>
      <c r="B4266" s="137">
        <f>('FP Info 3'!F10)*100000</f>
        <v>237.3</v>
      </c>
      <c r="C4266" s="2" t="s">
        <v>573</v>
      </c>
      <c r="D4266" s="2" t="str">
        <f t="shared" si="65"/>
        <v>Error?</v>
      </c>
      <c r="E4266" s="127"/>
    </row>
    <row r="4267" spans="1:5" x14ac:dyDescent="0.2">
      <c r="A4267" s="12">
        <v>4206</v>
      </c>
      <c r="B4267" s="137">
        <f>('FP Info 3'!H10)*100000</f>
        <v>100.89999999999999</v>
      </c>
      <c r="C4267" s="2" t="s">
        <v>573</v>
      </c>
      <c r="D4267" s="2" t="str">
        <f t="shared" si="65"/>
        <v>Error?</v>
      </c>
      <c r="E4267" s="127"/>
    </row>
    <row r="4268" spans="1:5" x14ac:dyDescent="0.2">
      <c r="A4268" s="12">
        <v>4207</v>
      </c>
      <c r="B4268" s="137">
        <f>('FP Info 3'!J10)*100000</f>
        <v>558</v>
      </c>
      <c r="C4268" s="2" t="s">
        <v>573</v>
      </c>
      <c r="D4268" s="2" t="str">
        <f t="shared" si="65"/>
        <v>Error?</v>
      </c>
    </row>
    <row r="4269" spans="1:5" x14ac:dyDescent="0.2">
      <c r="A4269" s="12">
        <v>4208</v>
      </c>
      <c r="B4269" s="137">
        <f>'FP Info 3'!J16</f>
        <v>10294652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3159</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3893</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18430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308366909</v>
      </c>
      <c r="D4995" s="2" t="str">
        <f t="shared" si="77"/>
        <v>Error?</v>
      </c>
    </row>
    <row r="4996" spans="1:4" x14ac:dyDescent="0.2">
      <c r="A4996" s="12">
        <v>4935</v>
      </c>
      <c r="B4996" s="137">
        <f>'FP Info 3'!H31</f>
        <v>21277316.721000001</v>
      </c>
      <c r="D4996" s="2" t="str">
        <f t="shared" si="77"/>
        <v>Error?</v>
      </c>
    </row>
    <row r="4997" spans="1:4" x14ac:dyDescent="0.2">
      <c r="A4997" s="12">
        <v>4936</v>
      </c>
      <c r="B4997" s="137">
        <f>'FP Info 3'!H37</f>
        <v>2575000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1062</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6290795</v>
      </c>
      <c r="D5061" s="2" t="str">
        <f t="shared" si="78"/>
        <v>Error?</v>
      </c>
    </row>
    <row r="5062" spans="1:4" x14ac:dyDescent="0.2">
      <c r="A5062" s="10">
        <v>5001</v>
      </c>
      <c r="D5062" s="2" t="str">
        <f t="shared" si="78"/>
        <v>OK</v>
      </c>
    </row>
    <row r="5063" spans="1:4" x14ac:dyDescent="0.2">
      <c r="A5063" s="5">
        <v>5002</v>
      </c>
      <c r="B5063" s="137">
        <f>'Revenues 9-14'!C7</f>
        <v>206980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6498837</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99409</v>
      </c>
      <c r="D5069" s="2" t="str">
        <f t="shared" si="78"/>
        <v>Error?</v>
      </c>
    </row>
    <row r="5070" spans="1:4" x14ac:dyDescent="0.2">
      <c r="A5070" s="5">
        <v>5009</v>
      </c>
      <c r="B5070" s="137">
        <f>'Revenues 9-14'!C17</f>
        <v>0</v>
      </c>
      <c r="D5070" s="2" t="str">
        <f t="shared" si="78"/>
        <v>Error?</v>
      </c>
    </row>
    <row r="5071" spans="1:4" x14ac:dyDescent="0.2">
      <c r="A5071" s="5">
        <v>5010</v>
      </c>
      <c r="B5071" s="137">
        <f>'Revenues 9-14'!C18</f>
        <v>99409</v>
      </c>
      <c r="C5071" s="2" t="s">
        <v>573</v>
      </c>
      <c r="D5071" s="2" t="str">
        <f t="shared" si="78"/>
        <v>Error?</v>
      </c>
    </row>
    <row r="5072" spans="1:4" x14ac:dyDescent="0.2">
      <c r="A5072" s="5">
        <v>5011</v>
      </c>
      <c r="B5072" s="137">
        <f>'Revenues 9-14'!C20</f>
        <v>84884</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84884</v>
      </c>
      <c r="C5087" s="2" t="s">
        <v>573</v>
      </c>
      <c r="D5087" s="2" t="str">
        <f t="shared" si="78"/>
        <v>Error?</v>
      </c>
    </row>
    <row r="5088" spans="1:4" x14ac:dyDescent="0.2">
      <c r="A5088" s="5">
        <v>5027</v>
      </c>
      <c r="B5088" s="137">
        <f>'Revenues 9-14'!C65</f>
        <v>178909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178909</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12369</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12369</v>
      </c>
      <c r="C5096" s="2" t="s">
        <v>573</v>
      </c>
      <c r="D5096" s="2" t="str">
        <f t="shared" si="78"/>
        <v>Error?</v>
      </c>
    </row>
    <row r="5097" spans="1:4" x14ac:dyDescent="0.2">
      <c r="A5097" s="5">
        <v>5036</v>
      </c>
      <c r="B5097" s="137">
        <f>'Revenues 9-14'!C77</f>
        <v>10530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197296</v>
      </c>
      <c r="D5099" s="2" t="str">
        <f t="shared" si="78"/>
        <v>Error?</v>
      </c>
    </row>
    <row r="5100" spans="1:4" x14ac:dyDescent="0.2">
      <c r="A5100" s="5">
        <v>5039</v>
      </c>
      <c r="B5100" s="137">
        <f>'Revenues 9-14'!C80</f>
        <v>0</v>
      </c>
      <c r="D5100" s="2" t="str">
        <f t="shared" si="78"/>
        <v>Error?</v>
      </c>
    </row>
    <row r="5101" spans="1:4" x14ac:dyDescent="0.2">
      <c r="A5101" s="5">
        <v>5040</v>
      </c>
      <c r="B5101" s="137">
        <f>'Revenues 9-14'!C81</f>
        <v>8016</v>
      </c>
      <c r="D5101" s="2" t="str">
        <f t="shared" si="78"/>
        <v>Error?</v>
      </c>
    </row>
    <row r="5102" spans="1:4" x14ac:dyDescent="0.2">
      <c r="A5102" s="5">
        <v>5041</v>
      </c>
      <c r="B5102" s="137">
        <f>'Revenues 9-14'!C82</f>
        <v>215842</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3978</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9115</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13093</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71015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71840</v>
      </c>
      <c r="D5119" s="2" t="str">
        <f t="shared" ref="D5119:D5182" si="79">IF(ISBLANK(B5119),"OK",IF(A5119-B5119=0,"OK","Error?"))</f>
        <v>Error?</v>
      </c>
    </row>
    <row r="5120" spans="1:4" x14ac:dyDescent="0.2">
      <c r="A5120" s="5">
        <v>5059</v>
      </c>
      <c r="B5120" s="137">
        <f>'Revenues 9-14'!C108</f>
        <v>142855</v>
      </c>
      <c r="C5120" s="2" t="s">
        <v>573</v>
      </c>
      <c r="D5120" s="2" t="str">
        <f t="shared" si="79"/>
        <v>Error?</v>
      </c>
    </row>
    <row r="5121" spans="1:4" x14ac:dyDescent="0.2">
      <c r="A5121" s="5">
        <v>5060</v>
      </c>
      <c r="B5121" s="137">
        <f>'Revenues 9-14'!C109</f>
        <v>7246198</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508563</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508563</v>
      </c>
      <c r="C5132" s="2" t="s">
        <v>573</v>
      </c>
      <c r="D5132" s="2" t="str">
        <f t="shared" si="79"/>
        <v>Error?</v>
      </c>
    </row>
    <row r="5133" spans="1:4" x14ac:dyDescent="0.2">
      <c r="A5133" s="5">
        <v>5072</v>
      </c>
      <c r="B5133" s="137">
        <f>'Revenues 9-14'!C125</f>
        <v>144554</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144554</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144554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653117</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11736</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11736</v>
      </c>
      <c r="C5246" s="2" t="s">
        <v>573</v>
      </c>
      <c r="D5246" s="2" t="str">
        <f t="shared" si="80"/>
        <v>Error?</v>
      </c>
    </row>
    <row r="5247" spans="1:4" x14ac:dyDescent="0.2">
      <c r="A5247" s="5">
        <v>5186</v>
      </c>
      <c r="B5247" s="137">
        <f>'Revenues 9-14'!C200</f>
        <v>72005</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3893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72005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20107</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229517</v>
      </c>
      <c r="D5278" s="2" t="str">
        <f t="shared" si="81"/>
        <v>Error?</v>
      </c>
    </row>
    <row r="5279" spans="1:4" x14ac:dyDescent="0.2">
      <c r="A5279" s="5">
        <v>5218</v>
      </c>
      <c r="B5279" s="137">
        <f>'Revenues 9-14'!C214</f>
        <v>8752</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258376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367599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367599</v>
      </c>
      <c r="C5326" s="2" t="s">
        <v>573</v>
      </c>
      <c r="D5326" s="2" t="str">
        <f t="shared" si="82"/>
        <v>Error?</v>
      </c>
    </row>
    <row r="5327" spans="1:5" x14ac:dyDescent="0.2">
      <c r="A5327" s="5">
        <v>5266</v>
      </c>
      <c r="B5327" s="137">
        <f>'Revenues 9-14'!C268</f>
        <v>8266914</v>
      </c>
      <c r="C5327" s="2" t="s">
        <v>573</v>
      </c>
      <c r="D5327" s="2" t="str">
        <f t="shared" si="82"/>
        <v>Error?</v>
      </c>
    </row>
    <row r="5328" spans="1:5" x14ac:dyDescent="0.2">
      <c r="A5328" s="5">
        <v>5267</v>
      </c>
      <c r="B5328" s="137">
        <f>'Revenues 9-14'!D5</f>
        <v>698043</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698043</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27995</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27995</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16225</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16225</v>
      </c>
      <c r="C5355" s="2" t="s">
        <v>573</v>
      </c>
      <c r="D5355" s="2" t="str">
        <f t="shared" si="82"/>
        <v>Error?</v>
      </c>
    </row>
    <row r="5356" spans="1:4" x14ac:dyDescent="0.2">
      <c r="A5356" s="5">
        <v>5295</v>
      </c>
      <c r="B5356" s="137">
        <f>'Revenues 9-14'!D109</f>
        <v>742263</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75000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75000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75000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817263</v>
      </c>
      <c r="C5508" s="2" t="s">
        <v>573</v>
      </c>
      <c r="D5508" s="2" t="str">
        <f t="shared" si="85"/>
        <v>Error?</v>
      </c>
    </row>
    <row r="5509" spans="1:4" x14ac:dyDescent="0.2">
      <c r="A5509" s="5">
        <v>5448</v>
      </c>
      <c r="B5509" s="137">
        <f>'Revenues 9-14'!E5</f>
        <v>908023</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908023</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27934</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27934</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935957</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935957</v>
      </c>
      <c r="C5552" s="2" t="s">
        <v>573</v>
      </c>
      <c r="D5552" s="2" t="str">
        <f t="shared" si="85"/>
        <v>Error?</v>
      </c>
    </row>
    <row r="5553" spans="1:4" x14ac:dyDescent="0.2">
      <c r="A5553" s="5">
        <v>5492</v>
      </c>
      <c r="B5553" s="137">
        <f>'Revenues 9-14'!F5</f>
        <v>301802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301802</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2101</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14498</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16599</v>
      </c>
      <c r="C5579" s="2" t="s">
        <v>573</v>
      </c>
      <c r="D5579" s="2" t="str">
        <f t="shared" si="86"/>
        <v>Error?</v>
      </c>
    </row>
    <row r="5580" spans="1:4" x14ac:dyDescent="0.2">
      <c r="A5580" s="5">
        <v>5519</v>
      </c>
      <c r="B5580" s="137">
        <f>'Revenues 9-14'!F65</f>
        <v>15929</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15929</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334330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4889</v>
      </c>
      <c r="D5615" s="2" t="str">
        <f t="shared" si="86"/>
        <v>Error?</v>
      </c>
    </row>
    <row r="5616" spans="1:4" x14ac:dyDescent="0.2">
      <c r="A5616" s="10">
        <v>5555</v>
      </c>
      <c r="D5616" s="2" t="str">
        <f t="shared" si="86"/>
        <v>OK</v>
      </c>
    </row>
    <row r="5617" spans="1:5" x14ac:dyDescent="0.2">
      <c r="A5617" s="5">
        <v>5556</v>
      </c>
      <c r="B5617" s="137">
        <f>'Revenues 9-14'!F153</f>
        <v>139992</v>
      </c>
      <c r="D5617" s="2" t="str">
        <f t="shared" si="86"/>
        <v>Error?</v>
      </c>
    </row>
    <row r="5618" spans="1:5" x14ac:dyDescent="0.2">
      <c r="A5618" s="5">
        <v>5557</v>
      </c>
      <c r="B5618" s="137">
        <f>'Revenues 9-14'!F155</f>
        <v>144881</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144881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144881</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479211</v>
      </c>
      <c r="C5720" s="2" t="s">
        <v>573</v>
      </c>
      <c r="D5720" s="2" t="str">
        <f t="shared" si="88"/>
        <v>Error?</v>
      </c>
    </row>
    <row r="5721" spans="1:4" x14ac:dyDescent="0.2">
      <c r="A5721" s="5">
        <v>5660</v>
      </c>
      <c r="B5721" s="137">
        <f>'Revenues 9-14'!G5</f>
        <v>152098</v>
      </c>
      <c r="D5721" s="2" t="str">
        <f t="shared" si="88"/>
        <v>Error?</v>
      </c>
    </row>
    <row r="5722" spans="1:4" x14ac:dyDescent="0.2">
      <c r="A5722" s="5">
        <v>5661</v>
      </c>
      <c r="B5722" s="137">
        <f>'Revenues 9-14'!G7</f>
        <v>0</v>
      </c>
      <c r="D5722" s="2" t="str">
        <f t="shared" si="88"/>
        <v>Error?</v>
      </c>
    </row>
    <row r="5723" spans="1:4" x14ac:dyDescent="0.2">
      <c r="A5723" s="5">
        <v>5662</v>
      </c>
      <c r="B5723" s="137">
        <f>'Revenues 9-14'!G8</f>
        <v>170966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323064</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2000</v>
      </c>
      <c r="C5730" s="2" t="s">
        <v>573</v>
      </c>
      <c r="D5730" s="2" t="str">
        <f t="shared" si="88"/>
        <v>Error?</v>
      </c>
    </row>
    <row r="5731" spans="1:4" x14ac:dyDescent="0.2">
      <c r="A5731" s="5">
        <v>5670</v>
      </c>
      <c r="B5731" s="137">
        <f>'Revenues 9-14'!G65</f>
        <v>7595</v>
      </c>
      <c r="D5731" s="2" t="str">
        <f t="shared" si="88"/>
        <v>Error?</v>
      </c>
    </row>
    <row r="5732" spans="1:4" x14ac:dyDescent="0.2">
      <c r="A5732" s="5">
        <v>5671</v>
      </c>
      <c r="B5732" s="137">
        <f>'Revenues 9-14'!G66</f>
        <v>0</v>
      </c>
      <c r="D5732" s="2" t="str">
        <f t="shared" si="88"/>
        <v>Error?</v>
      </c>
    </row>
    <row r="5733" spans="1:4" x14ac:dyDescent="0.2">
      <c r="A5733" s="5">
        <v>5672</v>
      </c>
      <c r="B5733" s="137">
        <f>'Revenues 9-14'!G67</f>
        <v>7595</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332659</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18689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18689</v>
      </c>
      <c r="C5881" s="2" t="s">
        <v>573</v>
      </c>
      <c r="D5881" s="2" t="str">
        <f t="shared" si="90"/>
        <v>Error?</v>
      </c>
    </row>
    <row r="5882" spans="1:4" x14ac:dyDescent="0.2">
      <c r="A5882" s="5">
        <v>5821</v>
      </c>
      <c r="B5882" s="137">
        <f>'Revenues 9-14'!H96</f>
        <v>345</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345</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19034</v>
      </c>
      <c r="C5915" s="2" t="s">
        <v>573</v>
      </c>
      <c r="D5915" s="2" t="str">
        <f t="shared" si="91"/>
        <v>Error?</v>
      </c>
    </row>
    <row r="5916" spans="1:4" x14ac:dyDescent="0.2">
      <c r="A5916" s="5">
        <v>5855</v>
      </c>
      <c r="B5916" s="137">
        <f>'Revenues 9-14'!I5</f>
        <v>1062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1062</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68459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68459</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69521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1062</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1062</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1120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1120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2182</v>
      </c>
      <c r="C6023" s="2" t="s">
        <v>573</v>
      </c>
      <c r="D6023" s="2" t="str">
        <f t="shared" si="93"/>
        <v>Error?</v>
      </c>
    </row>
    <row r="6024" spans="1:5" x14ac:dyDescent="0.2">
      <c r="A6024" s="5">
        <v>5963</v>
      </c>
      <c r="B6024" s="137">
        <f>'Revenues 9-14'!G109</f>
        <v>332659</v>
      </c>
      <c r="C6024" s="2" t="s">
        <v>573</v>
      </c>
      <c r="D6024" s="2" t="str">
        <f t="shared" si="93"/>
        <v>Error?</v>
      </c>
    </row>
    <row r="6025" spans="1:5" x14ac:dyDescent="0.2">
      <c r="A6025" s="5">
        <v>5964</v>
      </c>
      <c r="B6025" s="137">
        <f>'Revenues 9-14'!H109</f>
        <v>19034</v>
      </c>
      <c r="C6025" s="2" t="s">
        <v>573</v>
      </c>
      <c r="D6025" s="2" t="str">
        <f t="shared" si="93"/>
        <v>Error?</v>
      </c>
    </row>
    <row r="6026" spans="1:5" x14ac:dyDescent="0.2">
      <c r="A6026" s="5">
        <v>5965</v>
      </c>
      <c r="B6026" s="137">
        <f>'Revenues 9-14'!I109</f>
        <v>69521</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2182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638</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800000</v>
      </c>
      <c r="D6077" s="2" t="str">
        <f t="shared" si="93"/>
        <v>Error?</v>
      </c>
      <c r="E6077" s="2" t="s">
        <v>930</v>
      </c>
    </row>
    <row r="6078" spans="1:5" x14ac:dyDescent="0.2">
      <c r="A6078">
        <v>6017</v>
      </c>
      <c r="B6078" s="137">
        <f>'Short-Term Long-Term Debt 24'!E27</f>
        <v>800000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2043</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84395</v>
      </c>
      <c r="D6099" s="2" t="str">
        <f t="shared" si="94"/>
        <v>Error?</v>
      </c>
      <c r="E6099" s="2" t="s">
        <v>190</v>
      </c>
    </row>
    <row r="6100" spans="1:5" x14ac:dyDescent="0.2">
      <c r="A6100">
        <v>6039</v>
      </c>
      <c r="B6100" s="137">
        <f>'Assets-Liab 5-6'!D9</f>
        <v>28837</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4446</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2043</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4446</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4446</v>
      </c>
      <c r="D6216" s="2" t="str">
        <f t="shared" si="96"/>
        <v>Error?</v>
      </c>
      <c r="E6216" s="2" t="s">
        <v>190</v>
      </c>
    </row>
    <row r="6217" spans="1:5" x14ac:dyDescent="0.2">
      <c r="A6217">
        <v>6156</v>
      </c>
      <c r="B6217" s="137">
        <f>'Assets-Liab 5-6'!J4</f>
        <v>4446</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116</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116</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116</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116</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116</v>
      </c>
      <c r="D6263" s="2" t="str">
        <f t="shared" si="96"/>
        <v>Error?</v>
      </c>
      <c r="E6263" s="2" t="s">
        <v>190</v>
      </c>
    </row>
    <row r="6264" spans="1:5" x14ac:dyDescent="0.2">
      <c r="A6264">
        <v>6203</v>
      </c>
      <c r="B6264" s="137">
        <f>'Acct Summary 7-8'!J79</f>
        <v>4330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4446</v>
      </c>
      <c r="D6266" s="2" t="str">
        <f t="shared" si="96"/>
        <v>Error?</v>
      </c>
      <c r="E6266" s="2" t="s">
        <v>190</v>
      </c>
    </row>
    <row r="6267" spans="1:5" x14ac:dyDescent="0.2">
      <c r="A6267">
        <v>6206</v>
      </c>
      <c r="B6267" s="137">
        <f>'Acct Summary 7-8'!C82</f>
        <v>584558</v>
      </c>
      <c r="D6267" s="2" t="str">
        <f t="shared" si="96"/>
        <v>Error?</v>
      </c>
      <c r="E6267" s="2" t="s">
        <v>190</v>
      </c>
    </row>
    <row r="6268" spans="1:5" x14ac:dyDescent="0.2">
      <c r="A6268">
        <v>6207</v>
      </c>
      <c r="B6268" s="137">
        <f>'Acct Summary 7-8'!D82</f>
        <v>-254323</v>
      </c>
      <c r="D6268" s="2" t="str">
        <f t="shared" si="96"/>
        <v>Error?</v>
      </c>
      <c r="E6268" s="2" t="s">
        <v>190</v>
      </c>
    </row>
    <row r="6269" spans="1:5" x14ac:dyDescent="0.2">
      <c r="A6269">
        <v>6208</v>
      </c>
      <c r="B6269" s="137">
        <f>'Acct Summary 7-8'!E82</f>
        <v>-758469</v>
      </c>
      <c r="D6269" s="2" t="str">
        <f t="shared" si="96"/>
        <v>Error?</v>
      </c>
      <c r="E6269" s="2" t="s">
        <v>190</v>
      </c>
    </row>
    <row r="6270" spans="1:5" x14ac:dyDescent="0.2">
      <c r="A6270">
        <v>6209</v>
      </c>
      <c r="B6270" s="137">
        <f>'Acct Summary 7-8'!F82</f>
        <v>-3905</v>
      </c>
      <c r="D6270" s="2" t="str">
        <f t="shared" si="96"/>
        <v>Error?</v>
      </c>
      <c r="E6270" s="2" t="s">
        <v>190</v>
      </c>
    </row>
    <row r="6271" spans="1:5" x14ac:dyDescent="0.2">
      <c r="A6271">
        <v>6210</v>
      </c>
      <c r="B6271" s="137">
        <f>'Acct Summary 7-8'!G82</f>
        <v>17564</v>
      </c>
      <c r="D6271" s="2" t="str">
        <f t="shared" ref="D6271:D6334" si="97">IF(ISBLANK(B6271),"OK",IF(A6271-B6271=0,"OK","Error?"))</f>
        <v>Error?</v>
      </c>
      <c r="E6271" s="2" t="s">
        <v>190</v>
      </c>
    </row>
    <row r="6272" spans="1:5" x14ac:dyDescent="0.2">
      <c r="A6272">
        <v>6211</v>
      </c>
      <c r="B6272" s="137">
        <f>'Acct Summary 7-8'!H82</f>
        <v>-2666943</v>
      </c>
      <c r="D6272" s="2" t="str">
        <f t="shared" si="97"/>
        <v>Error?</v>
      </c>
      <c r="E6272" s="2" t="s">
        <v>190</v>
      </c>
    </row>
    <row r="6273" spans="1:5" x14ac:dyDescent="0.2">
      <c r="A6273">
        <v>6212</v>
      </c>
      <c r="B6273" s="137">
        <f>'Acct Summary 7-8'!I82</f>
        <v>869521</v>
      </c>
      <c r="D6273" s="2" t="str">
        <f t="shared" si="97"/>
        <v>Error?</v>
      </c>
      <c r="E6273" s="2" t="s">
        <v>190</v>
      </c>
    </row>
    <row r="6274" spans="1:5" x14ac:dyDescent="0.2">
      <c r="A6274">
        <v>6213</v>
      </c>
      <c r="B6274" s="137">
        <f>'Acct Summary 7-8'!J82</f>
        <v>116</v>
      </c>
      <c r="D6274" s="2" t="str">
        <f t="shared" si="97"/>
        <v>Error?</v>
      </c>
      <c r="E6274" s="2" t="s">
        <v>190</v>
      </c>
    </row>
    <row r="6275" spans="1:5" x14ac:dyDescent="0.2">
      <c r="A6275">
        <v>6214</v>
      </c>
      <c r="B6275" s="137">
        <f>'Acct Summary 7-8'!K82</f>
        <v>2182</v>
      </c>
      <c r="D6275" s="2" t="str">
        <f t="shared" si="97"/>
        <v>Error?</v>
      </c>
      <c r="E6275" s="2" t="s">
        <v>190</v>
      </c>
    </row>
    <row r="6276" spans="1:5" x14ac:dyDescent="0.2">
      <c r="A6276">
        <v>6215</v>
      </c>
      <c r="B6276" s="137">
        <f>'Acct Summary 7-8'!C83</f>
        <v>9.5716266515762718E-2</v>
      </c>
      <c r="D6276" s="2" t="str">
        <f t="shared" si="97"/>
        <v>Error?</v>
      </c>
      <c r="E6276" s="2" t="s">
        <v>190</v>
      </c>
    </row>
    <row r="6277" spans="1:5" x14ac:dyDescent="0.2">
      <c r="A6277">
        <v>6216</v>
      </c>
      <c r="B6277" s="137">
        <f>'Acct Summary 7-8'!D83</f>
        <v>-0.33724741882527043</v>
      </c>
      <c r="D6277" s="2" t="str">
        <f t="shared" si="97"/>
        <v>Error?</v>
      </c>
      <c r="E6277" s="2" t="s">
        <v>190</v>
      </c>
    </row>
    <row r="6278" spans="1:5" x14ac:dyDescent="0.2">
      <c r="A6278">
        <v>6217</v>
      </c>
      <c r="B6278" s="137">
        <f>'Acct Summary 7-8'!E83</f>
        <v>-1.1303056495238664</v>
      </c>
      <c r="D6278" s="2" t="str">
        <f t="shared" si="97"/>
        <v>Error?</v>
      </c>
      <c r="E6278" s="2" t="s">
        <v>190</v>
      </c>
    </row>
    <row r="6279" spans="1:5" x14ac:dyDescent="0.2">
      <c r="A6279">
        <v>6218</v>
      </c>
      <c r="B6279" s="137">
        <f>'Acct Summary 7-8'!F83</f>
        <v>-7.2930265219640555E-3</v>
      </c>
      <c r="D6279" s="2" t="str">
        <f t="shared" si="97"/>
        <v>Error?</v>
      </c>
      <c r="E6279" s="2" t="s">
        <v>190</v>
      </c>
    </row>
    <row r="6280" spans="1:5" x14ac:dyDescent="0.2">
      <c r="A6280">
        <v>6219</v>
      </c>
      <c r="B6280" s="137">
        <f>'Acct Summary 7-8'!G83</f>
        <v>7.0592869171687292E-2</v>
      </c>
      <c r="D6280" s="2" t="str">
        <f t="shared" si="97"/>
        <v>Error?</v>
      </c>
      <c r="E6280" s="2" t="s">
        <v>190</v>
      </c>
    </row>
    <row r="6281" spans="1:5" x14ac:dyDescent="0.2">
      <c r="A6281">
        <v>6220</v>
      </c>
      <c r="B6281" s="137">
        <f>'Acct Summary 7-8'!H83</f>
        <v>-15.681535141618991</v>
      </c>
      <c r="D6281" s="2" t="str">
        <f t="shared" si="97"/>
        <v>Error?</v>
      </c>
      <c r="E6281" s="2" t="s">
        <v>190</v>
      </c>
    </row>
    <row r="6282" spans="1:5" x14ac:dyDescent="0.2">
      <c r="A6282">
        <v>6221</v>
      </c>
      <c r="B6282" s="137">
        <f>'Acct Summary 7-8'!I83</f>
        <v>0.30005221023921125</v>
      </c>
      <c r="D6282" s="2" t="str">
        <f t="shared" si="97"/>
        <v>Error?</v>
      </c>
      <c r="E6282" s="2" t="s">
        <v>190</v>
      </c>
    </row>
    <row r="6283" spans="1:5" x14ac:dyDescent="0.2">
      <c r="A6283">
        <v>6222</v>
      </c>
      <c r="B6283" s="137">
        <f>'Acct Summary 7-8'!J83</f>
        <v>2.6090868196131354E-2</v>
      </c>
      <c r="D6283" s="2" t="str">
        <f t="shared" si="97"/>
        <v>Error?</v>
      </c>
      <c r="E6283" s="2" t="s">
        <v>190</v>
      </c>
    </row>
    <row r="6284" spans="1:5" x14ac:dyDescent="0.2">
      <c r="A6284">
        <v>6223</v>
      </c>
      <c r="B6284" s="137">
        <f>'Acct Summary 7-8'!K83</f>
        <v>5.0098728015796484E-2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116</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116</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116</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240806</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302032</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252830</v>
      </c>
      <c r="D6880" s="2" t="str">
        <f t="shared" si="106"/>
        <v>Error?</v>
      </c>
    </row>
    <row r="6881" spans="1:4" x14ac:dyDescent="0.2">
      <c r="A6881">
        <v>6820</v>
      </c>
      <c r="B6881" s="137">
        <f>'Expenditures 15-22'!K22</f>
        <v>252830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1000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116</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16233</v>
      </c>
      <c r="D7073" s="2" t="str">
        <f t="shared" si="109"/>
        <v>Error?</v>
      </c>
    </row>
    <row r="7074" spans="1:4" x14ac:dyDescent="0.2">
      <c r="A7074">
        <v>7013</v>
      </c>
      <c r="B7074" s="137">
        <f>'Expenditures 15-22'!K216</f>
        <v>16233</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116</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60792</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434</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678091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29'!D142</f>
        <v>856509</v>
      </c>
      <c r="D7797" s="2" t="str">
        <f t="shared" si="127"/>
        <v>Error?</v>
      </c>
      <c r="E7797" s="4" t="s">
        <v>1903</v>
      </c>
    </row>
    <row r="7798" spans="1:5" x14ac:dyDescent="0.2">
      <c r="A7798">
        <v>7737</v>
      </c>
      <c r="B7798" s="137">
        <f>'Contracts Paid in CY 29'!F142</f>
        <v>250000</v>
      </c>
      <c r="D7798" s="2" t="str">
        <f t="shared" si="127"/>
        <v>Error?</v>
      </c>
      <c r="E7798" s="4" t="s">
        <v>1903</v>
      </c>
    </row>
    <row r="7799" spans="1:5" x14ac:dyDescent="0.2">
      <c r="A7799">
        <v>7738</v>
      </c>
      <c r="B7799" s="137">
        <f>'Contracts Paid in CY 29'!G142</f>
        <v>606509</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showGridLines="0" showZeros="0" topLeftCell="A25" zoomScale="110" zoomScaleNormal="110" workbookViewId="0">
      <selection activeCell="A6" sqref="A6:E6"/>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5" t="str">
        <f>COVER!A17</f>
        <v>Palos Heights SD 128</v>
      </c>
      <c r="B7" s="2386"/>
      <c r="C7" s="2386"/>
      <c r="D7" s="2423"/>
      <c r="E7" s="2424">
        <f>COVER!A13</f>
        <v>7016128002</v>
      </c>
      <c r="F7" s="2425"/>
      <c r="G7" s="2392" t="str">
        <f>COVER!T23</f>
        <v>06-5035081</v>
      </c>
      <c r="H7" s="2393"/>
      <c r="I7" s="2393"/>
      <c r="J7" s="2393"/>
      <c r="K7" s="2393"/>
      <c r="L7" s="2394"/>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5"/>
      <c r="B9" s="2396"/>
      <c r="C9" s="2396"/>
      <c r="D9" s="2396"/>
      <c r="E9" s="2396"/>
      <c r="F9" s="2397"/>
      <c r="G9" s="2398" t="str">
        <f>COVER!T13</f>
        <v>RSM US LLP</v>
      </c>
      <c r="H9" s="2399"/>
      <c r="I9" s="2399"/>
      <c r="J9" s="2399"/>
      <c r="K9" s="2399"/>
      <c r="L9" s="2400"/>
    </row>
    <row r="10" spans="1:29" ht="13.5" customHeight="1" x14ac:dyDescent="0.2">
      <c r="A10" s="2382" t="str">
        <f>COVER!A38</f>
        <v>Dr. Merryl Brownlow</v>
      </c>
      <c r="B10" s="2383"/>
      <c r="C10" s="2383"/>
      <c r="D10" s="2383"/>
      <c r="E10" s="2383"/>
      <c r="F10" s="2384"/>
      <c r="G10" s="2398" t="str">
        <f>COVER!T17</f>
        <v>One South Wacker Drive, Suite 800</v>
      </c>
      <c r="H10" s="2411"/>
      <c r="I10" s="2411"/>
      <c r="J10" s="2411"/>
      <c r="K10" s="2411"/>
      <c r="L10" s="2412"/>
    </row>
    <row r="11" spans="1:29" ht="13.5" customHeight="1" x14ac:dyDescent="0.2">
      <c r="A11" s="1183" t="s">
        <v>1519</v>
      </c>
      <c r="B11" s="1184"/>
      <c r="C11" s="1185"/>
      <c r="D11" s="1190"/>
      <c r="E11" s="1185"/>
      <c r="F11" s="1189"/>
      <c r="G11" s="2398" t="str">
        <f>COVER!T19</f>
        <v>Chicago</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mandy.pittman@rsmus.com</v>
      </c>
      <c r="J13" s="2420"/>
      <c r="K13" s="2420"/>
      <c r="L13" s="2421"/>
    </row>
    <row r="14" spans="1:29" ht="13.5" customHeight="1" x14ac:dyDescent="0.2">
      <c r="A14" s="2398" t="str">
        <f>COVER!A19</f>
        <v>12809 South McVicker</v>
      </c>
      <c r="B14" s="2411"/>
      <c r="C14" s="2411"/>
      <c r="D14" s="2411"/>
      <c r="E14" s="2411"/>
      <c r="F14" s="2412"/>
      <c r="G14" s="1194" t="s">
        <v>1185</v>
      </c>
      <c r="H14" s="1192"/>
      <c r="I14" s="1192"/>
      <c r="J14" s="1192"/>
      <c r="K14" s="1192"/>
      <c r="L14" s="1193"/>
    </row>
    <row r="15" spans="1:29" ht="13.5" customHeight="1" x14ac:dyDescent="0.2">
      <c r="A15" s="2398" t="str">
        <f>COVER!A21</f>
        <v>Palos Heights</v>
      </c>
      <c r="B15" s="2411"/>
      <c r="C15" s="2411"/>
      <c r="D15" s="2411"/>
      <c r="E15" s="2411"/>
      <c r="F15" s="2412"/>
      <c r="G15" s="2408" t="str">
        <f>COVER!T15</f>
        <v>Mandy Pittman</v>
      </c>
      <c r="H15" s="2409"/>
      <c r="I15" s="2409"/>
      <c r="J15" s="2409"/>
      <c r="K15" s="2409"/>
      <c r="L15" s="2410"/>
    </row>
    <row r="16" spans="1:29" ht="12.2" customHeight="1" x14ac:dyDescent="0.2">
      <c r="A16" s="2388">
        <f>COVER!A25</f>
        <v>60463</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4" t="s">
        <v>1184</v>
      </c>
      <c r="H17" s="1192"/>
      <c r="I17" s="1192"/>
      <c r="J17" s="1192"/>
      <c r="K17" s="1196" t="s">
        <v>1183</v>
      </c>
      <c r="L17" s="1189"/>
      <c r="M17" s="1182"/>
    </row>
    <row r="18" spans="1:13" ht="12.2" customHeight="1" x14ac:dyDescent="0.2">
      <c r="A18" s="2382"/>
      <c r="B18" s="2383"/>
      <c r="C18" s="2383"/>
      <c r="D18" s="2383"/>
      <c r="E18" s="2383"/>
      <c r="F18" s="2384"/>
      <c r="G18" s="2385" t="str">
        <f>COVER!T21</f>
        <v>312-634-4414</v>
      </c>
      <c r="H18" s="2386"/>
      <c r="I18" s="2386"/>
      <c r="J18" s="2386"/>
      <c r="K18" s="2385" t="str">
        <f>COVER!X21</f>
        <v>312-634-5523</v>
      </c>
      <c r="L18" s="238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4"/>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pageSetUpPr fitToPage="1"/>
  </sheetPr>
  <dimension ref="A1:K127"/>
  <sheetViews>
    <sheetView showGridLines="0" topLeftCell="A91" zoomScale="125" zoomScaleNormal="125" workbookViewId="0">
      <selection activeCell="A6" sqref="A6:E6"/>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6" t="str">
        <f>'Single Audit Cover'!A7</f>
        <v>Palos Heights SD 128</v>
      </c>
      <c r="B1" s="2422"/>
      <c r="C1" s="2422"/>
      <c r="D1" s="2422"/>
    </row>
    <row r="2" spans="1:11" s="1211" customFormat="1" ht="12.75" x14ac:dyDescent="0.2">
      <c r="A2" s="2427">
        <f>'Single Audit Cover'!E7</f>
        <v>7016128002</v>
      </c>
      <c r="B2" s="2428"/>
      <c r="C2" s="2428"/>
      <c r="D2" s="2428"/>
    </row>
    <row r="3" spans="1:11" s="1211" customFormat="1" ht="12.75" x14ac:dyDescent="0.2">
      <c r="A3" s="2426" t="s">
        <v>1513</v>
      </c>
      <c r="B3" s="2422"/>
      <c r="C3" s="2422"/>
      <c r="D3" s="2422"/>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topLeftCell="A4" zoomScale="110" zoomScaleNormal="110" zoomScaleSheetLayoutView="100" workbookViewId="0">
      <selection activeCell="A6" sqref="A6:E6"/>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30" t="str">
        <f>'Single Audit Cover'!A7</f>
        <v>Palos Heights SD 128</v>
      </c>
      <c r="B1" s="2430"/>
      <c r="C1" s="2430"/>
      <c r="D1" s="2430"/>
      <c r="E1" s="2430"/>
    </row>
    <row r="2" spans="1:5" x14ac:dyDescent="0.2">
      <c r="A2" s="2431">
        <f>'Single Audit Cover'!E7</f>
        <v>7016128002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6" t="s">
        <v>1243</v>
      </c>
    </row>
    <row r="10" spans="1:5" x14ac:dyDescent="0.2">
      <c r="A10" s="1257" t="s">
        <v>1242</v>
      </c>
      <c r="B10" s="1258" t="s">
        <v>1241</v>
      </c>
      <c r="C10" s="1258"/>
      <c r="D10" s="1259">
        <f>SUM('Acct Summary 7-8'!C7:K7)</f>
        <v>367599</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0</v>
      </c>
    </row>
    <row r="19" spans="1:4" ht="13.5" thickBot="1" x14ac:dyDescent="0.25">
      <c r="A19" s="1261" t="s">
        <v>1235</v>
      </c>
      <c r="D19" s="1262">
        <f>SUM(D10:D17)</f>
        <v>367599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2" t="s">
        <v>2095</v>
      </c>
      <c r="B24" s="2432"/>
      <c r="D24" s="1264"/>
    </row>
    <row r="25" spans="1:4" x14ac:dyDescent="0.2">
      <c r="A25" s="2429"/>
      <c r="B25" s="2429"/>
      <c r="D25" s="1264"/>
    </row>
    <row r="26" spans="1:4" x14ac:dyDescent="0.2">
      <c r="A26" s="2429"/>
      <c r="B26" s="2429"/>
      <c r="D26" s="1264"/>
    </row>
    <row r="27" spans="1:4" x14ac:dyDescent="0.2">
      <c r="A27" s="2429"/>
      <c r="B27" s="2429"/>
      <c r="D27" s="1264"/>
    </row>
    <row r="28" spans="1:4" x14ac:dyDescent="0.2">
      <c r="A28" s="2429"/>
      <c r="B28" s="2429"/>
      <c r="D28" s="1264"/>
    </row>
    <row r="29" spans="1:4" x14ac:dyDescent="0.2">
      <c r="A29" s="2429"/>
      <c r="B29" s="2429"/>
      <c r="D29" s="1264"/>
    </row>
    <row r="30" spans="1:4" x14ac:dyDescent="0.2">
      <c r="A30" s="2429"/>
      <c r="B30" s="2429"/>
      <c r="D30" s="1264"/>
    </row>
    <row r="32" spans="1:4" x14ac:dyDescent="0.2">
      <c r="A32" s="1256" t="s">
        <v>1233</v>
      </c>
      <c r="D32" s="1259">
        <f>SUM(D19:D30)</f>
        <v>367599</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29"/>
      <c r="B40" s="2429"/>
      <c r="D40" s="1264"/>
    </row>
    <row r="41" spans="1:4" x14ac:dyDescent="0.2">
      <c r="A41" s="2429"/>
      <c r="B41" s="2429"/>
      <c r="D41" s="1267"/>
    </row>
    <row r="42" spans="1:4" x14ac:dyDescent="0.2">
      <c r="A42" s="2429"/>
      <c r="B42" s="2429"/>
      <c r="D42" s="1267"/>
    </row>
    <row r="43" spans="1:4" x14ac:dyDescent="0.2">
      <c r="A43" s="2429"/>
      <c r="B43" s="2429"/>
      <c r="D43" s="1267"/>
    </row>
    <row r="44" spans="1:4" x14ac:dyDescent="0.2">
      <c r="A44" s="2429"/>
      <c r="B44" s="2429"/>
      <c r="D44" s="1267"/>
    </row>
    <row r="45" spans="1:4" x14ac:dyDescent="0.2">
      <c r="A45" s="2429"/>
      <c r="B45" s="2429"/>
      <c r="D45" s="1267"/>
    </row>
    <row r="47" spans="1:4" x14ac:dyDescent="0.2">
      <c r="B47" s="1268" t="s">
        <v>1227</v>
      </c>
      <c r="C47" s="1268"/>
      <c r="D47" s="1269">
        <f>SUM(D35:D45)</f>
        <v>0</v>
      </c>
    </row>
    <row r="49" spans="2:4" x14ac:dyDescent="0.2">
      <c r="B49" s="1268" t="s">
        <v>1226</v>
      </c>
      <c r="C49" s="1268"/>
      <c r="D49" s="1269">
        <f>D32-D47</f>
        <v>367599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E13" sqref="E13"/>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91" t="str">
        <f>'Single Audit Cover'!A7</f>
        <v>Palos Heights SD 128</v>
      </c>
      <c r="C1" s="2434"/>
      <c r="D1" s="2434"/>
      <c r="E1" s="2434"/>
      <c r="F1" s="2434"/>
      <c r="G1" s="2434"/>
      <c r="H1" s="2434"/>
      <c r="I1" s="2434"/>
      <c r="J1" s="2434"/>
      <c r="K1" s="2434"/>
      <c r="L1" s="2434"/>
      <c r="M1" s="2434"/>
    </row>
    <row r="2" spans="2:14" ht="15" x14ac:dyDescent="0.2">
      <c r="B2" s="2435">
        <f>'Single Audit Cover'!E7</f>
        <v>7016128002</v>
      </c>
      <c r="C2" s="2435"/>
      <c r="D2" s="2435"/>
      <c r="E2" s="2435"/>
      <c r="F2" s="2435"/>
      <c r="G2" s="2435"/>
      <c r="H2" s="2435"/>
      <c r="I2" s="2435"/>
      <c r="J2" s="2435"/>
      <c r="K2" s="2435"/>
      <c r="L2" s="2435"/>
      <c r="M2" s="2435"/>
      <c r="N2" s="1298"/>
    </row>
    <row r="3" spans="2:14" ht="15" x14ac:dyDescent="0.2">
      <c r="B3" s="2436" t="s">
        <v>1219</v>
      </c>
      <c r="C3" s="2436"/>
      <c r="D3" s="2436"/>
      <c r="E3" s="2436"/>
      <c r="F3" s="2436"/>
      <c r="G3" s="2436"/>
      <c r="H3" s="2436"/>
      <c r="I3" s="2436"/>
      <c r="J3" s="2436"/>
      <c r="K3" s="2436"/>
      <c r="L3" s="2436"/>
      <c r="M3" s="2436"/>
      <c r="N3" s="1298"/>
    </row>
    <row r="4" spans="2:14" ht="15" x14ac:dyDescent="0.2">
      <c r="B4" s="2437" t="str">
        <f>'Single Audit Cover'!A4</f>
        <v>Year Ending June 30, 2019</v>
      </c>
      <c r="C4" s="2437"/>
      <c r="D4" s="2437"/>
      <c r="E4" s="2437"/>
      <c r="F4" s="2437"/>
      <c r="G4" s="2437"/>
      <c r="H4" s="2437"/>
      <c r="I4" s="2437"/>
      <c r="J4" s="2437"/>
      <c r="K4" s="2437"/>
      <c r="L4" s="2437"/>
      <c r="M4" s="243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2095</v>
      </c>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zoomScale="120" zoomScaleNormal="120" workbookViewId="0">
      <selection activeCell="D42" sqref="D42:H42"/>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39" t="str">
        <f>'Single Audit Cover'!A7</f>
        <v>Palos Heights SD 128</v>
      </c>
      <c r="B1" s="2439"/>
      <c r="C1" s="2439"/>
      <c r="D1" s="2439"/>
      <c r="E1" s="2439"/>
      <c r="F1" s="2439"/>
    </row>
    <row r="2" spans="1:7" ht="13.5" customHeight="1" x14ac:dyDescent="0.2">
      <c r="A2" s="2435">
        <f>'Single Audit Cover'!E7</f>
        <v>7016128002</v>
      </c>
      <c r="B2" s="2435"/>
      <c r="C2" s="2435"/>
      <c r="D2" s="2435"/>
      <c r="E2" s="2435"/>
      <c r="F2" s="2435"/>
      <c r="G2" s="1271"/>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6"/>
      <c r="D5" s="316"/>
    </row>
    <row r="6" spans="1:7" ht="13.5" customHeight="1" x14ac:dyDescent="0.2">
      <c r="A6" s="1272" t="s">
        <v>1728</v>
      </c>
      <c r="C6" s="316"/>
      <c r="D6" s="316"/>
    </row>
    <row r="7" spans="1:7" ht="60.95" customHeight="1" x14ac:dyDescent="0.2">
      <c r="A7" s="2438" t="s">
        <v>1729</v>
      </c>
      <c r="B7" s="2438"/>
      <c r="C7" s="2438"/>
      <c r="D7" s="2438"/>
      <c r="E7" s="2438"/>
      <c r="F7" s="2438"/>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8" t="s">
        <v>1731</v>
      </c>
      <c r="B13" s="2438"/>
      <c r="C13" s="2438"/>
      <c r="D13" s="2438"/>
      <c r="E13" s="2438"/>
      <c r="F13" s="2438"/>
    </row>
    <row r="14" spans="1:7" ht="9.75" customHeight="1" x14ac:dyDescent="0.2">
      <c r="C14" s="1256"/>
      <c r="D14" s="1256"/>
    </row>
    <row r="15" spans="1:7" ht="13.5" customHeight="1" x14ac:dyDescent="0.2">
      <c r="C15" s="1845" t="s">
        <v>1270</v>
      </c>
      <c r="D15" s="2443" t="s">
        <v>1269</v>
      </c>
      <c r="E15" s="2443"/>
      <c r="F15" s="2443"/>
    </row>
    <row r="16" spans="1:7" ht="13.5" customHeight="1" x14ac:dyDescent="0.2">
      <c r="A16" s="1278"/>
      <c r="B16" s="1272" t="s">
        <v>1268</v>
      </c>
      <c r="C16" s="1845" t="s">
        <v>1267</v>
      </c>
      <c r="D16" s="2444" t="s">
        <v>1588</v>
      </c>
      <c r="E16" s="2444"/>
      <c r="F16" s="2444"/>
    </row>
    <row r="17" spans="1:6" ht="20.45" customHeight="1" x14ac:dyDescent="0.2">
      <c r="A17" s="1279"/>
      <c r="B17" s="1280" t="s">
        <v>2095</v>
      </c>
      <c r="C17" s="1281"/>
      <c r="D17" s="2442"/>
      <c r="E17" s="2442"/>
      <c r="F17" s="2442"/>
    </row>
    <row r="18" spans="1:6" ht="20.65" customHeight="1" x14ac:dyDescent="0.2">
      <c r="A18" s="1279"/>
      <c r="B18" s="1280"/>
      <c r="C18" s="1281"/>
      <c r="D18" s="2442"/>
      <c r="E18" s="2442"/>
      <c r="F18" s="2442"/>
    </row>
    <row r="19" spans="1:6" ht="20.65" customHeight="1" x14ac:dyDescent="0.2">
      <c r="A19" s="1279"/>
      <c r="B19" s="1280"/>
      <c r="C19" s="1281"/>
      <c r="D19" s="2442"/>
      <c r="E19" s="2442"/>
      <c r="F19" s="2442"/>
    </row>
    <row r="20" spans="1:6" ht="20.65" customHeight="1" x14ac:dyDescent="0.2">
      <c r="A20" s="1279"/>
      <c r="B20" s="1280"/>
      <c r="C20" s="1281"/>
      <c r="D20" s="2442"/>
      <c r="E20" s="2442"/>
      <c r="F20" s="2442"/>
    </row>
    <row r="21" spans="1:6" ht="20.65" customHeight="1" x14ac:dyDescent="0.2">
      <c r="A21" s="1279"/>
      <c r="B21" s="1280"/>
      <c r="C21" s="1281"/>
      <c r="D21" s="2442"/>
      <c r="E21" s="2442"/>
      <c r="F21" s="2442"/>
    </row>
    <row r="22" spans="1:6" ht="20.65" customHeight="1" x14ac:dyDescent="0.2">
      <c r="A22" s="1279"/>
      <c r="B22" s="1280"/>
      <c r="C22" s="1281"/>
      <c r="D22" s="2442"/>
      <c r="E22" s="2442"/>
      <c r="F22" s="2442"/>
    </row>
    <row r="23" spans="1:6" ht="20.65" customHeight="1" x14ac:dyDescent="0.2">
      <c r="A23" s="1279"/>
      <c r="B23" s="1280"/>
      <c r="C23" s="1281"/>
      <c r="D23" s="2442"/>
      <c r="E23" s="2442"/>
      <c r="F23" s="2442"/>
    </row>
    <row r="24" spans="1:6" ht="20.65" customHeight="1" x14ac:dyDescent="0.2">
      <c r="A24" s="1279"/>
      <c r="B24" s="1280"/>
      <c r="C24" s="1281"/>
      <c r="D24" s="2442"/>
      <c r="E24" s="2442"/>
      <c r="F24" s="2442"/>
    </row>
    <row r="25" spans="1:6" ht="20.65" customHeight="1" x14ac:dyDescent="0.2">
      <c r="A25" s="1279"/>
      <c r="B25" s="1280"/>
      <c r="C25" s="1281"/>
      <c r="D25" s="2442"/>
      <c r="E25" s="2442"/>
      <c r="F25" s="2442"/>
    </row>
    <row r="26" spans="1:6" ht="20.65" customHeight="1" x14ac:dyDescent="0.2">
      <c r="A26" s="1279"/>
      <c r="B26" s="1280"/>
      <c r="C26" s="1281"/>
      <c r="D26" s="2442"/>
      <c r="E26" s="2442"/>
      <c r="F26" s="2442"/>
    </row>
    <row r="27" spans="1:6" ht="20.65" customHeight="1" x14ac:dyDescent="0.2">
      <c r="A27" s="1279"/>
      <c r="B27" s="1280"/>
      <c r="C27" s="1281"/>
      <c r="D27" s="2442"/>
      <c r="E27" s="2442"/>
      <c r="F27" s="2442"/>
    </row>
    <row r="28" spans="1:6" ht="20.65" customHeight="1" x14ac:dyDescent="0.2">
      <c r="A28" s="1279"/>
      <c r="B28" s="1280"/>
      <c r="C28" s="1281"/>
      <c r="D28" s="2442"/>
      <c r="E28" s="2442"/>
      <c r="F28" s="2442"/>
    </row>
    <row r="29" spans="1:6" ht="20.65" customHeight="1" x14ac:dyDescent="0.2">
      <c r="A29" s="1279"/>
      <c r="B29" s="1280"/>
      <c r="C29" s="1281"/>
      <c r="D29" s="2442"/>
      <c r="E29" s="2442"/>
      <c r="F29" s="2442"/>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6" t="s">
        <v>1732</v>
      </c>
      <c r="B32" s="2446"/>
      <c r="C32" s="2446"/>
      <c r="D32" s="2446"/>
      <c r="E32" s="2446"/>
      <c r="F32" s="2446"/>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7">
        <f>+C33+C34</f>
        <v>0</v>
      </c>
      <c r="F34" s="2448"/>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9" t="s">
        <v>1590</v>
      </c>
      <c r="C49" s="2449"/>
      <c r="D49" s="2449"/>
      <c r="E49" s="1395"/>
    </row>
    <row r="50" spans="1:5" s="1296" customFormat="1" ht="3.75" customHeight="1" x14ac:dyDescent="0.2">
      <c r="A50" s="1295"/>
      <c r="B50" s="1844"/>
      <c r="C50" s="1844"/>
      <c r="D50" s="1844"/>
      <c r="E50" s="1395"/>
    </row>
    <row r="51" spans="1:5" s="1296" customFormat="1" ht="20.25" customHeight="1" x14ac:dyDescent="0.2">
      <c r="A51" s="1297">
        <v>6</v>
      </c>
      <c r="B51" s="2445" t="s">
        <v>1551</v>
      </c>
      <c r="C51" s="2445"/>
      <c r="D51" s="2445"/>
    </row>
    <row r="52" spans="1:5" ht="14.25" customHeight="1" x14ac:dyDescent="0.2">
      <c r="A52" s="1297"/>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colorId="8" zoomScale="110" zoomScaleNormal="110" workbookViewId="0">
      <selection activeCell="B82" sqref="B82"/>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5" t="s">
        <v>1168</v>
      </c>
      <c r="B2" s="2055"/>
      <c r="C2" s="2055"/>
      <c r="D2" s="2055"/>
      <c r="E2" s="2055"/>
      <c r="F2" s="2055"/>
      <c r="G2" s="2055"/>
      <c r="H2" s="2055"/>
      <c r="I2" s="2055"/>
      <c r="J2" s="2055"/>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9" t="s">
        <v>1633</v>
      </c>
      <c r="B35" s="2070"/>
      <c r="C35" s="2070"/>
      <c r="D35" s="2070"/>
      <c r="E35" s="2071"/>
      <c r="F35" s="2071"/>
      <c r="G35" s="2071"/>
      <c r="H35" s="2071"/>
      <c r="I35" s="2071"/>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9" t="s">
        <v>313</v>
      </c>
      <c r="B47" s="2072"/>
      <c r="C47" s="2072"/>
      <c r="D47" s="2072"/>
      <c r="E47" s="2073"/>
      <c r="F47" s="2073"/>
      <c r="G47" s="2073"/>
      <c r="H47" s="2073"/>
      <c r="I47" s="2073"/>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2074</v>
      </c>
      <c r="C53" s="178">
        <v>22</v>
      </c>
      <c r="D53" s="246" t="s">
        <v>1462</v>
      </c>
      <c r="E53" s="247"/>
      <c r="F53" s="248"/>
      <c r="G53" s="248" t="s">
        <v>1461</v>
      </c>
      <c r="H53" s="249">
        <v>38898</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6"/>
      <c r="C57" s="2077"/>
      <c r="D57" s="2077"/>
      <c r="E57" s="2077"/>
      <c r="F57" s="2077"/>
      <c r="G57" s="2077"/>
      <c r="H57" s="2077"/>
      <c r="I57" s="2077"/>
      <c r="J57" s="2078"/>
    </row>
    <row r="58" spans="1:10" s="180" customFormat="1" x14ac:dyDescent="0.2">
      <c r="A58" s="252"/>
      <c r="B58" s="2079"/>
      <c r="C58" s="2080"/>
      <c r="D58" s="2080"/>
      <c r="E58" s="2080"/>
      <c r="F58" s="2080"/>
      <c r="G58" s="2080"/>
      <c r="H58" s="2080"/>
      <c r="I58" s="2080"/>
      <c r="J58" s="2081"/>
    </row>
    <row r="59" spans="1:10" s="180" customFormat="1" x14ac:dyDescent="0.2">
      <c r="A59" s="252"/>
      <c r="B59" s="2079"/>
      <c r="C59" s="2080"/>
      <c r="D59" s="2080"/>
      <c r="E59" s="2080"/>
      <c r="F59" s="2080"/>
      <c r="G59" s="2080"/>
      <c r="H59" s="2080"/>
      <c r="I59" s="2080"/>
      <c r="J59" s="2081"/>
    </row>
    <row r="60" spans="1:10" s="180" customFormat="1" x14ac:dyDescent="0.2">
      <c r="A60" s="252"/>
      <c r="B60" s="2079"/>
      <c r="C60" s="2080"/>
      <c r="D60" s="2080"/>
      <c r="E60" s="2080"/>
      <c r="F60" s="2080"/>
      <c r="G60" s="2080"/>
      <c r="H60" s="2080"/>
      <c r="I60" s="2080"/>
      <c r="J60" s="2081"/>
    </row>
    <row r="61" spans="1:10" s="180" customFormat="1" x14ac:dyDescent="0.2">
      <c r="A61" s="252"/>
      <c r="B61" s="2079"/>
      <c r="C61" s="2080"/>
      <c r="D61" s="2080"/>
      <c r="E61" s="2080"/>
      <c r="F61" s="2080"/>
      <c r="G61" s="2080"/>
      <c r="H61" s="2080"/>
      <c r="I61" s="2080"/>
      <c r="J61" s="2081"/>
    </row>
    <row r="62" spans="1:10" s="180" customFormat="1" x14ac:dyDescent="0.2">
      <c r="A62" s="252"/>
      <c r="B62" s="2079"/>
      <c r="C62" s="2080"/>
      <c r="D62" s="2080"/>
      <c r="E62" s="2080"/>
      <c r="F62" s="2080"/>
      <c r="G62" s="2080"/>
      <c r="H62" s="2080"/>
      <c r="I62" s="2080"/>
      <c r="J62" s="2081"/>
    </row>
    <row r="63" spans="1:10" s="180" customFormat="1" x14ac:dyDescent="0.2">
      <c r="A63" s="252"/>
      <c r="B63" s="2079"/>
      <c r="C63" s="2080"/>
      <c r="D63" s="2080"/>
      <c r="E63" s="2080"/>
      <c r="F63" s="2080"/>
      <c r="G63" s="2080"/>
      <c r="H63" s="2080"/>
      <c r="I63" s="2080"/>
      <c r="J63" s="2081"/>
    </row>
    <row r="64" spans="1:10" s="180" customFormat="1" x14ac:dyDescent="0.2">
      <c r="A64" s="252"/>
      <c r="B64" s="2079"/>
      <c r="C64" s="2080"/>
      <c r="D64" s="2080"/>
      <c r="E64" s="2080"/>
      <c r="F64" s="2080"/>
      <c r="G64" s="2080"/>
      <c r="H64" s="2080"/>
      <c r="I64" s="2080"/>
      <c r="J64" s="2081"/>
    </row>
    <row r="65" spans="1:10" s="180" customFormat="1" x14ac:dyDescent="0.2">
      <c r="A65" s="252"/>
      <c r="B65" s="2079"/>
      <c r="C65" s="2080"/>
      <c r="D65" s="2080"/>
      <c r="E65" s="2080"/>
      <c r="F65" s="2080"/>
      <c r="G65" s="2080"/>
      <c r="H65" s="2080"/>
      <c r="I65" s="2080"/>
      <c r="J65" s="2081"/>
    </row>
    <row r="66" spans="1:10" s="180" customFormat="1" x14ac:dyDescent="0.2">
      <c r="A66" s="252"/>
      <c r="B66" s="2079"/>
      <c r="C66" s="2080"/>
      <c r="D66" s="2080"/>
      <c r="E66" s="2080"/>
      <c r="F66" s="2080"/>
      <c r="G66" s="2080"/>
      <c r="H66" s="2080"/>
      <c r="I66" s="2080"/>
      <c r="J66" s="2081"/>
    </row>
    <row r="67" spans="1:10" s="180" customFormat="1" ht="9" customHeight="1" x14ac:dyDescent="0.2">
      <c r="A67" s="253"/>
      <c r="B67" s="2082"/>
      <c r="C67" s="2083"/>
      <c r="D67" s="2083"/>
      <c r="E67" s="2083"/>
      <c r="F67" s="2083"/>
      <c r="G67" s="2083"/>
      <c r="H67" s="2083"/>
      <c r="I67" s="2083"/>
      <c r="J67" s="208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9" t="s">
        <v>1323</v>
      </c>
      <c r="B70" s="2072"/>
      <c r="C70" s="2072"/>
      <c r="D70" s="2072"/>
      <c r="E70" s="2073"/>
      <c r="F70" s="2073"/>
      <c r="G70" s="2073"/>
      <c r="H70" s="2073"/>
      <c r="I70" s="2073"/>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4" t="s">
        <v>1320</v>
      </c>
      <c r="B83" s="2074"/>
      <c r="C83" s="2074"/>
      <c r="D83" s="2075"/>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6"/>
      <c r="C102" s="2057"/>
      <c r="D102" s="2057"/>
      <c r="E102" s="2057"/>
      <c r="F102" s="2057"/>
      <c r="G102" s="2057"/>
      <c r="H102" s="2057"/>
      <c r="I102" s="2058"/>
    </row>
    <row r="103" spans="1:9" s="180" customFormat="1" ht="11.25" customHeight="1" x14ac:dyDescent="0.2">
      <c r="A103" s="315"/>
      <c r="B103" s="2059"/>
      <c r="C103" s="2060"/>
      <c r="D103" s="2060"/>
      <c r="E103" s="2060"/>
      <c r="F103" s="2060"/>
      <c r="G103" s="2060"/>
      <c r="H103" s="2060"/>
      <c r="I103" s="2061"/>
    </row>
    <row r="104" spans="1:9" s="180" customFormat="1" ht="11.25" customHeight="1" x14ac:dyDescent="0.2">
      <c r="A104" s="315"/>
      <c r="B104" s="2059"/>
      <c r="C104" s="2060"/>
      <c r="D104" s="2060"/>
      <c r="E104" s="2060"/>
      <c r="F104" s="2060"/>
      <c r="G104" s="2060"/>
      <c r="H104" s="2060"/>
      <c r="I104" s="2061"/>
    </row>
    <row r="105" spans="1:9" s="180" customFormat="1" x14ac:dyDescent="0.2">
      <c r="A105" s="315"/>
      <c r="B105" s="2059"/>
      <c r="C105" s="2060"/>
      <c r="D105" s="2060"/>
      <c r="E105" s="2060"/>
      <c r="F105" s="2060"/>
      <c r="G105" s="2060"/>
      <c r="H105" s="2060"/>
      <c r="I105" s="2061"/>
    </row>
    <row r="106" spans="1:9" s="180" customFormat="1" ht="11.25" customHeight="1" x14ac:dyDescent="0.2">
      <c r="A106" s="315"/>
      <c r="B106" s="2059"/>
      <c r="C106" s="2060"/>
      <c r="D106" s="2060"/>
      <c r="E106" s="2060"/>
      <c r="F106" s="2060"/>
      <c r="G106" s="2060"/>
      <c r="H106" s="2060"/>
      <c r="I106" s="2061"/>
    </row>
    <row r="107" spans="1:9" s="180" customFormat="1" ht="11.25" customHeight="1" x14ac:dyDescent="0.2">
      <c r="A107" s="315"/>
      <c r="B107" s="2059"/>
      <c r="C107" s="2060"/>
      <c r="D107" s="2060"/>
      <c r="E107" s="2060"/>
      <c r="F107" s="2060"/>
      <c r="G107" s="2060"/>
      <c r="H107" s="2060"/>
      <c r="I107" s="2061"/>
    </row>
    <row r="108" spans="1:9" s="180" customFormat="1" ht="11.25" customHeight="1" x14ac:dyDescent="0.2">
      <c r="A108" s="315"/>
      <c r="B108" s="2059"/>
      <c r="C108" s="2060"/>
      <c r="D108" s="2060"/>
      <c r="E108" s="2060"/>
      <c r="F108" s="2060"/>
      <c r="G108" s="2060"/>
      <c r="H108" s="2060"/>
      <c r="I108" s="2061"/>
    </row>
    <row r="109" spans="1:9" s="180" customFormat="1" ht="11.25" customHeight="1" x14ac:dyDescent="0.2">
      <c r="A109" s="315"/>
      <c r="B109" s="2059"/>
      <c r="C109" s="2060"/>
      <c r="D109" s="2060"/>
      <c r="E109" s="2060"/>
      <c r="F109" s="2060"/>
      <c r="G109" s="2060"/>
      <c r="H109" s="2060"/>
      <c r="I109" s="2061"/>
    </row>
    <row r="110" spans="1:9" s="180" customFormat="1" ht="11.25" customHeight="1" x14ac:dyDescent="0.2">
      <c r="A110" s="315"/>
      <c r="B110" s="2059"/>
      <c r="C110" s="2060"/>
      <c r="D110" s="2060"/>
      <c r="E110" s="2060"/>
      <c r="F110" s="2060"/>
      <c r="G110" s="2060"/>
      <c r="H110" s="2060"/>
      <c r="I110" s="2061"/>
    </row>
    <row r="111" spans="1:9" s="180" customFormat="1" ht="11.25" customHeight="1" x14ac:dyDescent="0.2">
      <c r="A111" s="315"/>
      <c r="B111" s="2059"/>
      <c r="C111" s="2060"/>
      <c r="D111" s="2060"/>
      <c r="E111" s="2060"/>
      <c r="F111" s="2060"/>
      <c r="G111" s="2060"/>
      <c r="H111" s="2060"/>
      <c r="I111" s="2061"/>
    </row>
    <row r="112" spans="1:9" s="180" customFormat="1" ht="11.25" customHeight="1" x14ac:dyDescent="0.2">
      <c r="A112" s="315"/>
      <c r="B112" s="2062"/>
      <c r="C112" s="2063"/>
      <c r="D112" s="2063"/>
      <c r="E112" s="2063"/>
      <c r="F112" s="2063"/>
      <c r="G112" s="2063"/>
      <c r="H112" s="2063"/>
      <c r="I112" s="206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5" t="s">
        <v>2065</v>
      </c>
      <c r="D114" s="2065"/>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6" t="s">
        <v>1330</v>
      </c>
      <c r="D117" s="2067"/>
      <c r="E117" s="2068"/>
      <c r="F117" s="2068"/>
      <c r="G117" s="2068"/>
      <c r="H117" s="2068"/>
      <c r="I117" s="303"/>
    </row>
    <row r="118" spans="1:9" s="180" customFormat="1" ht="24" customHeight="1" x14ac:dyDescent="0.2">
      <c r="A118" s="315"/>
      <c r="B118" s="315"/>
      <c r="C118" s="315"/>
      <c r="D118" s="322" t="s">
        <v>2119</v>
      </c>
      <c r="E118" s="321"/>
      <c r="F118" s="323"/>
      <c r="G118" s="1839"/>
      <c r="H118" s="321"/>
      <c r="I118" s="303"/>
    </row>
    <row r="119" spans="1:9" s="180" customFormat="1" ht="11.25" customHeight="1" x14ac:dyDescent="0.2">
      <c r="A119" s="324"/>
      <c r="B119" s="324"/>
      <c r="C119" s="325"/>
      <c r="D119" s="326" t="s">
        <v>361</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topLeftCell="A17" zoomScale="110" zoomScaleNormal="110" workbookViewId="0">
      <selection activeCell="D42" sqref="D42:H42"/>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4" t="str">
        <f>'Single Audit Cover'!A7</f>
        <v>Palos Heights SD 128</v>
      </c>
      <c r="C1" s="2455"/>
      <c r="D1" s="2455"/>
      <c r="E1" s="2455"/>
      <c r="F1" s="2455"/>
      <c r="G1" s="2455"/>
      <c r="H1" s="2455"/>
      <c r="I1" s="2455"/>
      <c r="J1" s="1405"/>
    </row>
    <row r="2" spans="2:10" s="316" customFormat="1" ht="12.75" customHeight="1" x14ac:dyDescent="0.2">
      <c r="B2" s="2456">
        <f>'Single Audit Cover'!E7</f>
        <v>7016128002</v>
      </c>
      <c r="C2" s="2457"/>
      <c r="D2" s="2457"/>
      <c r="E2" s="2457"/>
      <c r="F2" s="2457"/>
      <c r="G2" s="2457"/>
      <c r="H2" s="2457"/>
      <c r="I2" s="2457"/>
      <c r="J2" s="1405"/>
    </row>
    <row r="3" spans="2:10" s="316" customFormat="1" ht="12.75" customHeight="1" x14ac:dyDescent="0.2">
      <c r="B3" s="2458" t="s">
        <v>1285</v>
      </c>
      <c r="C3" s="2459"/>
      <c r="D3" s="2459"/>
      <c r="E3" s="2459"/>
      <c r="F3" s="2459"/>
      <c r="G3" s="2459"/>
      <c r="H3" s="2459"/>
      <c r="I3" s="2459"/>
      <c r="J3" s="1406"/>
    </row>
    <row r="4" spans="2:10" s="316" customFormat="1" ht="12.75" customHeight="1" x14ac:dyDescent="0.2">
      <c r="B4" s="2458" t="str">
        <f>'Single Audit Cover'!A4</f>
        <v>Year Ending June 30, 2019</v>
      </c>
      <c r="C4" s="2459"/>
      <c r="D4" s="2459"/>
      <c r="E4" s="2459"/>
      <c r="F4" s="2459"/>
      <c r="G4" s="2459"/>
      <c r="H4" s="2459"/>
      <c r="I4" s="2459"/>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58" t="s">
        <v>1284</v>
      </c>
      <c r="C7" s="2459"/>
      <c r="D7" s="2459"/>
      <c r="E7" s="2459"/>
      <c r="F7" s="2459"/>
      <c r="G7" s="2459"/>
      <c r="H7" s="2459"/>
      <c r="I7" s="2459"/>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0"/>
      <c r="D11" s="2460"/>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61"/>
      <c r="E29" s="2461"/>
      <c r="F29" s="2461"/>
      <c r="G29" s="2461"/>
      <c r="H29" s="2461"/>
      <c r="I29" s="2461"/>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2" t="s">
        <v>1751</v>
      </c>
      <c r="D37" s="2463"/>
      <c r="E37" s="2463"/>
      <c r="F37" s="2464"/>
      <c r="G37" s="2462" t="s">
        <v>1592</v>
      </c>
      <c r="H37" s="2463"/>
      <c r="I37" s="2464"/>
    </row>
    <row r="38" spans="2:9" ht="16.5" customHeight="1" x14ac:dyDescent="0.2">
      <c r="B38" s="1427" t="s">
        <v>2095</v>
      </c>
      <c r="C38" s="2450"/>
      <c r="D38" s="2451"/>
      <c r="E38" s="2451"/>
      <c r="F38" s="2452"/>
      <c r="G38" s="2465"/>
      <c r="H38" s="2466"/>
      <c r="I38" s="2467"/>
    </row>
    <row r="39" spans="2:9" ht="16.5" customHeight="1" x14ac:dyDescent="0.2">
      <c r="B39" s="1427"/>
      <c r="C39" s="2450"/>
      <c r="D39" s="2451"/>
      <c r="E39" s="2451"/>
      <c r="F39" s="2452"/>
      <c r="G39" s="2453"/>
      <c r="H39" s="2453"/>
      <c r="I39" s="2453"/>
    </row>
    <row r="40" spans="2:9" ht="16.5" customHeight="1" x14ac:dyDescent="0.2">
      <c r="B40" s="1427"/>
      <c r="C40" s="2450"/>
      <c r="D40" s="2451"/>
      <c r="E40" s="2451"/>
      <c r="F40" s="2452"/>
      <c r="G40" s="2453"/>
      <c r="H40" s="2453"/>
      <c r="I40" s="2453"/>
    </row>
    <row r="41" spans="2:9" ht="16.5" customHeight="1" x14ac:dyDescent="0.2">
      <c r="B41" s="1427"/>
      <c r="C41" s="2450"/>
      <c r="D41" s="2451"/>
      <c r="E41" s="2451"/>
      <c r="F41" s="2452"/>
      <c r="G41" s="2453"/>
      <c r="H41" s="2453"/>
      <c r="I41" s="2453"/>
    </row>
    <row r="42" spans="2:9" ht="16.5" customHeight="1" x14ac:dyDescent="0.2">
      <c r="B42" s="1427"/>
      <c r="C42" s="2450"/>
      <c r="D42" s="2451"/>
      <c r="E42" s="2451"/>
      <c r="F42" s="2452"/>
      <c r="G42" s="2453"/>
      <c r="H42" s="2453"/>
      <c r="I42" s="2453"/>
    </row>
    <row r="43" spans="2:9" ht="16.5" customHeight="1" x14ac:dyDescent="0.2">
      <c r="B43" s="1427"/>
      <c r="C43" s="2468" t="s">
        <v>1593</v>
      </c>
      <c r="D43" s="2469"/>
      <c r="E43" s="2469"/>
      <c r="F43" s="2470"/>
      <c r="G43" s="2471">
        <f>SUM(G38:I42)</f>
        <v>0</v>
      </c>
      <c r="H43" s="2471"/>
      <c r="I43" s="2471"/>
    </row>
    <row r="44" spans="2:9" ht="12.75" customHeight="1" x14ac:dyDescent="0.2"/>
    <row r="45" spans="2:9" ht="12.75" customHeight="1" x14ac:dyDescent="0.2">
      <c r="B45" s="1418" t="s">
        <v>2062</v>
      </c>
      <c r="D45" s="2472">
        <v>0</v>
      </c>
      <c r="E45" s="247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4"/>
      <c r="F49" s="2474"/>
      <c r="G49" s="2474"/>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1"/>
  <sheetViews>
    <sheetView showGridLines="0" zoomScale="110" zoomScaleNormal="110" workbookViewId="0">
      <selection activeCell="D42" sqref="D42:H42"/>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4" t="str">
        <f>'Single Audit Cover'!A7</f>
        <v>Palos Heights SD 128</v>
      </c>
      <c r="C1" s="2454"/>
      <c r="D1" s="2454"/>
      <c r="E1" s="2454"/>
      <c r="F1" s="2454"/>
      <c r="G1" s="2454"/>
      <c r="H1" s="2454"/>
      <c r="I1" s="2454"/>
      <c r="J1" s="2454"/>
      <c r="K1" s="2454"/>
      <c r="L1" s="1370"/>
      <c r="M1" s="1370"/>
    </row>
    <row r="2" spans="1:13" ht="12" customHeight="1" x14ac:dyDescent="0.2">
      <c r="B2" s="2456">
        <f>'Single Audit Cover'!E7</f>
        <v>7016128002</v>
      </c>
      <c r="C2" s="2456"/>
      <c r="D2" s="2456"/>
      <c r="E2" s="2456"/>
      <c r="F2" s="2456"/>
      <c r="G2" s="2456"/>
      <c r="H2" s="2456"/>
      <c r="I2" s="2456"/>
      <c r="J2" s="2456"/>
      <c r="K2" s="2456"/>
      <c r="L2" s="1371"/>
      <c r="M2" s="1372"/>
    </row>
    <row r="3" spans="1:13" ht="10.35" customHeight="1" x14ac:dyDescent="0.2">
      <c r="B3" s="2477" t="s">
        <v>1285</v>
      </c>
      <c r="C3" s="2477"/>
      <c r="D3" s="2477"/>
      <c r="E3" s="2477"/>
      <c r="F3" s="2477"/>
      <c r="G3" s="2477"/>
      <c r="H3" s="2477"/>
      <c r="I3" s="2477"/>
      <c r="J3" s="2477"/>
      <c r="K3" s="2477"/>
      <c r="L3" s="1373"/>
      <c r="M3" s="1373"/>
    </row>
    <row r="4" spans="1:13" ht="14.25" customHeight="1" x14ac:dyDescent="0.2">
      <c r="B4" s="2478" t="str">
        <f>'Single Audit Cover'!A4</f>
        <v>Year Ending June 30, 2019</v>
      </c>
      <c r="C4" s="2478"/>
      <c r="D4" s="2478"/>
      <c r="E4" s="2478"/>
      <c r="F4" s="2478"/>
      <c r="G4" s="2478"/>
      <c r="H4" s="2478"/>
      <c r="I4" s="2478"/>
      <c r="J4" s="2478"/>
      <c r="K4" s="2478"/>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2095</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6"/>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c r="C29" s="2475"/>
      <c r="D29" s="2476"/>
      <c r="E29" s="2476"/>
      <c r="F29" s="2476"/>
      <c r="G29" s="2476"/>
      <c r="H29" s="2476"/>
      <c r="I29" s="2476"/>
      <c r="J29" s="2476"/>
      <c r="K29" s="2476"/>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5"/>
      <c r="C32" s="2475"/>
      <c r="D32" s="2476"/>
      <c r="E32" s="2476"/>
      <c r="F32" s="2476"/>
      <c r="G32" s="2476"/>
      <c r="H32" s="2476"/>
      <c r="I32" s="2476"/>
      <c r="J32" s="2476"/>
      <c r="K32" s="2476"/>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election activeCell="D42" sqref="D42:H4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1" t="str">
        <f>'Single Audit Cover'!A7</f>
        <v>Palos Heights SD 128</v>
      </c>
      <c r="C1" s="2481"/>
      <c r="D1" s="2481"/>
      <c r="E1" s="2481"/>
      <c r="F1" s="2481"/>
      <c r="G1" s="2481"/>
      <c r="H1" s="2481"/>
      <c r="I1" s="2481"/>
      <c r="J1" s="2481"/>
      <c r="K1" s="2481"/>
      <c r="L1" s="1448"/>
    </row>
    <row r="2" spans="1:12" ht="12.75" customHeight="1" x14ac:dyDescent="0.2">
      <c r="B2" s="2482">
        <f>'Single Audit Cover'!E7</f>
        <v>7016128002</v>
      </c>
      <c r="C2" s="2482"/>
      <c r="D2" s="2482"/>
      <c r="E2" s="2482"/>
      <c r="F2" s="2482"/>
      <c r="G2" s="2482"/>
      <c r="H2" s="2482"/>
      <c r="I2" s="2482"/>
      <c r="J2" s="2482"/>
      <c r="K2" s="2482"/>
      <c r="L2" s="1449"/>
    </row>
    <row r="3" spans="1:12" ht="12.75" customHeight="1" x14ac:dyDescent="0.2">
      <c r="B3" s="2477" t="s">
        <v>1285</v>
      </c>
      <c r="C3" s="2477"/>
      <c r="D3" s="2477"/>
      <c r="E3" s="2477"/>
      <c r="F3" s="2477"/>
      <c r="G3" s="2477"/>
      <c r="H3" s="2477"/>
      <c r="I3" s="2477"/>
      <c r="J3" s="2477"/>
      <c r="K3" s="2477"/>
      <c r="L3" s="1373"/>
    </row>
    <row r="4" spans="1:12" ht="12.75" customHeight="1" x14ac:dyDescent="0.2">
      <c r="B4" s="2477" t="str">
        <f>'Single Audit Cover'!A4</f>
        <v>Year Ending June 30, 2019</v>
      </c>
      <c r="C4" s="2477"/>
      <c r="D4" s="2477"/>
      <c r="E4" s="2477"/>
      <c r="F4" s="2477"/>
      <c r="G4" s="2477"/>
      <c r="H4" s="2477"/>
      <c r="I4" s="2477"/>
      <c r="J4" s="2477"/>
      <c r="K4" s="2477"/>
      <c r="L4" s="1373"/>
    </row>
    <row r="5" spans="1:12" ht="5.25" customHeight="1" x14ac:dyDescent="0.2">
      <c r="B5" s="1256" t="s">
        <v>1169</v>
      </c>
      <c r="C5" s="1256"/>
      <c r="L5" s="321"/>
    </row>
    <row r="6" spans="1:12" ht="30.75" customHeight="1" x14ac:dyDescent="0.2">
      <c r="A6" s="321"/>
      <c r="B6" s="2483" t="s">
        <v>1308</v>
      </c>
      <c r="C6" s="2483"/>
      <c r="D6" s="2483"/>
      <c r="E6" s="2483"/>
      <c r="F6" s="2483"/>
      <c r="G6" s="2483"/>
      <c r="H6" s="2483"/>
      <c r="I6" s="2483"/>
      <c r="J6" s="2483"/>
      <c r="K6" s="2483"/>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1989</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61"/>
      <c r="G12" s="2461"/>
      <c r="H12" s="2461"/>
      <c r="I12" s="2461"/>
      <c r="J12" s="2461"/>
      <c r="K12" s="2461"/>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4"/>
      <c r="E14" s="2484"/>
      <c r="F14" s="2484"/>
      <c r="H14" s="1458" t="s">
        <v>1303</v>
      </c>
      <c r="I14" s="2485"/>
      <c r="J14" s="2485"/>
      <c r="K14" s="2485"/>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5"/>
      <c r="E16" s="2485"/>
      <c r="F16" s="2485"/>
      <c r="G16" s="2485"/>
      <c r="H16" s="2485"/>
      <c r="I16" s="2485"/>
      <c r="J16" s="2485"/>
      <c r="K16" s="2485"/>
      <c r="L16" s="321"/>
    </row>
    <row r="17" spans="2:12" ht="13.5" customHeight="1" x14ac:dyDescent="0.2">
      <c r="B17" s="1383" t="s">
        <v>1301</v>
      </c>
      <c r="C17" s="1383"/>
      <c r="D17" s="2486"/>
      <c r="E17" s="2486"/>
      <c r="F17" s="2486"/>
      <c r="G17" s="2486"/>
      <c r="H17" s="2486"/>
      <c r="I17" s="2486"/>
      <c r="J17" s="2486"/>
      <c r="K17" s="2486"/>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6" t="s">
        <v>2095</v>
      </c>
      <c r="C20" s="2476"/>
      <c r="D20" s="2476"/>
      <c r="E20" s="2476"/>
      <c r="F20" s="2476"/>
      <c r="G20" s="2476"/>
      <c r="H20" s="2476"/>
      <c r="I20" s="2476"/>
      <c r="J20" s="2476"/>
      <c r="K20" s="247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6"/>
      <c r="C23" s="2476"/>
      <c r="D23" s="2476"/>
      <c r="E23" s="2476"/>
      <c r="F23" s="2476"/>
      <c r="G23" s="2476"/>
      <c r="H23" s="2476"/>
      <c r="I23" s="2476"/>
      <c r="J23" s="2476"/>
      <c r="K23" s="2476"/>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6"/>
      <c r="C26" s="2476"/>
      <c r="D26" s="2476"/>
      <c r="E26" s="2476"/>
      <c r="F26" s="2476"/>
      <c r="G26" s="2476"/>
      <c r="H26" s="2476"/>
      <c r="I26" s="2476"/>
      <c r="J26" s="2476"/>
      <c r="K26" s="2476"/>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6"/>
      <c r="C29" s="2476"/>
      <c r="D29" s="2476"/>
      <c r="E29" s="2476"/>
      <c r="F29" s="2476"/>
      <c r="G29" s="2476"/>
      <c r="H29" s="2476"/>
      <c r="I29" s="2476"/>
      <c r="J29" s="2476"/>
      <c r="K29" s="2476"/>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6"/>
      <c r="C32" s="2476"/>
      <c r="D32" s="2476"/>
      <c r="E32" s="2476"/>
      <c r="F32" s="2476"/>
      <c r="G32" s="2476"/>
      <c r="H32" s="2476"/>
      <c r="I32" s="2476"/>
      <c r="J32" s="2476"/>
      <c r="K32" s="2476"/>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6"/>
      <c r="C35" s="2476"/>
      <c r="D35" s="2476"/>
      <c r="E35" s="2476"/>
      <c r="F35" s="2476"/>
      <c r="G35" s="2476"/>
      <c r="H35" s="2476"/>
      <c r="I35" s="2476"/>
      <c r="J35" s="2476"/>
      <c r="K35" s="2476"/>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6"/>
      <c r="C38" s="2476"/>
      <c r="D38" s="2476"/>
      <c r="E38" s="2476"/>
      <c r="F38" s="2476"/>
      <c r="G38" s="2476"/>
      <c r="H38" s="2476"/>
      <c r="I38" s="2476"/>
      <c r="J38" s="2476"/>
      <c r="K38" s="2476"/>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6"/>
      <c r="C41" s="2476"/>
      <c r="D41" s="2476"/>
      <c r="E41" s="2476"/>
      <c r="F41" s="2476"/>
      <c r="G41" s="2476"/>
      <c r="H41" s="2476"/>
      <c r="I41" s="2476"/>
      <c r="J41" s="2476"/>
      <c r="K41" s="2476"/>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E73"/>
  <sheetViews>
    <sheetView showGridLines="0" zoomScale="110" zoomScaleNormal="110" workbookViewId="0">
      <selection activeCell="D42" sqref="D42:H42"/>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4" t="str">
        <f>'Single Audit Cover'!A7</f>
        <v>Palos Heights SD 128</v>
      </c>
      <c r="C1" s="2454"/>
      <c r="D1" s="2454"/>
      <c r="E1" s="1468"/>
    </row>
    <row r="2" spans="2:5" s="1278" customFormat="1" ht="12.75" customHeight="1" x14ac:dyDescent="0.2">
      <c r="B2" s="2456">
        <f>'Single Audit Cover'!E7</f>
        <v>7016128002</v>
      </c>
      <c r="C2" s="2456"/>
      <c r="D2" s="2456"/>
      <c r="E2" s="1469"/>
    </row>
    <row r="3" spans="2:5" ht="12.75" customHeight="1" x14ac:dyDescent="0.2">
      <c r="B3" s="2477" t="s">
        <v>1766</v>
      </c>
      <c r="C3" s="2477"/>
      <c r="D3" s="2477"/>
      <c r="E3" s="1270"/>
    </row>
    <row r="4" spans="2:5" s="1278" customFormat="1" ht="12.75" customHeight="1" x14ac:dyDescent="0.2">
      <c r="B4" s="2487" t="str">
        <f>'Single Audit Cover'!A4</f>
        <v>Year Ending June 30, 2019</v>
      </c>
      <c r="C4" s="2487"/>
      <c r="D4" s="2487"/>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t="s">
        <v>2095</v>
      </c>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B82" sqref="B82"/>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5" t="s">
        <v>386</v>
      </c>
      <c r="B1" s="2085"/>
      <c r="C1" s="2085"/>
      <c r="D1" s="2085"/>
      <c r="E1" s="2085"/>
      <c r="F1" s="2085"/>
      <c r="G1" s="2085"/>
      <c r="H1" s="2085"/>
      <c r="I1" s="2085"/>
      <c r="J1" s="2085"/>
      <c r="K1" s="2085"/>
      <c r="L1" s="2085"/>
      <c r="M1" s="2085"/>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v>308366909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2.1940000000000002E-3</v>
      </c>
      <c r="E10" s="355" t="s">
        <v>1005</v>
      </c>
      <c r="F10" s="354">
        <v>2.3730000000000001E-3</v>
      </c>
      <c r="G10" s="355" t="s">
        <v>1005</v>
      </c>
      <c r="H10" s="354">
        <v>1.0089999999999999E-3</v>
      </c>
      <c r="I10" s="355" t="s">
        <v>1006</v>
      </c>
      <c r="J10" s="1731">
        <f>ROUND(D10+F10+H10,5)</f>
        <v>5.5799999999999999E-3</v>
      </c>
      <c r="K10" s="221"/>
      <c r="L10" s="354">
        <v>3.9999999999999998E-6</v>
      </c>
      <c r="M10" s="221"/>
    </row>
    <row r="11" spans="1:14" ht="7.5" customHeight="1" x14ac:dyDescent="0.2">
      <c r="B11" s="221"/>
      <c r="C11" s="221"/>
      <c r="D11" s="2095" t="str">
        <f>IF(SUM(J10)&lt;=0.0999999,"","Enter the Tax Rates by moving the decimal two places to the left.")</f>
        <v/>
      </c>
      <c r="E11" s="2096"/>
      <c r="F11" s="2096"/>
      <c r="G11" s="2096"/>
      <c r="H11" s="2096"/>
      <c r="I11" s="2096"/>
      <c r="J11" s="209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9632909</v>
      </c>
      <c r="E16" s="355"/>
      <c r="F16" s="1732">
        <f>SUM('Acct Summary 7-8'!C17,'Acct Summary 7-8'!D17,'Acct Summary 7-8'!F17)</f>
        <v>8839064</v>
      </c>
      <c r="G16" s="355"/>
      <c r="H16" s="1732">
        <f>SUM(D16-F16)</f>
        <v>793845</v>
      </c>
      <c r="I16" s="221"/>
      <c r="J16" s="1732">
        <f>SUM('Acct Summary 7-8'!C81,'Acct Summary 7-8'!D81,'Acct Summary 7-8'!F81,'Acct Summary 7-8'!I81)</f>
        <v>10294652</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2090</v>
      </c>
      <c r="C31" s="366" t="s">
        <v>586</v>
      </c>
      <c r="D31" s="236" t="s">
        <v>1072</v>
      </c>
      <c r="E31" s="221"/>
      <c r="F31" s="221"/>
      <c r="G31" s="362"/>
      <c r="H31" s="1734">
        <f>IF(B31="X",(J7*0.069),IF(B32="X",(J7*0.138),"Enter x in a.or b."))</f>
        <v>21277316.721000001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2575000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6"/>
      <c r="C54" s="2087"/>
      <c r="D54" s="2087"/>
      <c r="E54" s="2087"/>
      <c r="F54" s="2087"/>
      <c r="G54" s="2087"/>
      <c r="H54" s="2087"/>
      <c r="I54" s="2087"/>
      <c r="J54" s="2087"/>
      <c r="K54" s="2087"/>
      <c r="L54" s="2088"/>
      <c r="M54" s="379"/>
    </row>
    <row r="55" spans="1:13" ht="12.75" customHeight="1" x14ac:dyDescent="0.2">
      <c r="B55" s="2089"/>
      <c r="C55" s="2090"/>
      <c r="D55" s="2090"/>
      <c r="E55" s="2090"/>
      <c r="F55" s="2090"/>
      <c r="G55" s="2090"/>
      <c r="H55" s="2090"/>
      <c r="I55" s="2090"/>
      <c r="J55" s="2090"/>
      <c r="K55" s="2090"/>
      <c r="L55" s="2091"/>
      <c r="M55" s="379"/>
    </row>
    <row r="56" spans="1:13" ht="12.75" customHeight="1" x14ac:dyDescent="0.2">
      <c r="B56" s="2089"/>
      <c r="C56" s="2090"/>
      <c r="D56" s="2090"/>
      <c r="E56" s="2090"/>
      <c r="F56" s="2090"/>
      <c r="G56" s="2090"/>
      <c r="H56" s="2090"/>
      <c r="I56" s="2090"/>
      <c r="J56" s="2090"/>
      <c r="K56" s="2090"/>
      <c r="L56" s="2091"/>
      <c r="M56" s="221"/>
    </row>
    <row r="57" spans="1:13" ht="12.75" customHeight="1" x14ac:dyDescent="0.2">
      <c r="B57" s="2089"/>
      <c r="C57" s="2090"/>
      <c r="D57" s="2090"/>
      <c r="E57" s="2090"/>
      <c r="F57" s="2090"/>
      <c r="G57" s="2090"/>
      <c r="H57" s="2090"/>
      <c r="I57" s="2090"/>
      <c r="J57" s="2090"/>
      <c r="K57" s="2090"/>
      <c r="L57" s="2091"/>
      <c r="M57" s="221"/>
    </row>
    <row r="58" spans="1:13" x14ac:dyDescent="0.2">
      <c r="B58" s="2092"/>
      <c r="C58" s="2093"/>
      <c r="D58" s="2093"/>
      <c r="E58" s="2093"/>
      <c r="F58" s="2093"/>
      <c r="G58" s="2093"/>
      <c r="H58" s="2093"/>
      <c r="I58" s="2093"/>
      <c r="J58" s="2093"/>
      <c r="K58" s="2093"/>
      <c r="L58" s="209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7"/>
      <c r="D61" s="209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22" zoomScale="110" zoomScaleNormal="110" workbookViewId="0">
      <selection activeCell="B82" sqref="B82"/>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0"/>
      <c r="B1" s="2101"/>
      <c r="C1" s="2101"/>
      <c r="D1" s="383"/>
      <c r="E1" s="383"/>
      <c r="F1" s="383"/>
      <c r="G1" s="383"/>
      <c r="H1" s="383"/>
      <c r="I1" s="383"/>
      <c r="J1" s="383"/>
      <c r="K1" s="383"/>
      <c r="L1" s="383"/>
      <c r="M1" s="383"/>
      <c r="N1" s="383"/>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Palos Heights SD 128</v>
      </c>
      <c r="E7" s="390"/>
      <c r="G7" s="251"/>
      <c r="H7" s="386"/>
      <c r="I7" s="386"/>
      <c r="J7" s="386"/>
      <c r="K7" s="386"/>
      <c r="L7" s="328"/>
      <c r="M7" s="328"/>
      <c r="N7" s="328"/>
      <c r="O7" s="328"/>
      <c r="P7" s="328"/>
    </row>
    <row r="8" spans="1:18" ht="12.75" x14ac:dyDescent="0.2">
      <c r="A8" s="328"/>
      <c r="B8" s="328"/>
      <c r="C8" s="388" t="s">
        <v>1125</v>
      </c>
      <c r="D8" s="391">
        <f>COVER!A13</f>
        <v>7016128002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10294652</v>
      </c>
      <c r="I12" s="403"/>
      <c r="J12" s="403"/>
      <c r="K12" s="404">
        <f>TRUNC((H12/H13*100000),5)/100000</f>
        <v>1.0686960709</v>
      </c>
      <c r="L12" s="405"/>
      <c r="M12" s="359" t="s">
        <v>1144</v>
      </c>
      <c r="N12" s="359"/>
      <c r="O12" s="406">
        <v>0.35</v>
      </c>
      <c r="P12" s="217"/>
      <c r="Q12" s="217"/>
    </row>
    <row r="13" spans="1:18" s="407" customFormat="1" ht="12.75" x14ac:dyDescent="0.2">
      <c r="A13" s="217"/>
      <c r="B13" s="400"/>
      <c r="C13" s="2102" t="s">
        <v>1324</v>
      </c>
      <c r="D13" s="2103"/>
      <c r="E13" s="217"/>
      <c r="F13" s="408" t="s">
        <v>793</v>
      </c>
      <c r="G13" s="401"/>
      <c r="H13" s="402">
        <f>SUM('Acct Summary 7-8'!C8+'Acct Summary 7-8'!D8+'Acct Summary 7-8'!F8+'Acct Summary 7-8'!I8)+H14</f>
        <v>9632909</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8839064</v>
      </c>
      <c r="I17" s="403"/>
      <c r="J17" s="415"/>
      <c r="K17" s="404">
        <f>TRUNC((H17/H18*100000),5)/100000</f>
        <v>0.91759031459999996</v>
      </c>
      <c r="L17" s="405"/>
      <c r="M17" s="416" t="s">
        <v>1171</v>
      </c>
      <c r="O17" s="417" t="str">
        <f>IF(AND(O16="2", J20 &gt; 2),"1",IF(AND(O16 = "1", J20 &gt; 2),"2",IF(AND(O16="1", J20 &gt;1),"1","0")))</f>
        <v>0</v>
      </c>
      <c r="P17" s="217"/>
    </row>
    <row r="18" spans="1:18" s="407" customFormat="1" ht="11.25" x14ac:dyDescent="0.2">
      <c r="A18" s="217"/>
      <c r="B18" s="400"/>
      <c r="C18" s="2102" t="s">
        <v>1317</v>
      </c>
      <c r="D18" s="2103"/>
      <c r="E18" s="217"/>
      <c r="F18" s="418" t="s">
        <v>794</v>
      </c>
      <c r="G18" s="401"/>
      <c r="H18" s="402">
        <f>SUM('Acct Summary 7-8'!C8+'Acct Summary 7-8'!D8+'Acct Summary 7-8'!F8+'Acct Summary 7-8'!I8)+H19</f>
        <v>9632909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9" t="s">
        <v>1412</v>
      </c>
      <c r="D24" s="2099"/>
      <c r="E24" s="217"/>
      <c r="F24" s="217" t="s">
        <v>445</v>
      </c>
      <c r="G24" s="401"/>
      <c r="H24" s="402">
        <f>SUM('Assets-Liab 5-6'!C4+'Assets-Liab 5-6'!D4+'Assets-Liab 5-6'!F4+'Assets-Liab 5-6'!I4+'Assets-Liab 5-6'!C5+'Assets-Liab 5-6'!D5+'Assets-Liab 5-6'!F5+'Assets-Liab 5-6'!I5)</f>
        <v>10195727</v>
      </c>
      <c r="I24" s="421"/>
      <c r="J24" s="421"/>
      <c r="K24" s="422">
        <f>TRUNC(((H24/H25*100000)/100000),2)</f>
        <v>415.25</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24552.955559999999</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1462584.24939</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2575000</v>
      </c>
      <c r="I32" s="419"/>
      <c r="J32" s="419"/>
      <c r="K32" s="422">
        <f>TRUNC(100-((((H32/H33*100))*100)/100),2)</f>
        <v>87.89</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21277316.721000001</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27" activePane="bottomLeft" state="frozen"/>
      <selection activeCell="I40" sqref="I40"/>
      <selection pane="bottomLeft" activeCell="I40" sqref="I40"/>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7"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8"/>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9" t="s">
        <v>973</v>
      </c>
      <c r="B3" s="2110"/>
      <c r="C3" s="1558"/>
      <c r="D3" s="1559"/>
      <c r="E3" s="1559"/>
      <c r="F3" s="1559"/>
      <c r="G3" s="1559"/>
      <c r="H3" s="1559"/>
      <c r="I3" s="1559"/>
      <c r="J3" s="1559"/>
      <c r="K3" s="1559"/>
      <c r="L3" s="1559"/>
      <c r="M3" s="1560"/>
      <c r="N3" s="1561"/>
    </row>
    <row r="4" spans="1:14" ht="13.5" customHeight="1" x14ac:dyDescent="0.2">
      <c r="A4" s="462" t="s">
        <v>1651</v>
      </c>
      <c r="B4" s="463"/>
      <c r="C4" s="464">
        <v>6025160</v>
      </c>
      <c r="D4" s="465">
        <v>725845</v>
      </c>
      <c r="E4" s="465">
        <v>671030</v>
      </c>
      <c r="F4" s="465">
        <v>546823</v>
      </c>
      <c r="G4" s="465">
        <v>251474</v>
      </c>
      <c r="H4" s="465">
        <v>170069</v>
      </c>
      <c r="I4" s="465">
        <v>2897899</v>
      </c>
      <c r="J4" s="466">
        <v>4446</v>
      </c>
      <c r="K4" s="465">
        <v>43554</v>
      </c>
      <c r="L4" s="465">
        <v>16767</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v>2043</v>
      </c>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v>84395</v>
      </c>
      <c r="D9" s="466">
        <v>28837</v>
      </c>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6111598</v>
      </c>
      <c r="D13" s="1736">
        <f t="shared" ref="D13:L13" si="0">SUM(D4:D12)</f>
        <v>754682</v>
      </c>
      <c r="E13" s="1736">
        <f t="shared" si="0"/>
        <v>671030</v>
      </c>
      <c r="F13" s="1736">
        <f t="shared" si="0"/>
        <v>546823</v>
      </c>
      <c r="G13" s="1736">
        <f t="shared" si="0"/>
        <v>251474</v>
      </c>
      <c r="H13" s="1736">
        <f t="shared" si="0"/>
        <v>170069</v>
      </c>
      <c r="I13" s="1736">
        <f t="shared" si="0"/>
        <v>2897899</v>
      </c>
      <c r="J13" s="1736">
        <f t="shared" si="0"/>
        <v>4446</v>
      </c>
      <c r="K13" s="1736">
        <f t="shared" si="0"/>
        <v>43554</v>
      </c>
      <c r="L13" s="1736">
        <f t="shared" si="0"/>
        <v>16767</v>
      </c>
      <c r="M13" s="467"/>
      <c r="N13" s="468"/>
    </row>
    <row r="14" spans="1:14" ht="18" customHeight="1" thickTop="1" x14ac:dyDescent="0.2">
      <c r="A14" s="2111" t="s">
        <v>147</v>
      </c>
      <c r="B14" s="2112"/>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58959</v>
      </c>
      <c r="N16" s="483"/>
    </row>
    <row r="17" spans="1:14" s="484" customFormat="1" ht="12.75" customHeight="1" x14ac:dyDescent="0.2">
      <c r="A17" s="481" t="s">
        <v>1403</v>
      </c>
      <c r="B17" s="482">
        <v>230</v>
      </c>
      <c r="C17" s="476"/>
      <c r="D17" s="476"/>
      <c r="E17" s="476"/>
      <c r="F17" s="476"/>
      <c r="G17" s="476"/>
      <c r="H17" s="476"/>
      <c r="I17" s="476"/>
      <c r="J17" s="476"/>
      <c r="K17" s="476"/>
      <c r="L17" s="476"/>
      <c r="M17" s="466">
        <v>10629112</v>
      </c>
      <c r="N17" s="483"/>
    </row>
    <row r="18" spans="1:14" s="484" customFormat="1" ht="12.75" customHeight="1" x14ac:dyDescent="0.2">
      <c r="A18" s="481" t="s">
        <v>1404</v>
      </c>
      <c r="B18" s="482">
        <v>240</v>
      </c>
      <c r="C18" s="476"/>
      <c r="D18" s="476"/>
      <c r="E18" s="476"/>
      <c r="F18" s="476"/>
      <c r="G18" s="476"/>
      <c r="H18" s="476"/>
      <c r="I18" s="476"/>
      <c r="J18" s="476"/>
      <c r="K18" s="476"/>
      <c r="L18" s="476"/>
      <c r="M18" s="466"/>
      <c r="N18" s="483"/>
    </row>
    <row r="19" spans="1:14" s="484" customFormat="1" ht="12.75" customHeight="1" x14ac:dyDescent="0.2">
      <c r="A19" s="481" t="s">
        <v>1405</v>
      </c>
      <c r="B19" s="482">
        <v>250</v>
      </c>
      <c r="C19" s="476"/>
      <c r="D19" s="476"/>
      <c r="E19" s="476"/>
      <c r="F19" s="476"/>
      <c r="G19" s="476"/>
      <c r="H19" s="476"/>
      <c r="I19" s="476"/>
      <c r="J19" s="476"/>
      <c r="K19" s="476"/>
      <c r="L19" s="476"/>
      <c r="M19" s="466">
        <v>192026</v>
      </c>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1735000</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840000</v>
      </c>
    </row>
    <row r="23" spans="1:14" ht="13.5" customHeight="1" thickBot="1" x14ac:dyDescent="0.25">
      <c r="A23" s="1735" t="s">
        <v>643</v>
      </c>
      <c r="B23" s="1740"/>
      <c r="C23" s="467"/>
      <c r="D23" s="467"/>
      <c r="E23" s="467"/>
      <c r="F23" s="467"/>
      <c r="G23" s="467"/>
      <c r="H23" s="467"/>
      <c r="I23" s="467"/>
      <c r="J23" s="467"/>
      <c r="K23" s="467"/>
      <c r="L23" s="467"/>
      <c r="M23" s="1687">
        <f>SUM(M15:M22)</f>
        <v>10880097</v>
      </c>
      <c r="N23" s="1687">
        <f>SUM(N21:N22)</f>
        <v>2575000</v>
      </c>
    </row>
    <row r="24" spans="1:14" ht="18" customHeight="1" thickTop="1" x14ac:dyDescent="0.2">
      <c r="A24" s="2113" t="s">
        <v>598</v>
      </c>
      <c r="B24" s="2114"/>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v>2043</v>
      </c>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v>4402</v>
      </c>
      <c r="D31" s="466">
        <v>568</v>
      </c>
      <c r="E31" s="466"/>
      <c r="F31" s="465">
        <v>11380</v>
      </c>
      <c r="G31" s="466">
        <v>624</v>
      </c>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16767</v>
      </c>
      <c r="M33" s="467"/>
      <c r="N33" s="468"/>
    </row>
    <row r="34" spans="1:14" ht="13.5" customHeight="1" thickBot="1" x14ac:dyDescent="0.25">
      <c r="A34" s="1737" t="s">
        <v>654</v>
      </c>
      <c r="B34" s="1738"/>
      <c r="C34" s="1739">
        <f>SUM(C25:C33)</f>
        <v>4402</v>
      </c>
      <c r="D34" s="1739">
        <f t="shared" ref="D34:K34" si="1">SUM(D25:D33)</f>
        <v>568</v>
      </c>
      <c r="E34" s="1739">
        <f t="shared" si="1"/>
        <v>0</v>
      </c>
      <c r="F34" s="1739">
        <f t="shared" si="1"/>
        <v>11380</v>
      </c>
      <c r="G34" s="1739">
        <f t="shared" si="1"/>
        <v>2667</v>
      </c>
      <c r="H34" s="1739">
        <f t="shared" si="1"/>
        <v>0</v>
      </c>
      <c r="I34" s="1739">
        <f t="shared" si="1"/>
        <v>0</v>
      </c>
      <c r="J34" s="1739">
        <f t="shared" si="1"/>
        <v>0</v>
      </c>
      <c r="K34" s="1739">
        <f t="shared" si="1"/>
        <v>0</v>
      </c>
      <c r="L34" s="1720">
        <f>SUM(L33)</f>
        <v>16767</v>
      </c>
      <c r="M34" s="467"/>
      <c r="N34" s="479"/>
    </row>
    <row r="35" spans="1:14" ht="18" customHeight="1" thickTop="1" x14ac:dyDescent="0.2">
      <c r="A35" s="2115" t="s">
        <v>529</v>
      </c>
      <c r="B35" s="2116"/>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2575000</v>
      </c>
    </row>
    <row r="37" spans="1:14" ht="13.5" thickBot="1" x14ac:dyDescent="0.25">
      <c r="A37" s="1735" t="s">
        <v>653</v>
      </c>
      <c r="B37" s="1740"/>
      <c r="C37" s="476"/>
      <c r="D37" s="476"/>
      <c r="E37" s="476"/>
      <c r="F37" s="476"/>
      <c r="G37" s="476"/>
      <c r="H37" s="476"/>
      <c r="I37" s="476"/>
      <c r="J37" s="476"/>
      <c r="K37" s="476"/>
      <c r="L37" s="479"/>
      <c r="M37" s="467"/>
      <c r="N37" s="1687">
        <f>SUM(N36:N36)</f>
        <v>2575000</v>
      </c>
    </row>
    <row r="38" spans="1:14" s="328" customFormat="1" ht="13.5" customHeight="1" thickTop="1" x14ac:dyDescent="0.2">
      <c r="A38" s="495" t="s">
        <v>420</v>
      </c>
      <c r="B38" s="482">
        <v>714</v>
      </c>
      <c r="C38" s="465"/>
      <c r="D38" s="465">
        <v>754114</v>
      </c>
      <c r="E38" s="465">
        <v>671030</v>
      </c>
      <c r="F38" s="465">
        <v>535443</v>
      </c>
      <c r="G38" s="465">
        <v>248807</v>
      </c>
      <c r="H38" s="465">
        <v>170069</v>
      </c>
      <c r="I38" s="465"/>
      <c r="J38" s="466">
        <v>4446</v>
      </c>
      <c r="K38" s="465">
        <v>43554</v>
      </c>
      <c r="L38" s="480"/>
      <c r="M38" s="496"/>
      <c r="N38" s="496"/>
    </row>
    <row r="39" spans="1:14" s="328" customFormat="1" ht="13.5" customHeight="1" x14ac:dyDescent="0.2">
      <c r="A39" s="495" t="s">
        <v>342</v>
      </c>
      <c r="B39" s="482">
        <v>730</v>
      </c>
      <c r="C39" s="465">
        <v>6107196</v>
      </c>
      <c r="D39" s="465"/>
      <c r="E39" s="465"/>
      <c r="F39" s="465"/>
      <c r="G39" s="465"/>
      <c r="H39" s="465"/>
      <c r="I39" s="465">
        <v>2897899</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10880097</v>
      </c>
      <c r="N40" s="496"/>
    </row>
    <row r="41" spans="1:14" ht="13.5" customHeight="1" thickBot="1" x14ac:dyDescent="0.25">
      <c r="A41" s="1735" t="s">
        <v>655</v>
      </c>
      <c r="B41" s="1705"/>
      <c r="C41" s="1687">
        <f>(SUM(C34,C37,C38,C39))</f>
        <v>6111598</v>
      </c>
      <c r="D41" s="1687">
        <f t="shared" ref="D41:L41" si="2">SUM(D34,D37,D38:D39)</f>
        <v>754682</v>
      </c>
      <c r="E41" s="1687">
        <f t="shared" si="2"/>
        <v>671030</v>
      </c>
      <c r="F41" s="1687">
        <f t="shared" si="2"/>
        <v>546823</v>
      </c>
      <c r="G41" s="1687">
        <f t="shared" si="2"/>
        <v>251474</v>
      </c>
      <c r="H41" s="1687">
        <f t="shared" si="2"/>
        <v>170069</v>
      </c>
      <c r="I41" s="1687">
        <f t="shared" si="2"/>
        <v>2897899</v>
      </c>
      <c r="J41" s="1687">
        <f t="shared" si="2"/>
        <v>4446</v>
      </c>
      <c r="K41" s="1687">
        <f t="shared" si="2"/>
        <v>43554</v>
      </c>
      <c r="L41" s="1687">
        <f t="shared" si="2"/>
        <v>16767</v>
      </c>
      <c r="M41" s="1687">
        <f>SUM(M40)</f>
        <v>10880097</v>
      </c>
      <c r="N41" s="1687">
        <f>SUM(N37)</f>
        <v>2575000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I40" sqref="I40"/>
      <selection pane="bottomLeft" activeCell="I40" sqref="I40"/>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5"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6"/>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7" t="s">
        <v>1175</v>
      </c>
      <c r="B3" s="2138"/>
      <c r="C3" s="1572"/>
      <c r="D3" s="1573"/>
      <c r="E3" s="1573"/>
      <c r="F3" s="1573"/>
      <c r="G3" s="1573"/>
      <c r="H3" s="1573"/>
      <c r="I3" s="1573"/>
      <c r="J3" s="1573"/>
      <c r="K3" s="1574"/>
      <c r="L3" s="505"/>
    </row>
    <row r="4" spans="1:13" ht="15.75" customHeight="1" x14ac:dyDescent="0.2">
      <c r="A4" s="1927" t="s">
        <v>1499</v>
      </c>
      <c r="B4" s="1928">
        <v>1000</v>
      </c>
      <c r="C4" s="1741">
        <f>'Revenues 9-14'!C109</f>
        <v>7246198</v>
      </c>
      <c r="D4" s="1741">
        <f>'Revenues 9-14'!D109</f>
        <v>742263</v>
      </c>
      <c r="E4" s="1741">
        <f>'Revenues 9-14'!E109</f>
        <v>935957</v>
      </c>
      <c r="F4" s="1741">
        <f>'Revenues 9-14'!F109</f>
        <v>334330</v>
      </c>
      <c r="G4" s="1741">
        <f>'Revenues 9-14'!G109</f>
        <v>332659</v>
      </c>
      <c r="H4" s="1741">
        <f>'Revenues 9-14'!H109</f>
        <v>19034</v>
      </c>
      <c r="I4" s="1741">
        <f>'Revenues 9-14'!I109</f>
        <v>69521</v>
      </c>
      <c r="J4" s="1741">
        <f>'Revenues 9-14'!J109</f>
        <v>116</v>
      </c>
      <c r="K4" s="1741">
        <f>'Revenues 9-14'!K109</f>
        <v>2182</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653117</v>
      </c>
      <c r="D6" s="1742">
        <f>'Revenues 9-14'!D170</f>
        <v>75000</v>
      </c>
      <c r="E6" s="1742">
        <f>'Revenues 9-14'!E170</f>
        <v>0</v>
      </c>
      <c r="F6" s="1742">
        <f>'Revenues 9-14'!F170</f>
        <v>144881</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367599</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8266914</v>
      </c>
      <c r="D8" s="1687">
        <f t="shared" ref="D8:K8" si="0">SUM(D4:D7)</f>
        <v>817263</v>
      </c>
      <c r="E8" s="1687">
        <f t="shared" si="0"/>
        <v>935957</v>
      </c>
      <c r="F8" s="1687">
        <f t="shared" si="0"/>
        <v>479211</v>
      </c>
      <c r="G8" s="1687">
        <f t="shared" si="0"/>
        <v>332659</v>
      </c>
      <c r="H8" s="1687">
        <f t="shared" si="0"/>
        <v>19034</v>
      </c>
      <c r="I8" s="1687">
        <f t="shared" si="0"/>
        <v>69521</v>
      </c>
      <c r="J8" s="1687">
        <f t="shared" si="0"/>
        <v>116</v>
      </c>
      <c r="K8" s="1687">
        <f t="shared" si="0"/>
        <v>2182</v>
      </c>
      <c r="L8" s="346"/>
    </row>
    <row r="9" spans="1:13" ht="15.75" thickTop="1" x14ac:dyDescent="0.2">
      <c r="A9" s="513" t="s">
        <v>1653</v>
      </c>
      <c r="B9" s="514">
        <v>3998</v>
      </c>
      <c r="C9" s="480">
        <v>1882495</v>
      </c>
      <c r="D9" s="515"/>
      <c r="E9" s="480"/>
      <c r="F9" s="480"/>
      <c r="G9" s="516"/>
      <c r="H9" s="480"/>
      <c r="I9" s="508" t="s">
        <v>1169</v>
      </c>
      <c r="J9" s="477"/>
      <c r="K9" s="480"/>
      <c r="L9" s="346"/>
    </row>
    <row r="10" spans="1:13" s="518" customFormat="1" ht="13.5" thickBot="1" x14ac:dyDescent="0.25">
      <c r="A10" s="1735" t="s">
        <v>1173</v>
      </c>
      <c r="B10" s="1708"/>
      <c r="C10" s="1687">
        <f>SUM(C8:C9)</f>
        <v>10149409</v>
      </c>
      <c r="D10" s="1687">
        <f t="shared" ref="D10:K10" si="1">SUM(D8:D9)</f>
        <v>817263</v>
      </c>
      <c r="E10" s="1687">
        <f t="shared" si="1"/>
        <v>935957</v>
      </c>
      <c r="F10" s="1687">
        <f t="shared" si="1"/>
        <v>479211</v>
      </c>
      <c r="G10" s="1687">
        <f t="shared" si="1"/>
        <v>332659</v>
      </c>
      <c r="H10" s="1687">
        <f t="shared" si="1"/>
        <v>19034</v>
      </c>
      <c r="I10" s="1687">
        <f t="shared" si="1"/>
        <v>69521</v>
      </c>
      <c r="J10" s="1687">
        <f t="shared" si="1"/>
        <v>116</v>
      </c>
      <c r="K10" s="1687">
        <f t="shared" si="1"/>
        <v>2182</v>
      </c>
      <c r="L10" s="517"/>
    </row>
    <row r="11" spans="1:13" s="518" customFormat="1" ht="16.7" customHeight="1" thickTop="1" x14ac:dyDescent="0.2">
      <c r="A11" s="2111" t="s">
        <v>1176</v>
      </c>
      <c r="B11" s="2112"/>
      <c r="C11" s="1569"/>
      <c r="D11" s="1570"/>
      <c r="E11" s="1570"/>
      <c r="F11" s="1570"/>
      <c r="G11" s="1570"/>
      <c r="H11" s="1570"/>
      <c r="I11" s="1570"/>
      <c r="J11" s="1570"/>
      <c r="K11" s="1571"/>
      <c r="L11" s="517"/>
    </row>
    <row r="12" spans="1:13" ht="15.75" customHeight="1" x14ac:dyDescent="0.2">
      <c r="A12" s="1575" t="s">
        <v>456</v>
      </c>
      <c r="B12" s="1577">
        <v>1000</v>
      </c>
      <c r="C12" s="1741">
        <f>'Expenditures 15-22'!K33</f>
        <v>5066755</v>
      </c>
      <c r="D12" s="519" t="s">
        <v>1169</v>
      </c>
      <c r="E12" s="467" t="s">
        <v>1169</v>
      </c>
      <c r="F12" s="467" t="s">
        <v>1169</v>
      </c>
      <c r="G12" s="1741">
        <f>'Expenditures 15-22'!K229</f>
        <v>137764</v>
      </c>
      <c r="H12" s="520"/>
      <c r="I12" s="467" t="s">
        <v>1169</v>
      </c>
      <c r="J12" s="467" t="s">
        <v>1169</v>
      </c>
      <c r="K12" s="520" t="s">
        <v>1169</v>
      </c>
      <c r="L12" s="346"/>
    </row>
    <row r="13" spans="1:13" ht="15.75" customHeight="1" x14ac:dyDescent="0.2">
      <c r="A13" s="1575" t="s">
        <v>457</v>
      </c>
      <c r="B13" s="1577">
        <v>2000</v>
      </c>
      <c r="C13" s="1742">
        <f>'Expenditures 15-22'!K74</f>
        <v>2533881</v>
      </c>
      <c r="D13" s="1742">
        <f>'Expenditures 15-22'!K129</f>
        <v>872589</v>
      </c>
      <c r="E13" s="468" t="s">
        <v>1169</v>
      </c>
      <c r="F13" s="1742">
        <f>'Expenditures 15-22'!K184</f>
        <v>284119</v>
      </c>
      <c r="G13" s="1742">
        <f>'Expenditures 15-22'!K279</f>
        <v>177331</v>
      </c>
      <c r="H13" s="1742">
        <f>'Expenditures 15-22'!K303</f>
        <v>3083971</v>
      </c>
      <c r="I13" s="467" t="s">
        <v>1169</v>
      </c>
      <c r="J13" s="1742">
        <f>'Expenditures 15-22'!K330</f>
        <v>0</v>
      </c>
      <c r="K13" s="1746">
        <f>'Expenditures 15-22'!K352</f>
        <v>0</v>
      </c>
      <c r="L13" s="346"/>
    </row>
    <row r="14" spans="1:13" ht="15.75" customHeight="1" x14ac:dyDescent="0.2">
      <c r="A14" s="1575" t="s">
        <v>449</v>
      </c>
      <c r="B14" s="1577">
        <v>3000</v>
      </c>
      <c r="C14" s="1742">
        <f>'Expenditures 15-22'!K75</f>
        <v>7027</v>
      </c>
      <c r="D14" s="1742">
        <f>'Expenditures 15-22'!K130</f>
        <v>0</v>
      </c>
      <c r="E14" s="519" t="s">
        <v>1169</v>
      </c>
      <c r="F14" s="1742">
        <f>'Expenditures 15-22'!K185</f>
        <v>0</v>
      </c>
      <c r="G14" s="1742">
        <f>'Expenditures 15-22'!K280</f>
        <v>0</v>
      </c>
      <c r="H14" s="511"/>
      <c r="I14" s="467" t="s">
        <v>1169</v>
      </c>
      <c r="J14" s="467" t="s">
        <v>1169</v>
      </c>
      <c r="K14" s="511" t="s">
        <v>1169</v>
      </c>
      <c r="L14" s="346"/>
    </row>
    <row r="15" spans="1:13" ht="15.75" customHeight="1" x14ac:dyDescent="0.2">
      <c r="A15" s="1575" t="s">
        <v>107</v>
      </c>
      <c r="B15" s="1577">
        <v>4000</v>
      </c>
      <c r="C15" s="1742">
        <f>'Expenditures 15-22'!K102</f>
        <v>74693</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1694426</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7682356</v>
      </c>
      <c r="D17" s="1687">
        <f t="shared" si="2"/>
        <v>872589</v>
      </c>
      <c r="E17" s="1687">
        <f t="shared" si="2"/>
        <v>1694426</v>
      </c>
      <c r="F17" s="1687">
        <f t="shared" si="2"/>
        <v>284119</v>
      </c>
      <c r="G17" s="1687">
        <f t="shared" si="2"/>
        <v>315095</v>
      </c>
      <c r="H17" s="1687">
        <f t="shared" si="2"/>
        <v>3083971</v>
      </c>
      <c r="I17" s="467"/>
      <c r="J17" s="1687">
        <f>SUM(J12:J16)</f>
        <v>0</v>
      </c>
      <c r="K17" s="1687">
        <f>SUM(K12:K16)</f>
        <v>0</v>
      </c>
      <c r="L17" s="346"/>
    </row>
    <row r="18" spans="1:12" ht="15" customHeight="1" thickTop="1" x14ac:dyDescent="0.2">
      <c r="A18" s="1743" t="s">
        <v>1654</v>
      </c>
      <c r="B18" s="1744">
        <v>4180</v>
      </c>
      <c r="C18" s="1741">
        <f t="shared" ref="C18:H18" si="3">C9</f>
        <v>1882495</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9564851</v>
      </c>
      <c r="D19" s="1687">
        <f t="shared" si="4"/>
        <v>872589</v>
      </c>
      <c r="E19" s="1687">
        <f t="shared" si="4"/>
        <v>1694426</v>
      </c>
      <c r="F19" s="1687">
        <f t="shared" si="4"/>
        <v>284119</v>
      </c>
      <c r="G19" s="1687">
        <f t="shared" si="4"/>
        <v>315095</v>
      </c>
      <c r="H19" s="1687">
        <f t="shared" si="4"/>
        <v>3083971</v>
      </c>
      <c r="I19" s="467"/>
      <c r="J19" s="1687">
        <f>SUM(J17:J18)</f>
        <v>0</v>
      </c>
      <c r="K19" s="1687">
        <f>SUM(K17:K18)</f>
        <v>0</v>
      </c>
      <c r="L19" s="346"/>
    </row>
    <row r="20" spans="1:12" ht="16.5" thickTop="1" thickBot="1" x14ac:dyDescent="0.25">
      <c r="A20" s="2127" t="s">
        <v>1655</v>
      </c>
      <c r="B20" s="2128"/>
      <c r="C20" s="1745">
        <f>C8-C17</f>
        <v>584558</v>
      </c>
      <c r="D20" s="1745">
        <f t="shared" ref="D20:K20" si="5">D8-D17</f>
        <v>-55326</v>
      </c>
      <c r="E20" s="1745">
        <f t="shared" si="5"/>
        <v>-758469</v>
      </c>
      <c r="F20" s="1745">
        <f t="shared" si="5"/>
        <v>195092</v>
      </c>
      <c r="G20" s="1745">
        <f t="shared" si="5"/>
        <v>17564</v>
      </c>
      <c r="H20" s="1745">
        <f t="shared" si="5"/>
        <v>-3064937</v>
      </c>
      <c r="I20" s="1745">
        <f t="shared" si="5"/>
        <v>69521</v>
      </c>
      <c r="J20" s="1745">
        <f t="shared" si="5"/>
        <v>116</v>
      </c>
      <c r="K20" s="1745">
        <f t="shared" si="5"/>
        <v>2182</v>
      </c>
      <c r="L20" s="346"/>
    </row>
    <row r="21" spans="1:12" ht="16.7" customHeight="1" thickTop="1" x14ac:dyDescent="0.2">
      <c r="A21" s="2139" t="s">
        <v>595</v>
      </c>
      <c r="B21" s="2140"/>
      <c r="C21" s="1569"/>
      <c r="D21" s="1570"/>
      <c r="E21" s="1570"/>
      <c r="F21" s="1570"/>
      <c r="G21" s="1570"/>
      <c r="H21" s="1570"/>
      <c r="I21" s="1570"/>
      <c r="J21" s="1570"/>
      <c r="K21" s="1571"/>
      <c r="L21" s="523"/>
    </row>
    <row r="22" spans="1:12" ht="15.75" customHeight="1" collapsed="1" x14ac:dyDescent="0.2">
      <c r="A22" s="2135" t="s">
        <v>596</v>
      </c>
      <c r="B22" s="2136"/>
      <c r="C22" s="476"/>
      <c r="D22" s="476"/>
      <c r="E22" s="476"/>
      <c r="F22" s="476"/>
      <c r="G22" s="476"/>
      <c r="H22" s="476"/>
      <c r="I22" s="476"/>
      <c r="J22" s="476"/>
      <c r="K22" s="476"/>
      <c r="L22" s="346"/>
    </row>
    <row r="23" spans="1:12" s="484" customFormat="1" ht="15.75" customHeight="1" x14ac:dyDescent="0.2">
      <c r="A23" s="2131" t="s">
        <v>293</v>
      </c>
      <c r="B23" s="2132"/>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3" t="s">
        <v>981</v>
      </c>
      <c r="B32" s="2134"/>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0</v>
      </c>
      <c r="F37" s="474"/>
      <c r="G37" s="474"/>
      <c r="H37" s="474"/>
      <c r="I37" s="476"/>
      <c r="J37" s="474"/>
      <c r="K37" s="474"/>
      <c r="L37" s="523"/>
    </row>
    <row r="38" spans="1:12" s="484" customFormat="1" x14ac:dyDescent="0.2">
      <c r="A38" s="1488" t="s">
        <v>442</v>
      </c>
      <c r="B38" s="524">
        <v>7500</v>
      </c>
      <c r="C38" s="476"/>
      <c r="D38" s="476"/>
      <c r="E38" s="1742">
        <f>SUM(C58:D61,H58:H61)</f>
        <v>0</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v>397994</v>
      </c>
      <c r="I43" s="466">
        <v>800000</v>
      </c>
      <c r="J43" s="466"/>
      <c r="K43" s="466"/>
      <c r="L43" s="523"/>
    </row>
    <row r="44" spans="1:12" s="484" customFormat="1" ht="13.5" customHeight="1" thickBot="1" x14ac:dyDescent="0.25">
      <c r="A44" s="2141" t="s">
        <v>374</v>
      </c>
      <c r="B44" s="2142"/>
      <c r="C44" s="1702">
        <f>SUM(C24:C43)</f>
        <v>0</v>
      </c>
      <c r="D44" s="1702">
        <f t="shared" ref="D44:K44" si="6">SUM(D24:D43)</f>
        <v>0</v>
      </c>
      <c r="E44" s="1702">
        <f t="shared" si="6"/>
        <v>0</v>
      </c>
      <c r="F44" s="1702">
        <f t="shared" si="6"/>
        <v>0</v>
      </c>
      <c r="G44" s="1702">
        <f t="shared" si="6"/>
        <v>0</v>
      </c>
      <c r="H44" s="1702">
        <f t="shared" si="6"/>
        <v>397994</v>
      </c>
      <c r="I44" s="1702">
        <f t="shared" si="6"/>
        <v>800000</v>
      </c>
      <c r="J44" s="1702">
        <f t="shared" si="6"/>
        <v>0</v>
      </c>
      <c r="K44" s="1702">
        <f t="shared" si="6"/>
        <v>0</v>
      </c>
      <c r="L44" s="523"/>
    </row>
    <row r="45" spans="1:12" ht="15.75" customHeight="1" thickTop="1" x14ac:dyDescent="0.2">
      <c r="A45" s="2135" t="s">
        <v>108</v>
      </c>
      <c r="B45" s="2136"/>
      <c r="C45" s="527"/>
      <c r="D45" s="527"/>
      <c r="E45" s="527"/>
      <c r="F45" s="527"/>
      <c r="G45" s="527"/>
      <c r="H45" s="527"/>
      <c r="I45" s="527"/>
      <c r="J45" s="527"/>
      <c r="K45" s="527"/>
      <c r="L45" s="346"/>
    </row>
    <row r="46" spans="1:12" s="484" customFormat="1" ht="15.75" customHeight="1" x14ac:dyDescent="0.2">
      <c r="A46" s="2143" t="s">
        <v>109</v>
      </c>
      <c r="B46" s="2144"/>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v>198997</v>
      </c>
      <c r="E75" s="529"/>
      <c r="F75" s="531">
        <v>198997</v>
      </c>
      <c r="G75" s="531"/>
      <c r="H75" s="531"/>
      <c r="I75" s="529"/>
      <c r="J75" s="529"/>
      <c r="K75" s="531"/>
      <c r="L75" s="523"/>
    </row>
    <row r="76" spans="1:12" s="484" customFormat="1" ht="14.25" thickTop="1" thickBot="1" x14ac:dyDescent="0.25">
      <c r="A76" s="2117" t="s">
        <v>440</v>
      </c>
      <c r="B76" s="2118"/>
      <c r="C76" s="1702">
        <f t="shared" ref="C76:K76" si="7">SUM(C47:C75)</f>
        <v>0</v>
      </c>
      <c r="D76" s="1702">
        <f t="shared" si="7"/>
        <v>198997</v>
      </c>
      <c r="E76" s="1702">
        <f t="shared" si="7"/>
        <v>0</v>
      </c>
      <c r="F76" s="1702">
        <f t="shared" si="7"/>
        <v>198997</v>
      </c>
      <c r="G76" s="1702">
        <f t="shared" si="7"/>
        <v>0</v>
      </c>
      <c r="H76" s="1702">
        <f t="shared" si="7"/>
        <v>0</v>
      </c>
      <c r="I76" s="1702">
        <f t="shared" si="7"/>
        <v>0</v>
      </c>
      <c r="J76" s="1702">
        <f t="shared" si="7"/>
        <v>0</v>
      </c>
      <c r="K76" s="1702">
        <f t="shared" si="7"/>
        <v>0</v>
      </c>
      <c r="L76" s="523"/>
    </row>
    <row r="77" spans="1:12" ht="14.25" thickTop="1" thickBot="1" x14ac:dyDescent="0.25">
      <c r="A77" s="2119" t="s">
        <v>1177</v>
      </c>
      <c r="B77" s="2120"/>
      <c r="C77" s="1702">
        <f t="shared" ref="C77:K77" si="8">C44-C76</f>
        <v>0</v>
      </c>
      <c r="D77" s="1702">
        <f t="shared" si="8"/>
        <v>-198997</v>
      </c>
      <c r="E77" s="1702">
        <f t="shared" si="8"/>
        <v>0</v>
      </c>
      <c r="F77" s="1702">
        <f t="shared" si="8"/>
        <v>-198997</v>
      </c>
      <c r="G77" s="1702">
        <f t="shared" si="8"/>
        <v>0</v>
      </c>
      <c r="H77" s="1702">
        <f t="shared" si="8"/>
        <v>397994</v>
      </c>
      <c r="I77" s="1702">
        <f t="shared" si="8"/>
        <v>800000</v>
      </c>
      <c r="J77" s="1702">
        <f t="shared" si="8"/>
        <v>0</v>
      </c>
      <c r="K77" s="1702">
        <f t="shared" si="8"/>
        <v>0</v>
      </c>
      <c r="L77" s="346"/>
    </row>
    <row r="78" spans="1:12" ht="21.75" customHeight="1" thickTop="1" thickBot="1" x14ac:dyDescent="0.25">
      <c r="A78" s="2123" t="s">
        <v>597</v>
      </c>
      <c r="B78" s="2124"/>
      <c r="C78" s="1701">
        <f t="shared" ref="C78:K78" si="9">C20+C77</f>
        <v>584558</v>
      </c>
      <c r="D78" s="1701">
        <f t="shared" si="9"/>
        <v>-254323</v>
      </c>
      <c r="E78" s="1701">
        <f t="shared" si="9"/>
        <v>-758469</v>
      </c>
      <c r="F78" s="1701">
        <f t="shared" si="9"/>
        <v>-3905</v>
      </c>
      <c r="G78" s="1701">
        <f t="shared" si="9"/>
        <v>17564</v>
      </c>
      <c r="H78" s="1701">
        <f t="shared" si="9"/>
        <v>-2666943</v>
      </c>
      <c r="I78" s="1701">
        <f t="shared" si="9"/>
        <v>869521</v>
      </c>
      <c r="J78" s="1701">
        <f t="shared" si="9"/>
        <v>116</v>
      </c>
      <c r="K78" s="1701">
        <f t="shared" si="9"/>
        <v>2182</v>
      </c>
      <c r="L78" s="532"/>
    </row>
    <row r="79" spans="1:12" ht="13.5" thickTop="1" x14ac:dyDescent="0.2">
      <c r="A79" s="1493" t="s">
        <v>1947</v>
      </c>
      <c r="B79" s="533"/>
      <c r="C79" s="477">
        <v>5522638</v>
      </c>
      <c r="D79" s="534">
        <v>1008437</v>
      </c>
      <c r="E79" s="534">
        <v>1429499</v>
      </c>
      <c r="F79" s="534">
        <v>539348</v>
      </c>
      <c r="G79" s="534">
        <v>231243</v>
      </c>
      <c r="H79" s="534">
        <v>2837012</v>
      </c>
      <c r="I79" s="534">
        <v>2028378</v>
      </c>
      <c r="J79" s="534">
        <v>4330</v>
      </c>
      <c r="K79" s="534">
        <v>41372</v>
      </c>
      <c r="L79" s="346"/>
    </row>
    <row r="80" spans="1:12" x14ac:dyDescent="0.2">
      <c r="A80" s="2129" t="s">
        <v>1795</v>
      </c>
      <c r="B80" s="2130"/>
      <c r="C80" s="466"/>
      <c r="D80" s="466"/>
      <c r="E80" s="466"/>
      <c r="F80" s="466"/>
      <c r="G80" s="466"/>
      <c r="H80" s="466"/>
      <c r="I80" s="466"/>
      <c r="J80" s="466"/>
      <c r="K80" s="466"/>
      <c r="L80" s="346"/>
    </row>
    <row r="81" spans="1:12" ht="13.5" thickBot="1" x14ac:dyDescent="0.25">
      <c r="A81" s="2121" t="s">
        <v>1948</v>
      </c>
      <c r="B81" s="2122"/>
      <c r="C81" s="1687">
        <f>(SUM(C78:C80))</f>
        <v>6107196</v>
      </c>
      <c r="D81" s="1687">
        <f>SUM(D78:D80)</f>
        <v>754114</v>
      </c>
      <c r="E81" s="1687">
        <f t="shared" ref="E81:K81" si="10">SUM(E78:E80)</f>
        <v>671030</v>
      </c>
      <c r="F81" s="1687">
        <f t="shared" si="10"/>
        <v>535443</v>
      </c>
      <c r="G81" s="1687">
        <f t="shared" si="10"/>
        <v>248807</v>
      </c>
      <c r="H81" s="1687">
        <f t="shared" si="10"/>
        <v>170069</v>
      </c>
      <c r="I81" s="1687">
        <f t="shared" si="10"/>
        <v>2897899</v>
      </c>
      <c r="J81" s="1687">
        <f t="shared" si="10"/>
        <v>4446</v>
      </c>
      <c r="K81" s="1687">
        <f t="shared" si="10"/>
        <v>43554</v>
      </c>
      <c r="L81" s="346"/>
    </row>
    <row r="82" spans="1:12" ht="0.75" customHeight="1" thickTop="1" thickBot="1" x14ac:dyDescent="0.25">
      <c r="A82" s="535" t="s">
        <v>343</v>
      </c>
      <c r="B82" s="536"/>
      <c r="C82" s="537">
        <f>(C81-C79)</f>
        <v>584558</v>
      </c>
      <c r="D82" s="537">
        <f t="shared" ref="D82:K82" si="11">(D81-D79)</f>
        <v>-254323</v>
      </c>
      <c r="E82" s="537">
        <f t="shared" si="11"/>
        <v>-758469</v>
      </c>
      <c r="F82" s="537">
        <f t="shared" si="11"/>
        <v>-3905</v>
      </c>
      <c r="G82" s="537">
        <f t="shared" si="11"/>
        <v>17564</v>
      </c>
      <c r="H82" s="537">
        <f t="shared" si="11"/>
        <v>-2666943</v>
      </c>
      <c r="I82" s="537">
        <f t="shared" si="11"/>
        <v>869521</v>
      </c>
      <c r="J82" s="537">
        <f t="shared" si="11"/>
        <v>116</v>
      </c>
      <c r="K82" s="537">
        <f t="shared" si="11"/>
        <v>2182</v>
      </c>
    </row>
    <row r="83" spans="1:12" ht="14.25" hidden="1" thickTop="1" thickBot="1" x14ac:dyDescent="0.25">
      <c r="A83" s="538" t="s">
        <v>344</v>
      </c>
      <c r="B83" s="463"/>
      <c r="C83" s="539">
        <f>C82/C81</f>
        <v>9.5716266515762718E-2</v>
      </c>
      <c r="D83" s="539">
        <f t="shared" ref="D83:K83" si="12">D82/D81</f>
        <v>-0.33724741882527043</v>
      </c>
      <c r="E83" s="539">
        <f t="shared" si="12"/>
        <v>-1.1303056495238664</v>
      </c>
      <c r="F83" s="539">
        <f t="shared" si="12"/>
        <v>-7.2930265219640555E-3</v>
      </c>
      <c r="G83" s="539">
        <f t="shared" si="12"/>
        <v>7.0592869171687292E-2</v>
      </c>
      <c r="H83" s="539">
        <f t="shared" si="12"/>
        <v>-15.681535141618991</v>
      </c>
      <c r="I83" s="539">
        <f t="shared" si="12"/>
        <v>0.30005221023921125</v>
      </c>
      <c r="J83" s="539">
        <f t="shared" si="12"/>
        <v>2.6090868196131354E-2</v>
      </c>
      <c r="K83" s="539">
        <f t="shared" si="12"/>
        <v>5.0098728015796484E-2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5" t="s">
        <v>1802</v>
      </c>
      <c r="B1" s="451"/>
      <c r="C1" s="452" t="s">
        <v>425</v>
      </c>
      <c r="D1" s="452" t="s">
        <v>426</v>
      </c>
      <c r="E1" s="452" t="s">
        <v>427</v>
      </c>
      <c r="F1" s="452" t="s">
        <v>428</v>
      </c>
      <c r="G1" s="452" t="s">
        <v>429</v>
      </c>
      <c r="H1" s="452" t="s">
        <v>430</v>
      </c>
      <c r="I1" s="452" t="s">
        <v>431</v>
      </c>
      <c r="J1" s="452" t="s">
        <v>432</v>
      </c>
      <c r="K1" s="452" t="s">
        <v>756</v>
      </c>
    </row>
    <row r="2" spans="1:12" ht="36" x14ac:dyDescent="0.2">
      <c r="A2" s="2126"/>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6290795</v>
      </c>
      <c r="D5" s="480">
        <v>698043</v>
      </c>
      <c r="E5" s="465">
        <v>908023</v>
      </c>
      <c r="F5" s="547">
        <v>301802</v>
      </c>
      <c r="G5" s="465">
        <v>152098</v>
      </c>
      <c r="H5" s="465"/>
      <c r="I5" s="465">
        <v>1062</v>
      </c>
      <c r="J5" s="466"/>
      <c r="K5" s="465">
        <v>1062</v>
      </c>
    </row>
    <row r="6" spans="1:12" ht="15" x14ac:dyDescent="0.2">
      <c r="A6" s="462" t="s">
        <v>1662</v>
      </c>
      <c r="B6" s="469">
        <v>1130</v>
      </c>
      <c r="C6" s="465">
        <v>1062</v>
      </c>
      <c r="D6" s="465"/>
      <c r="E6" s="474"/>
      <c r="F6" s="474"/>
      <c r="G6" s="467"/>
      <c r="H6" s="467"/>
      <c r="I6" s="467"/>
      <c r="J6" s="467"/>
      <c r="K6" s="467"/>
    </row>
    <row r="7" spans="1:12" x14ac:dyDescent="0.2">
      <c r="A7" s="462" t="s">
        <v>110</v>
      </c>
      <c r="B7" s="548">
        <v>1140</v>
      </c>
      <c r="C7" s="465">
        <v>206980</v>
      </c>
      <c r="D7" s="465"/>
      <c r="E7" s="467"/>
      <c r="F7" s="466"/>
      <c r="G7" s="466"/>
      <c r="H7" s="466"/>
      <c r="I7" s="467"/>
      <c r="J7" s="467"/>
      <c r="K7" s="467"/>
    </row>
    <row r="8" spans="1:12" x14ac:dyDescent="0.2">
      <c r="A8" s="462" t="s">
        <v>413</v>
      </c>
      <c r="B8" s="469">
        <v>1150</v>
      </c>
      <c r="C8" s="474"/>
      <c r="D8" s="474"/>
      <c r="E8" s="476"/>
      <c r="F8" s="476"/>
      <c r="G8" s="480">
        <v>170966</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6498837</v>
      </c>
      <c r="D12" s="1706">
        <f t="shared" si="0"/>
        <v>698043</v>
      </c>
      <c r="E12" s="1706">
        <f t="shared" si="0"/>
        <v>908023</v>
      </c>
      <c r="F12" s="1706">
        <f t="shared" si="0"/>
        <v>301802</v>
      </c>
      <c r="G12" s="1706">
        <f t="shared" si="0"/>
        <v>323064</v>
      </c>
      <c r="H12" s="1706">
        <f t="shared" si="0"/>
        <v>0</v>
      </c>
      <c r="I12" s="1706">
        <f t="shared" si="0"/>
        <v>1062</v>
      </c>
      <c r="J12" s="1706">
        <f t="shared" si="0"/>
        <v>0</v>
      </c>
      <c r="K12" s="1687">
        <f t="shared" si="0"/>
        <v>1062</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99409</v>
      </c>
      <c r="D16" s="465"/>
      <c r="E16" s="465"/>
      <c r="F16" s="465"/>
      <c r="G16" s="465">
        <v>2000</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99409</v>
      </c>
      <c r="D18" s="1709">
        <f t="shared" ref="D18:K18" si="1">SUM(D14:D17)</f>
        <v>0</v>
      </c>
      <c r="E18" s="1709">
        <f t="shared" si="1"/>
        <v>0</v>
      </c>
      <c r="F18" s="1709">
        <f t="shared" si="1"/>
        <v>0</v>
      </c>
      <c r="G18" s="1709">
        <f t="shared" si="1"/>
        <v>2000</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v>84884</v>
      </c>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84884</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v>2101</v>
      </c>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v>14498</v>
      </c>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16599</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178909</v>
      </c>
      <c r="D65" s="465">
        <v>27995</v>
      </c>
      <c r="E65" s="465">
        <v>27934</v>
      </c>
      <c r="F65" s="466">
        <v>15929</v>
      </c>
      <c r="G65" s="465">
        <v>7595</v>
      </c>
      <c r="H65" s="465">
        <v>18689</v>
      </c>
      <c r="I65" s="465">
        <v>68459</v>
      </c>
      <c r="J65" s="466">
        <v>116</v>
      </c>
      <c r="K65" s="465">
        <v>1120</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178909</v>
      </c>
      <c r="D67" s="1687">
        <f t="shared" ref="D67:K67" si="2">SUM(D65:D66)</f>
        <v>27995</v>
      </c>
      <c r="E67" s="1687">
        <f t="shared" si="2"/>
        <v>27934</v>
      </c>
      <c r="F67" s="1687">
        <f t="shared" si="2"/>
        <v>15929</v>
      </c>
      <c r="G67" s="1687">
        <f t="shared" si="2"/>
        <v>7595</v>
      </c>
      <c r="H67" s="1687">
        <f t="shared" si="2"/>
        <v>18689</v>
      </c>
      <c r="I67" s="1687">
        <f t="shared" si="2"/>
        <v>68459</v>
      </c>
      <c r="J67" s="1687">
        <f t="shared" si="2"/>
        <v>116</v>
      </c>
      <c r="K67" s="1687">
        <f t="shared" si="2"/>
        <v>1120</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v>12369</v>
      </c>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12369</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v>10530</v>
      </c>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197296</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v>8016</v>
      </c>
      <c r="D81" s="465"/>
      <c r="E81" s="467"/>
      <c r="F81" s="467"/>
      <c r="G81" s="467"/>
      <c r="H81" s="467"/>
      <c r="I81" s="467"/>
      <c r="J81" s="467"/>
      <c r="K81" s="467"/>
    </row>
    <row r="82" spans="1:11" ht="12.75" customHeight="1" thickBot="1" x14ac:dyDescent="0.25">
      <c r="A82" s="1707" t="s">
        <v>241</v>
      </c>
      <c r="B82" s="1708"/>
      <c r="C82" s="1706">
        <f>SUM(C77:C81)</f>
        <v>215842</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v>3978</v>
      </c>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v>9115</v>
      </c>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13093</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v>16225</v>
      </c>
      <c r="E95" s="520"/>
      <c r="F95" s="520"/>
      <c r="G95" s="520"/>
      <c r="H95" s="520"/>
      <c r="I95" s="520"/>
      <c r="J95" s="520"/>
      <c r="K95" s="520"/>
    </row>
    <row r="96" spans="1:11" ht="12.75" customHeight="1" x14ac:dyDescent="0.2">
      <c r="A96" s="462" t="s">
        <v>391</v>
      </c>
      <c r="B96" s="469">
        <v>1920</v>
      </c>
      <c r="C96" s="550"/>
      <c r="D96" s="550"/>
      <c r="E96" s="478"/>
      <c r="F96" s="477"/>
      <c r="G96" s="477"/>
      <c r="H96" s="477">
        <v>345</v>
      </c>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71015</v>
      </c>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71840</v>
      </c>
      <c r="D107" s="465"/>
      <c r="E107" s="465"/>
      <c r="F107" s="465"/>
      <c r="G107" s="465"/>
      <c r="H107" s="465"/>
      <c r="I107" s="465"/>
      <c r="J107" s="466"/>
      <c r="K107" s="465"/>
    </row>
    <row r="108" spans="1:12" ht="12.75" customHeight="1" thickBot="1" x14ac:dyDescent="0.25">
      <c r="A108" s="1707" t="s">
        <v>487</v>
      </c>
      <c r="B108" s="1711"/>
      <c r="C108" s="1706">
        <f>SUM(C95:C107)</f>
        <v>142855</v>
      </c>
      <c r="D108" s="1706">
        <f t="shared" ref="D108:K108" si="3">SUM(D95:D107)</f>
        <v>16225</v>
      </c>
      <c r="E108" s="1706">
        <f t="shared" si="3"/>
        <v>0</v>
      </c>
      <c r="F108" s="1706">
        <f t="shared" si="3"/>
        <v>0</v>
      </c>
      <c r="G108" s="1706">
        <f t="shared" si="3"/>
        <v>0</v>
      </c>
      <c r="H108" s="1706">
        <f t="shared" si="3"/>
        <v>345</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7246198</v>
      </c>
      <c r="D109" s="1714">
        <f t="shared" si="4"/>
        <v>742263</v>
      </c>
      <c r="E109" s="1714">
        <f t="shared" si="4"/>
        <v>935957</v>
      </c>
      <c r="F109" s="1714">
        <f t="shared" si="4"/>
        <v>334330</v>
      </c>
      <c r="G109" s="1714">
        <f t="shared" si="4"/>
        <v>332659</v>
      </c>
      <c r="H109" s="1714">
        <f t="shared" si="4"/>
        <v>19034</v>
      </c>
      <c r="I109" s="1714">
        <f t="shared" si="4"/>
        <v>69521</v>
      </c>
      <c r="J109" s="1714">
        <f t="shared" si="4"/>
        <v>116</v>
      </c>
      <c r="K109" s="1701">
        <f t="shared" si="4"/>
        <v>2182</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508563</v>
      </c>
      <c r="D117" s="480">
        <v>75000</v>
      </c>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1934</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508563</v>
      </c>
      <c r="D122" s="1706">
        <f t="shared" si="5"/>
        <v>75000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144554</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144554</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4889</v>
      </c>
      <c r="G152" s="466"/>
      <c r="H152" s="467"/>
      <c r="I152" s="467"/>
      <c r="J152" s="467"/>
      <c r="K152" s="467"/>
    </row>
    <row r="153" spans="1:11" ht="12.75" customHeight="1" x14ac:dyDescent="0.2">
      <c r="A153" s="462" t="s">
        <v>1057</v>
      </c>
      <c r="B153" s="561">
        <v>3510</v>
      </c>
      <c r="C153" s="550"/>
      <c r="D153" s="465"/>
      <c r="E153" s="560"/>
      <c r="F153" s="465">
        <v>139992</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144881</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c r="D168" s="579"/>
      <c r="E168" s="579"/>
      <c r="F168" s="579"/>
      <c r="G168" s="580"/>
      <c r="H168" s="581"/>
      <c r="I168" s="580"/>
      <c r="J168" s="580"/>
      <c r="K168" s="581"/>
    </row>
    <row r="169" spans="1:11" ht="12.75" customHeight="1" thickTop="1" thickBot="1" x14ac:dyDescent="0.25">
      <c r="A169" s="2145" t="s">
        <v>398</v>
      </c>
      <c r="B169" s="2146"/>
      <c r="C169" s="1721">
        <f t="shared" ref="C169:K169" si="6">SUM(C132,C141,C145,C146:C150,C155,C156:C167,C168)</f>
        <v>144554</v>
      </c>
      <c r="D169" s="1721">
        <f t="shared" si="6"/>
        <v>0</v>
      </c>
      <c r="E169" s="1721">
        <f t="shared" si="6"/>
        <v>0</v>
      </c>
      <c r="F169" s="1721">
        <f t="shared" si="6"/>
        <v>144881</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653117</v>
      </c>
      <c r="D170" s="1714">
        <f t="shared" si="7"/>
        <v>75000</v>
      </c>
      <c r="E170" s="1714">
        <f t="shared" si="7"/>
        <v>0</v>
      </c>
      <c r="F170" s="1714">
        <f t="shared" si="7"/>
        <v>144881</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7" t="s">
        <v>1492</v>
      </c>
      <c r="B172" s="2148"/>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5" t="s">
        <v>1664</v>
      </c>
      <c r="B176" s="2156"/>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3" t="s">
        <v>785</v>
      </c>
      <c r="B181" s="2154"/>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9" t="s">
        <v>1803</v>
      </c>
      <c r="B182" s="2150"/>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c r="D191" s="467"/>
      <c r="E191" s="560"/>
      <c r="F191" s="467"/>
      <c r="G191" s="584"/>
      <c r="H191" s="467"/>
      <c r="I191" s="467"/>
      <c r="J191" s="467"/>
      <c r="K191" s="467"/>
    </row>
    <row r="192" spans="1:11" ht="12.75" customHeight="1" x14ac:dyDescent="0.2">
      <c r="A192" s="462" t="s">
        <v>1047</v>
      </c>
      <c r="B192" s="469">
        <v>4215</v>
      </c>
      <c r="C192" s="550">
        <v>11736</v>
      </c>
      <c r="D192" s="467"/>
      <c r="E192" s="560"/>
      <c r="F192" s="467"/>
      <c r="G192" s="584"/>
      <c r="H192" s="467"/>
      <c r="I192" s="467"/>
      <c r="J192" s="467"/>
      <c r="K192" s="467"/>
    </row>
    <row r="193" spans="1:11" ht="12.75" customHeight="1" x14ac:dyDescent="0.2">
      <c r="A193" s="462" t="s">
        <v>1059</v>
      </c>
      <c r="B193" s="469">
        <v>4220</v>
      </c>
      <c r="C193" s="550"/>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11736</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72005</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72005</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3893</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3893</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v>20107</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229517</v>
      </c>
      <c r="D213" s="465"/>
      <c r="E213" s="467"/>
      <c r="F213" s="465"/>
      <c r="G213" s="465"/>
      <c r="H213" s="467"/>
      <c r="I213" s="467"/>
      <c r="J213" s="467"/>
      <c r="K213" s="467"/>
    </row>
    <row r="214" spans="1:11" ht="12.75" customHeight="1" x14ac:dyDescent="0.2">
      <c r="A214" s="462" t="s">
        <v>1054</v>
      </c>
      <c r="B214" s="469">
        <v>4625</v>
      </c>
      <c r="C214" s="550">
        <v>8752</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258376</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18430</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1935</v>
      </c>
      <c r="B261" s="469">
        <v>4981</v>
      </c>
      <c r="C261" s="574"/>
      <c r="D261" s="575"/>
      <c r="E261" s="467"/>
      <c r="F261" s="575"/>
      <c r="G261" s="575"/>
      <c r="H261" s="467"/>
      <c r="I261" s="467"/>
      <c r="J261" s="467"/>
      <c r="K261" s="467"/>
    </row>
    <row r="262" spans="1:11" ht="12.75" customHeight="1" thickTop="1" thickBot="1" x14ac:dyDescent="0.25">
      <c r="A262" s="1930" t="s">
        <v>1936</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3159</v>
      </c>
      <c r="D263" s="575"/>
      <c r="E263" s="467"/>
      <c r="F263" s="575"/>
      <c r="G263" s="575"/>
      <c r="H263" s="467"/>
      <c r="I263" s="467"/>
      <c r="J263" s="467"/>
      <c r="K263" s="467"/>
    </row>
    <row r="264" spans="1:11" ht="12.75" customHeight="1" thickTop="1" thickBot="1" x14ac:dyDescent="0.25">
      <c r="A264" s="462" t="s">
        <v>377</v>
      </c>
      <c r="B264" s="469">
        <v>4992</v>
      </c>
      <c r="C264" s="574"/>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367599</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367599</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8266914</v>
      </c>
      <c r="D268" s="1714">
        <f t="shared" si="12"/>
        <v>817263</v>
      </c>
      <c r="E268" s="1714">
        <f t="shared" si="12"/>
        <v>935957</v>
      </c>
      <c r="F268" s="1714">
        <f t="shared" si="12"/>
        <v>479211</v>
      </c>
      <c r="G268" s="1714">
        <f t="shared" si="12"/>
        <v>332659</v>
      </c>
      <c r="H268" s="1714">
        <f t="shared" si="12"/>
        <v>19034</v>
      </c>
      <c r="I268" s="1714">
        <f t="shared" si="12"/>
        <v>69521</v>
      </c>
      <c r="J268" s="1714">
        <f t="shared" si="12"/>
        <v>116</v>
      </c>
      <c r="K268" s="1701">
        <f t="shared" si="12"/>
        <v>2182</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topLeftCell="B1" colorId="8" zoomScale="110" zoomScaleNormal="110" workbookViewId="0">
      <pane ySplit="2" topLeftCell="A315" activePane="bottomLeft" state="frozen"/>
      <selection pane="bottomLeft" activeCell="F325" sqref="F325"/>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5"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9"/>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5" t="s">
        <v>297</v>
      </c>
      <c r="B3" s="2166"/>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2444328</v>
      </c>
      <c r="D5" s="465">
        <v>460654</v>
      </c>
      <c r="E5" s="465">
        <v>7249</v>
      </c>
      <c r="F5" s="465">
        <v>91876</v>
      </c>
      <c r="G5" s="465">
        <v>101725</v>
      </c>
      <c r="H5" s="465">
        <v>500</v>
      </c>
      <c r="I5" s="466"/>
      <c r="J5" s="466"/>
      <c r="K5" s="1670">
        <f>SUM(C5:J5)</f>
        <v>3106332</v>
      </c>
      <c r="L5" s="465">
        <f>3064212+26000</f>
        <v>3090212</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v>240806</v>
      </c>
      <c r="D7" s="466">
        <v>60792</v>
      </c>
      <c r="E7" s="466"/>
      <c r="F7" s="466">
        <v>434</v>
      </c>
      <c r="G7" s="466"/>
      <c r="H7" s="466"/>
      <c r="I7" s="466"/>
      <c r="J7" s="466"/>
      <c r="K7" s="1670">
        <f t="shared" ref="K7:K32" si="0">SUM(C7:J7)</f>
        <v>302032</v>
      </c>
      <c r="L7" s="465">
        <v>303122</v>
      </c>
    </row>
    <row r="8" spans="1:14" x14ac:dyDescent="0.2">
      <c r="A8" s="1503" t="s">
        <v>164</v>
      </c>
      <c r="B8" s="613">
        <v>1200</v>
      </c>
      <c r="C8" s="465">
        <v>904013</v>
      </c>
      <c r="D8" s="465">
        <v>160985</v>
      </c>
      <c r="E8" s="465">
        <v>56878</v>
      </c>
      <c r="F8" s="465">
        <v>4521</v>
      </c>
      <c r="G8" s="465"/>
      <c r="H8" s="465">
        <v>923</v>
      </c>
      <c r="I8" s="466"/>
      <c r="J8" s="466"/>
      <c r="K8" s="1670">
        <f t="shared" si="0"/>
        <v>1127320</v>
      </c>
      <c r="L8" s="465">
        <v>1055558</v>
      </c>
    </row>
    <row r="9" spans="1:14" x14ac:dyDescent="0.2">
      <c r="A9" s="1503" t="s">
        <v>721</v>
      </c>
      <c r="B9" s="613" t="s">
        <v>968</v>
      </c>
      <c r="C9" s="466"/>
      <c r="D9" s="466"/>
      <c r="E9" s="466"/>
      <c r="F9" s="466"/>
      <c r="G9" s="466"/>
      <c r="H9" s="466"/>
      <c r="I9" s="466"/>
      <c r="J9" s="466"/>
      <c r="K9" s="1670">
        <f t="shared" si="0"/>
        <v>0</v>
      </c>
      <c r="L9" s="465"/>
    </row>
    <row r="10" spans="1:14" x14ac:dyDescent="0.2">
      <c r="A10" s="1503" t="s">
        <v>722</v>
      </c>
      <c r="B10" s="613">
        <v>1250</v>
      </c>
      <c r="C10" s="465">
        <v>61738</v>
      </c>
      <c r="D10" s="465">
        <v>22337</v>
      </c>
      <c r="E10" s="465"/>
      <c r="F10" s="465">
        <v>6756</v>
      </c>
      <c r="G10" s="465"/>
      <c r="H10" s="465"/>
      <c r="I10" s="466"/>
      <c r="J10" s="466"/>
      <c r="K10" s="1670">
        <f t="shared" si="0"/>
        <v>90831</v>
      </c>
      <c r="L10" s="465">
        <v>76489</v>
      </c>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v>92567</v>
      </c>
      <c r="D14" s="465">
        <v>1352</v>
      </c>
      <c r="E14" s="465">
        <v>4498</v>
      </c>
      <c r="F14" s="465">
        <v>4534</v>
      </c>
      <c r="G14" s="465"/>
      <c r="H14" s="465">
        <v>5202</v>
      </c>
      <c r="I14" s="466"/>
      <c r="J14" s="466"/>
      <c r="K14" s="1670">
        <f t="shared" si="0"/>
        <v>108153</v>
      </c>
      <c r="L14" s="465">
        <v>129173</v>
      </c>
    </row>
    <row r="15" spans="1:14" x14ac:dyDescent="0.2">
      <c r="A15" s="1503" t="s">
        <v>964</v>
      </c>
      <c r="B15" s="613">
        <v>1600</v>
      </c>
      <c r="C15" s="465"/>
      <c r="D15" s="465"/>
      <c r="E15" s="465"/>
      <c r="F15" s="465"/>
      <c r="G15" s="465"/>
      <c r="H15" s="465"/>
      <c r="I15" s="466"/>
      <c r="J15" s="466"/>
      <c r="K15" s="1670">
        <f t="shared" si="0"/>
        <v>0</v>
      </c>
      <c r="L15" s="465"/>
    </row>
    <row r="16" spans="1:14" x14ac:dyDescent="0.2">
      <c r="A16" s="1503" t="s">
        <v>987</v>
      </c>
      <c r="B16" s="613" t="s">
        <v>424</v>
      </c>
      <c r="C16" s="465"/>
      <c r="D16" s="465"/>
      <c r="E16" s="465"/>
      <c r="F16" s="465"/>
      <c r="G16" s="465"/>
      <c r="H16" s="465"/>
      <c r="I16" s="466"/>
      <c r="J16" s="466"/>
      <c r="K16" s="1670">
        <f t="shared" si="0"/>
        <v>0</v>
      </c>
      <c r="L16" s="465"/>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v>59750</v>
      </c>
      <c r="D18" s="465">
        <v>18358</v>
      </c>
      <c r="E18" s="465">
        <v>314</v>
      </c>
      <c r="F18" s="465">
        <v>835</v>
      </c>
      <c r="G18" s="465"/>
      <c r="H18" s="465"/>
      <c r="I18" s="466"/>
      <c r="J18" s="466"/>
      <c r="K18" s="1670">
        <f t="shared" si="0"/>
        <v>79257</v>
      </c>
      <c r="L18" s="465">
        <v>80285</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v>252830</v>
      </c>
      <c r="I22" s="615"/>
      <c r="J22" s="476"/>
      <c r="K22" s="1670">
        <f t="shared" si="0"/>
        <v>252830</v>
      </c>
      <c r="L22" s="470">
        <v>371976</v>
      </c>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3803202</v>
      </c>
      <c r="D33" s="1669">
        <f t="shared" ref="D33:L33" si="1">SUM(D5:D32)</f>
        <v>724478</v>
      </c>
      <c r="E33" s="1669">
        <f t="shared" si="1"/>
        <v>68939</v>
      </c>
      <c r="F33" s="1669">
        <f t="shared" si="1"/>
        <v>108956</v>
      </c>
      <c r="G33" s="1669">
        <f t="shared" si="1"/>
        <v>101725</v>
      </c>
      <c r="H33" s="1669">
        <f t="shared" si="1"/>
        <v>259455</v>
      </c>
      <c r="I33" s="1669">
        <f t="shared" si="1"/>
        <v>0</v>
      </c>
      <c r="J33" s="1669">
        <f t="shared" si="1"/>
        <v>0</v>
      </c>
      <c r="K33" s="1669">
        <f t="shared" si="1"/>
        <v>5066755</v>
      </c>
      <c r="L33" s="1669">
        <f t="shared" si="1"/>
        <v>5106815</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103966</v>
      </c>
      <c r="D36" s="480">
        <v>10980</v>
      </c>
      <c r="E36" s="480">
        <v>235</v>
      </c>
      <c r="F36" s="480">
        <v>1570</v>
      </c>
      <c r="G36" s="480"/>
      <c r="H36" s="480"/>
      <c r="I36" s="466"/>
      <c r="J36" s="466"/>
      <c r="K36" s="1670">
        <f t="shared" ref="K36:K41" si="2">SUM(C36:J36)</f>
        <v>116751</v>
      </c>
      <c r="L36" s="465">
        <v>115630</v>
      </c>
    </row>
    <row r="37" spans="1:14" x14ac:dyDescent="0.2">
      <c r="A37" s="1503" t="s">
        <v>1090</v>
      </c>
      <c r="B37" s="613">
        <v>2120</v>
      </c>
      <c r="C37" s="465"/>
      <c r="D37" s="465"/>
      <c r="E37" s="465"/>
      <c r="F37" s="465"/>
      <c r="G37" s="465"/>
      <c r="H37" s="465"/>
      <c r="I37" s="466"/>
      <c r="J37" s="466"/>
      <c r="K37" s="1670">
        <f t="shared" si="2"/>
        <v>0</v>
      </c>
      <c r="L37" s="465"/>
    </row>
    <row r="38" spans="1:14" x14ac:dyDescent="0.2">
      <c r="A38" s="1503" t="s">
        <v>198</v>
      </c>
      <c r="B38" s="613">
        <v>2130</v>
      </c>
      <c r="C38" s="465">
        <v>128337</v>
      </c>
      <c r="D38" s="465">
        <v>20227</v>
      </c>
      <c r="E38" s="465">
        <v>26246</v>
      </c>
      <c r="F38" s="465">
        <v>4018</v>
      </c>
      <c r="G38" s="465"/>
      <c r="H38" s="465"/>
      <c r="I38" s="466"/>
      <c r="J38" s="466"/>
      <c r="K38" s="1670">
        <f t="shared" si="2"/>
        <v>178828</v>
      </c>
      <c r="L38" s="465">
        <v>151830</v>
      </c>
    </row>
    <row r="39" spans="1:14" x14ac:dyDescent="0.2">
      <c r="A39" s="1503" t="s">
        <v>199</v>
      </c>
      <c r="B39" s="613">
        <v>2140</v>
      </c>
      <c r="C39" s="465">
        <v>58154</v>
      </c>
      <c r="D39" s="465">
        <v>18345</v>
      </c>
      <c r="E39" s="465"/>
      <c r="F39" s="465">
        <v>838</v>
      </c>
      <c r="G39" s="465"/>
      <c r="H39" s="465"/>
      <c r="I39" s="466"/>
      <c r="J39" s="466"/>
      <c r="K39" s="1670">
        <f t="shared" si="2"/>
        <v>77337</v>
      </c>
      <c r="L39" s="465">
        <v>78598</v>
      </c>
    </row>
    <row r="40" spans="1:14" x14ac:dyDescent="0.2">
      <c r="A40" s="1503" t="s">
        <v>200</v>
      </c>
      <c r="B40" s="613">
        <v>2150</v>
      </c>
      <c r="C40" s="465">
        <v>138921</v>
      </c>
      <c r="D40" s="465">
        <v>37026</v>
      </c>
      <c r="E40" s="465">
        <v>26440</v>
      </c>
      <c r="F40" s="465"/>
      <c r="G40" s="465"/>
      <c r="H40" s="465"/>
      <c r="I40" s="466"/>
      <c r="J40" s="466"/>
      <c r="K40" s="1670">
        <f t="shared" si="2"/>
        <v>202387</v>
      </c>
      <c r="L40" s="465">
        <v>202061</v>
      </c>
    </row>
    <row r="41" spans="1:14" x14ac:dyDescent="0.2">
      <c r="A41" s="1503" t="s">
        <v>1669</v>
      </c>
      <c r="B41" s="613">
        <v>2190</v>
      </c>
      <c r="C41" s="465"/>
      <c r="D41" s="465"/>
      <c r="E41" s="465"/>
      <c r="F41" s="465"/>
      <c r="G41" s="465"/>
      <c r="H41" s="465"/>
      <c r="I41" s="466"/>
      <c r="J41" s="466"/>
      <c r="K41" s="1670">
        <f t="shared" si="2"/>
        <v>0</v>
      </c>
      <c r="L41" s="465"/>
    </row>
    <row r="42" spans="1:14" ht="12.75" customHeight="1" thickBot="1" x14ac:dyDescent="0.25">
      <c r="A42" s="1667" t="s">
        <v>560</v>
      </c>
      <c r="B42" s="1668" t="s">
        <v>716</v>
      </c>
      <c r="C42" s="1669">
        <f>SUM(C36:C41)</f>
        <v>429378</v>
      </c>
      <c r="D42" s="1669">
        <f t="shared" ref="D42:L42" si="3">SUM(D36:D41)</f>
        <v>86578</v>
      </c>
      <c r="E42" s="1669">
        <f t="shared" si="3"/>
        <v>52921</v>
      </c>
      <c r="F42" s="1669">
        <f t="shared" si="3"/>
        <v>6426</v>
      </c>
      <c r="G42" s="1669">
        <f t="shared" si="3"/>
        <v>0</v>
      </c>
      <c r="H42" s="1669">
        <f t="shared" si="3"/>
        <v>0</v>
      </c>
      <c r="I42" s="1669">
        <f t="shared" si="3"/>
        <v>0</v>
      </c>
      <c r="J42" s="1669">
        <f t="shared" si="3"/>
        <v>0</v>
      </c>
      <c r="K42" s="1669">
        <f t="shared" si="3"/>
        <v>575303</v>
      </c>
      <c r="L42" s="1669">
        <f t="shared" si="3"/>
        <v>548119</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c r="D44" s="480"/>
      <c r="E44" s="480">
        <v>23635</v>
      </c>
      <c r="F44" s="480">
        <v>992</v>
      </c>
      <c r="G44" s="480"/>
      <c r="H44" s="480"/>
      <c r="I44" s="466"/>
      <c r="J44" s="466"/>
      <c r="K44" s="1671">
        <f>SUM(C44:J44)</f>
        <v>24627</v>
      </c>
      <c r="L44" s="480">
        <v>28293</v>
      </c>
    </row>
    <row r="45" spans="1:14" x14ac:dyDescent="0.2">
      <c r="A45" s="1503" t="s">
        <v>815</v>
      </c>
      <c r="B45" s="613">
        <v>2220</v>
      </c>
      <c r="C45" s="465">
        <v>99146</v>
      </c>
      <c r="D45" s="465">
        <v>15912</v>
      </c>
      <c r="E45" s="465"/>
      <c r="F45" s="465">
        <v>5726</v>
      </c>
      <c r="G45" s="465"/>
      <c r="H45" s="465"/>
      <c r="I45" s="466"/>
      <c r="J45" s="466"/>
      <c r="K45" s="1671">
        <f>SUM(C45:J45)</f>
        <v>120784</v>
      </c>
      <c r="L45" s="465">
        <v>123634</v>
      </c>
    </row>
    <row r="46" spans="1:14" x14ac:dyDescent="0.2">
      <c r="A46" s="1503" t="s">
        <v>816</v>
      </c>
      <c r="B46" s="613">
        <v>2230</v>
      </c>
      <c r="C46" s="465"/>
      <c r="D46" s="465"/>
      <c r="E46" s="465"/>
      <c r="F46" s="465">
        <v>7500</v>
      </c>
      <c r="G46" s="465"/>
      <c r="H46" s="465"/>
      <c r="I46" s="466"/>
      <c r="J46" s="466"/>
      <c r="K46" s="1671">
        <f>SUM(C46:J46)</f>
        <v>7500</v>
      </c>
      <c r="L46" s="465">
        <v>10000</v>
      </c>
    </row>
    <row r="47" spans="1:14" ht="12.75" customHeight="1" thickBot="1" x14ac:dyDescent="0.25">
      <c r="A47" s="1667" t="s">
        <v>561</v>
      </c>
      <c r="B47" s="1668" t="s">
        <v>32</v>
      </c>
      <c r="C47" s="1669">
        <f>SUM(C44:C46)</f>
        <v>99146</v>
      </c>
      <c r="D47" s="1669">
        <f t="shared" ref="D47:K47" si="4">SUM(D44:D46)</f>
        <v>15912</v>
      </c>
      <c r="E47" s="1669">
        <f t="shared" si="4"/>
        <v>23635</v>
      </c>
      <c r="F47" s="1669">
        <f t="shared" si="4"/>
        <v>14218</v>
      </c>
      <c r="G47" s="1669">
        <f t="shared" si="4"/>
        <v>0</v>
      </c>
      <c r="H47" s="1669">
        <f t="shared" si="4"/>
        <v>0</v>
      </c>
      <c r="I47" s="1669">
        <f t="shared" si="4"/>
        <v>0</v>
      </c>
      <c r="J47" s="1669">
        <f t="shared" si="4"/>
        <v>0</v>
      </c>
      <c r="K47" s="1669">
        <f t="shared" si="4"/>
        <v>152911</v>
      </c>
      <c r="L47" s="1669">
        <f>SUM(L44:L46)</f>
        <v>161927</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v>600</v>
      </c>
      <c r="D49" s="480"/>
      <c r="E49" s="480">
        <v>148832</v>
      </c>
      <c r="F49" s="480">
        <v>3928</v>
      </c>
      <c r="G49" s="480"/>
      <c r="H49" s="480">
        <v>13710</v>
      </c>
      <c r="I49" s="466"/>
      <c r="J49" s="466"/>
      <c r="K49" s="1671">
        <f>SUM(C49:J49)</f>
        <v>167070</v>
      </c>
      <c r="L49" s="480">
        <v>165200</v>
      </c>
    </row>
    <row r="50" spans="1:14" x14ac:dyDescent="0.2">
      <c r="A50" s="1503" t="s">
        <v>818</v>
      </c>
      <c r="B50" s="613">
        <v>2320</v>
      </c>
      <c r="C50" s="465">
        <v>211474</v>
      </c>
      <c r="D50" s="465">
        <v>73051</v>
      </c>
      <c r="E50" s="465">
        <v>7578</v>
      </c>
      <c r="F50" s="465">
        <v>3917</v>
      </c>
      <c r="G50" s="465">
        <v>6903</v>
      </c>
      <c r="H50" s="465"/>
      <c r="I50" s="466"/>
      <c r="J50" s="466"/>
      <c r="K50" s="1671">
        <f>SUM(C50:J50)</f>
        <v>302923</v>
      </c>
      <c r="L50" s="465">
        <v>306979</v>
      </c>
    </row>
    <row r="51" spans="1:14" x14ac:dyDescent="0.2">
      <c r="A51" s="1503" t="s">
        <v>42</v>
      </c>
      <c r="B51" s="613">
        <v>2330</v>
      </c>
      <c r="C51" s="465">
        <v>131892</v>
      </c>
      <c r="D51" s="465">
        <v>28106</v>
      </c>
      <c r="E51" s="465">
        <v>1625</v>
      </c>
      <c r="F51" s="465"/>
      <c r="G51" s="465"/>
      <c r="H51" s="465"/>
      <c r="I51" s="466"/>
      <c r="J51" s="466"/>
      <c r="K51" s="1671">
        <f>SUM(C51:J51)</f>
        <v>161623</v>
      </c>
      <c r="L51" s="465">
        <v>161153</v>
      </c>
    </row>
    <row r="52" spans="1:14" ht="22.5" x14ac:dyDescent="0.2">
      <c r="A52" s="1504" t="s">
        <v>298</v>
      </c>
      <c r="B52" s="626" t="s">
        <v>366</v>
      </c>
      <c r="C52" s="473"/>
      <c r="D52" s="473"/>
      <c r="E52" s="473"/>
      <c r="F52" s="473"/>
      <c r="G52" s="473"/>
      <c r="H52" s="473"/>
      <c r="I52" s="473"/>
      <c r="J52" s="473"/>
      <c r="K52" s="1671">
        <f>SUM(C52:J52)</f>
        <v>0</v>
      </c>
      <c r="L52" s="473">
        <v>1000</v>
      </c>
    </row>
    <row r="53" spans="1:14" ht="12.75" customHeight="1" thickBot="1" x14ac:dyDescent="0.25">
      <c r="A53" s="1667" t="s">
        <v>717</v>
      </c>
      <c r="B53" s="1668" t="s">
        <v>33</v>
      </c>
      <c r="C53" s="1669">
        <f>SUM(C49:C52)</f>
        <v>343966</v>
      </c>
      <c r="D53" s="1669">
        <f t="shared" ref="D53:L53" si="5">SUM(D49:D52)</f>
        <v>101157</v>
      </c>
      <c r="E53" s="1669">
        <f t="shared" si="5"/>
        <v>158035</v>
      </c>
      <c r="F53" s="1669">
        <f t="shared" si="5"/>
        <v>7845</v>
      </c>
      <c r="G53" s="1669">
        <f t="shared" si="5"/>
        <v>6903</v>
      </c>
      <c r="H53" s="1669">
        <f t="shared" si="5"/>
        <v>13710</v>
      </c>
      <c r="I53" s="1669">
        <f t="shared" si="5"/>
        <v>0</v>
      </c>
      <c r="J53" s="1669">
        <f t="shared" si="5"/>
        <v>0</v>
      </c>
      <c r="K53" s="1669">
        <f t="shared" si="5"/>
        <v>631616</v>
      </c>
      <c r="L53" s="1669">
        <f t="shared" si="5"/>
        <v>634332</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399377</v>
      </c>
      <c r="D55" s="480">
        <v>154950</v>
      </c>
      <c r="E55" s="480">
        <v>3509</v>
      </c>
      <c r="F55" s="480">
        <v>9694</v>
      </c>
      <c r="G55" s="480">
        <v>910</v>
      </c>
      <c r="H55" s="480"/>
      <c r="I55" s="466"/>
      <c r="J55" s="466"/>
      <c r="K55" s="1671">
        <f>SUM(C55:J55)</f>
        <v>568440</v>
      </c>
      <c r="L55" s="480">
        <v>593376</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399377</v>
      </c>
      <c r="D57" s="1673">
        <f t="shared" ref="D57:K57" si="6">SUM(D55:D56)</f>
        <v>154950</v>
      </c>
      <c r="E57" s="1673">
        <f t="shared" si="6"/>
        <v>3509</v>
      </c>
      <c r="F57" s="1673">
        <f t="shared" si="6"/>
        <v>9694</v>
      </c>
      <c r="G57" s="1673">
        <f t="shared" si="6"/>
        <v>910</v>
      </c>
      <c r="H57" s="1673">
        <f t="shared" si="6"/>
        <v>0</v>
      </c>
      <c r="I57" s="1673">
        <f t="shared" si="6"/>
        <v>0</v>
      </c>
      <c r="J57" s="1673">
        <f t="shared" si="6"/>
        <v>0</v>
      </c>
      <c r="K57" s="1673">
        <f t="shared" si="6"/>
        <v>568440</v>
      </c>
      <c r="L57" s="1669">
        <f>SUM(L55:L56)</f>
        <v>593376</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v>85032</v>
      </c>
      <c r="D59" s="480">
        <v>24180</v>
      </c>
      <c r="E59" s="480">
        <v>930</v>
      </c>
      <c r="F59" s="480"/>
      <c r="G59" s="480"/>
      <c r="H59" s="480"/>
      <c r="I59" s="466"/>
      <c r="J59" s="466"/>
      <c r="K59" s="1671">
        <f t="shared" ref="K59:K64" si="7">SUM(C59:J59)</f>
        <v>110142</v>
      </c>
      <c r="L59" s="480">
        <v>111642</v>
      </c>
      <c r="M59" s="608"/>
      <c r="N59" s="608"/>
    </row>
    <row r="60" spans="1:14" s="342" customFormat="1" x14ac:dyDescent="0.2">
      <c r="A60" s="1503" t="s">
        <v>463</v>
      </c>
      <c r="B60" s="613">
        <v>2520</v>
      </c>
      <c r="C60" s="465">
        <v>45911</v>
      </c>
      <c r="D60" s="465">
        <v>9685</v>
      </c>
      <c r="E60" s="465">
        <v>45145</v>
      </c>
      <c r="F60" s="465"/>
      <c r="G60" s="465"/>
      <c r="H60" s="465"/>
      <c r="I60" s="466"/>
      <c r="J60" s="466"/>
      <c r="K60" s="1671">
        <f t="shared" si="7"/>
        <v>100741</v>
      </c>
      <c r="L60" s="465">
        <v>102217</v>
      </c>
      <c r="M60" s="608"/>
      <c r="N60" s="608"/>
    </row>
    <row r="61" spans="1:14" s="342" customFormat="1" x14ac:dyDescent="0.2">
      <c r="A61" s="1503" t="s">
        <v>197</v>
      </c>
      <c r="B61" s="613">
        <v>2540</v>
      </c>
      <c r="C61" s="465"/>
      <c r="D61" s="465">
        <v>69</v>
      </c>
      <c r="E61" s="465"/>
      <c r="F61" s="465"/>
      <c r="G61" s="465"/>
      <c r="H61" s="465"/>
      <c r="I61" s="466"/>
      <c r="J61" s="466"/>
      <c r="K61" s="1671">
        <f t="shared" si="7"/>
        <v>69</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11038</v>
      </c>
      <c r="D63" s="465"/>
      <c r="E63" s="465"/>
      <c r="F63" s="465">
        <v>15451</v>
      </c>
      <c r="G63" s="465"/>
      <c r="H63" s="465"/>
      <c r="I63" s="466"/>
      <c r="J63" s="466"/>
      <c r="K63" s="1671">
        <f t="shared" si="7"/>
        <v>26489</v>
      </c>
      <c r="L63" s="465">
        <v>30000</v>
      </c>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719</v>
      </c>
      <c r="B65" s="1668" t="s">
        <v>35</v>
      </c>
      <c r="C65" s="1669">
        <f>SUM(C59:C64)</f>
        <v>141981</v>
      </c>
      <c r="D65" s="1669">
        <f t="shared" ref="D65:L65" si="8">SUM(D59:D64)</f>
        <v>33934</v>
      </c>
      <c r="E65" s="1669">
        <f t="shared" si="8"/>
        <v>46075</v>
      </c>
      <c r="F65" s="1669">
        <f t="shared" si="8"/>
        <v>15451</v>
      </c>
      <c r="G65" s="1669">
        <f t="shared" si="8"/>
        <v>0</v>
      </c>
      <c r="H65" s="1669">
        <f t="shared" si="8"/>
        <v>0</v>
      </c>
      <c r="I65" s="1669">
        <f t="shared" si="8"/>
        <v>0</v>
      </c>
      <c r="J65" s="1669">
        <f t="shared" si="8"/>
        <v>0</v>
      </c>
      <c r="K65" s="1669">
        <f t="shared" si="8"/>
        <v>237441</v>
      </c>
      <c r="L65" s="1669">
        <f t="shared" si="8"/>
        <v>243859</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c r="F69" s="465"/>
      <c r="G69" s="465"/>
      <c r="H69" s="465"/>
      <c r="I69" s="466"/>
      <c r="J69" s="466"/>
      <c r="K69" s="1671">
        <f>SUM(C69:J69)</f>
        <v>0</v>
      </c>
      <c r="L69" s="465"/>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v>146332</v>
      </c>
      <c r="D71" s="465">
        <v>22090</v>
      </c>
      <c r="E71" s="465">
        <v>95573</v>
      </c>
      <c r="F71" s="465">
        <v>31881</v>
      </c>
      <c r="G71" s="465">
        <v>72294</v>
      </c>
      <c r="H71" s="465"/>
      <c r="I71" s="466"/>
      <c r="J71" s="466"/>
      <c r="K71" s="1671">
        <f>SUM(C71:J71)</f>
        <v>368170</v>
      </c>
      <c r="L71" s="465">
        <f>283871+27000</f>
        <v>310871</v>
      </c>
      <c r="M71" s="608"/>
      <c r="N71" s="608"/>
    </row>
    <row r="72" spans="1:14" s="342" customFormat="1" ht="12.75" customHeight="1" thickBot="1" x14ac:dyDescent="0.25">
      <c r="A72" s="1667" t="s">
        <v>37</v>
      </c>
      <c r="B72" s="1674" t="s">
        <v>36</v>
      </c>
      <c r="C72" s="1669">
        <f>SUM(C67:C71)</f>
        <v>146332</v>
      </c>
      <c r="D72" s="1669">
        <f t="shared" ref="D72:K72" si="9">SUM(D67:D71)</f>
        <v>22090</v>
      </c>
      <c r="E72" s="1669">
        <f t="shared" si="9"/>
        <v>95573</v>
      </c>
      <c r="F72" s="1669">
        <f t="shared" si="9"/>
        <v>31881</v>
      </c>
      <c r="G72" s="1669">
        <f t="shared" si="9"/>
        <v>72294</v>
      </c>
      <c r="H72" s="1669">
        <f t="shared" si="9"/>
        <v>0</v>
      </c>
      <c r="I72" s="1669">
        <f t="shared" si="9"/>
        <v>0</v>
      </c>
      <c r="J72" s="1669">
        <f t="shared" si="9"/>
        <v>0</v>
      </c>
      <c r="K72" s="1669">
        <f t="shared" si="9"/>
        <v>368170</v>
      </c>
      <c r="L72" s="1669">
        <f>SUM(L67:L71)</f>
        <v>310871</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1560180</v>
      </c>
      <c r="D74" s="1676">
        <f t="shared" ref="D74:K74" si="10">SUM(D42,D47,D53,D57,D65,D72,D73)</f>
        <v>414621</v>
      </c>
      <c r="E74" s="1676">
        <f t="shared" si="10"/>
        <v>379748</v>
      </c>
      <c r="F74" s="1676">
        <f t="shared" si="10"/>
        <v>85515</v>
      </c>
      <c r="G74" s="1676">
        <f t="shared" si="10"/>
        <v>80107</v>
      </c>
      <c r="H74" s="1676">
        <f t="shared" si="10"/>
        <v>13710</v>
      </c>
      <c r="I74" s="1676">
        <f t="shared" si="10"/>
        <v>0</v>
      </c>
      <c r="J74" s="1676">
        <f t="shared" si="10"/>
        <v>0</v>
      </c>
      <c r="K74" s="1676">
        <f t="shared" si="10"/>
        <v>2533881</v>
      </c>
      <c r="L74" s="1676">
        <f>SUM(L42,L47,L53,L57,L65,L72,L73)</f>
        <v>2492484</v>
      </c>
    </row>
    <row r="75" spans="1:14" s="258" customFormat="1" ht="15.75" customHeight="1" thickTop="1" thickBot="1" x14ac:dyDescent="0.25">
      <c r="A75" s="1609" t="s">
        <v>47</v>
      </c>
      <c r="B75" s="1610" t="s">
        <v>575</v>
      </c>
      <c r="C75" s="572">
        <v>7027</v>
      </c>
      <c r="D75" s="572"/>
      <c r="E75" s="572"/>
      <c r="F75" s="572"/>
      <c r="G75" s="572"/>
      <c r="H75" s="572"/>
      <c r="I75" s="530"/>
      <c r="J75" s="530"/>
      <c r="K75" s="1669">
        <f>SUM(C75:J75)</f>
        <v>7027</v>
      </c>
      <c r="L75" s="575"/>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c r="F79" s="615"/>
      <c r="G79" s="615"/>
      <c r="H79" s="465">
        <v>74693</v>
      </c>
      <c r="I79" s="476"/>
      <c r="J79" s="476"/>
      <c r="K79" s="1670">
        <f t="shared" si="11"/>
        <v>74693</v>
      </c>
      <c r="L79" s="465">
        <v>70000</v>
      </c>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0</v>
      </c>
      <c r="F84" s="615"/>
      <c r="G84" s="615"/>
      <c r="H84" s="1669">
        <f>SUM(H78:H83)</f>
        <v>74693</v>
      </c>
      <c r="I84" s="476"/>
      <c r="J84" s="476"/>
      <c r="K84" s="1669">
        <f>SUM(K78:K83)</f>
        <v>74693</v>
      </c>
      <c r="L84" s="1669">
        <f>SUM(L78:L83)</f>
        <v>70000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c r="I86" s="476"/>
      <c r="J86" s="476"/>
      <c r="K86" s="1676">
        <f t="shared" ref="K86:K98" si="12">H86</f>
        <v>0</v>
      </c>
      <c r="L86" s="529"/>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0</v>
      </c>
      <c r="F102" s="615"/>
      <c r="G102" s="615"/>
      <c r="H102" s="1676">
        <f>SUM(H84,H92,H100,H101)</f>
        <v>74693</v>
      </c>
      <c r="I102" s="476"/>
      <c r="J102" s="476"/>
      <c r="K102" s="1676">
        <f>SUM(K84,K92,K100,K101)</f>
        <v>74693</v>
      </c>
      <c r="L102" s="1676">
        <f>SUM(L84,L92,L100,L101)</f>
        <v>70000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5370409</v>
      </c>
      <c r="D114" s="1669">
        <f t="shared" ref="D114:K114" si="13">SUM(D33,D74,D75,D102,D112,D113)</f>
        <v>1139099</v>
      </c>
      <c r="E114" s="1669">
        <f t="shared" si="13"/>
        <v>448687</v>
      </c>
      <c r="F114" s="1669">
        <f t="shared" si="13"/>
        <v>194471</v>
      </c>
      <c r="G114" s="1669">
        <f t="shared" si="13"/>
        <v>181832</v>
      </c>
      <c r="H114" s="1669">
        <f>SUM(H33,H74,H75,H102,H112,H113)</f>
        <v>347858</v>
      </c>
      <c r="I114" s="1669">
        <f t="shared" si="13"/>
        <v>0</v>
      </c>
      <c r="J114" s="1669">
        <f t="shared" si="13"/>
        <v>0</v>
      </c>
      <c r="K114" s="1669">
        <f t="shared" si="13"/>
        <v>7682356</v>
      </c>
      <c r="L114" s="1669">
        <f>SUM(L33,L74,L75,L102,L112,L113)</f>
        <v>7669299</v>
      </c>
    </row>
    <row r="115" spans="1:14" ht="13.5" thickTop="1" x14ac:dyDescent="0.2">
      <c r="A115" s="2157" t="s">
        <v>996</v>
      </c>
      <c r="B115" s="2158"/>
      <c r="C115" s="617"/>
      <c r="D115" s="617"/>
      <c r="E115" s="617"/>
      <c r="F115" s="617"/>
      <c r="G115" s="617"/>
      <c r="H115" s="617"/>
      <c r="I115" s="617"/>
      <c r="J115" s="617"/>
      <c r="K115" s="1683">
        <f>'Revenues 9-14'!C268-'Expenditures 15-22'!K114</f>
        <v>584558</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62" t="s">
        <v>296</v>
      </c>
      <c r="B117" s="2163"/>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2058</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v>2375</v>
      </c>
      <c r="F123" s="465">
        <v>316</v>
      </c>
      <c r="G123" s="465">
        <v>85241</v>
      </c>
      <c r="H123" s="465">
        <v>45070</v>
      </c>
      <c r="I123" s="466"/>
      <c r="J123" s="466"/>
      <c r="K123" s="1669">
        <f>SUM(C123:J123)</f>
        <v>133002</v>
      </c>
      <c r="L123" s="465">
        <f>45500+85000</f>
        <v>130500</v>
      </c>
    </row>
    <row r="124" spans="1:14" ht="14.25" thickTop="1" thickBot="1" x14ac:dyDescent="0.25">
      <c r="A124" s="1503" t="s">
        <v>197</v>
      </c>
      <c r="B124" s="613">
        <v>2540</v>
      </c>
      <c r="C124" s="465">
        <v>272378</v>
      </c>
      <c r="D124" s="465">
        <v>43719</v>
      </c>
      <c r="E124" s="465">
        <v>197258</v>
      </c>
      <c r="F124" s="465">
        <v>200567</v>
      </c>
      <c r="G124" s="465">
        <v>25665</v>
      </c>
      <c r="H124" s="465"/>
      <c r="I124" s="466"/>
      <c r="J124" s="466"/>
      <c r="K124" s="1669">
        <f>SUM(C124:J124)</f>
        <v>739587</v>
      </c>
      <c r="L124" s="465">
        <f>633374+6000</f>
        <v>639374</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272378</v>
      </c>
      <c r="D127" s="1669">
        <f t="shared" ref="D127:L127" si="14">SUM(D122:D126)</f>
        <v>43719</v>
      </c>
      <c r="E127" s="1669">
        <f t="shared" si="14"/>
        <v>199633</v>
      </c>
      <c r="F127" s="1669">
        <f t="shared" si="14"/>
        <v>200883</v>
      </c>
      <c r="G127" s="1669">
        <f t="shared" si="14"/>
        <v>110906</v>
      </c>
      <c r="H127" s="1669">
        <f t="shared" si="14"/>
        <v>45070</v>
      </c>
      <c r="I127" s="1669">
        <f t="shared" si="14"/>
        <v>0</v>
      </c>
      <c r="J127" s="1669">
        <f t="shared" si="14"/>
        <v>0</v>
      </c>
      <c r="K127" s="1669">
        <f t="shared" si="14"/>
        <v>872589</v>
      </c>
      <c r="L127" s="1669">
        <f t="shared" si="14"/>
        <v>769874</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272378</v>
      </c>
      <c r="D129" s="1676">
        <f t="shared" ref="D129:L129" si="15">SUM(D120,D127,D128)</f>
        <v>43719</v>
      </c>
      <c r="E129" s="1676">
        <f t="shared" si="15"/>
        <v>199633</v>
      </c>
      <c r="F129" s="1676">
        <f t="shared" si="15"/>
        <v>200883</v>
      </c>
      <c r="G129" s="1676">
        <f t="shared" si="15"/>
        <v>110906</v>
      </c>
      <c r="H129" s="1676">
        <f t="shared" si="15"/>
        <v>45070</v>
      </c>
      <c r="I129" s="1676">
        <f t="shared" si="15"/>
        <v>0</v>
      </c>
      <c r="J129" s="1676">
        <f t="shared" si="15"/>
        <v>0</v>
      </c>
      <c r="K129" s="1676">
        <f t="shared" si="15"/>
        <v>872589</v>
      </c>
      <c r="L129" s="1676">
        <f t="shared" si="15"/>
        <v>769874</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1844</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174" t="s">
        <v>620</v>
      </c>
      <c r="B151" s="2154"/>
      <c r="C151" s="1669">
        <f>SUM(C129,C130,C139,C149,C150)</f>
        <v>272378</v>
      </c>
      <c r="D151" s="1669">
        <f t="shared" ref="D151:K151" si="16">SUM(D129,D130,D139,D149,D150)</f>
        <v>43719</v>
      </c>
      <c r="E151" s="1669">
        <f t="shared" si="16"/>
        <v>199633</v>
      </c>
      <c r="F151" s="1669">
        <f t="shared" si="16"/>
        <v>200883</v>
      </c>
      <c r="G151" s="1669">
        <f t="shared" si="16"/>
        <v>110906</v>
      </c>
      <c r="H151" s="1669">
        <f t="shared" si="16"/>
        <v>45070</v>
      </c>
      <c r="I151" s="1669">
        <f t="shared" si="16"/>
        <v>0</v>
      </c>
      <c r="J151" s="1669">
        <f t="shared" si="16"/>
        <v>0</v>
      </c>
      <c r="K151" s="1669">
        <f t="shared" si="16"/>
        <v>872589</v>
      </c>
      <c r="L151" s="1669">
        <f>SUM(L129,L130,L139,L149,L150)</f>
        <v>769874</v>
      </c>
    </row>
    <row r="152" spans="1:14" ht="12.75" customHeight="1" thickTop="1" x14ac:dyDescent="0.2">
      <c r="A152" s="2177" t="s">
        <v>1178</v>
      </c>
      <c r="B152" s="2178"/>
      <c r="C152" s="617"/>
      <c r="D152" s="617"/>
      <c r="E152" s="617"/>
      <c r="F152" s="617"/>
      <c r="G152" s="617"/>
      <c r="H152" s="617"/>
      <c r="I152" s="617"/>
      <c r="J152" s="615"/>
      <c r="K152" s="1683">
        <f>'Revenues 9-14'!D268-'Expenditures 15-22'!K151</f>
        <v>-55326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2" t="s">
        <v>621</v>
      </c>
      <c r="B154" s="2164"/>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1844</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1846</v>
      </c>
      <c r="C158" s="615"/>
      <c r="D158" s="615"/>
      <c r="E158" s="615"/>
      <c r="F158" s="615"/>
      <c r="G158" s="615"/>
      <c r="H158" s="466"/>
      <c r="I158" s="615"/>
      <c r="J158" s="615"/>
      <c r="K158" s="1670">
        <f>H158</f>
        <v>0</v>
      </c>
      <c r="L158" s="466"/>
      <c r="M158" s="618"/>
      <c r="N158" s="618"/>
    </row>
    <row r="159" spans="1:14" s="619" customFormat="1" ht="12" x14ac:dyDescent="0.2">
      <c r="A159" s="1825" t="s">
        <v>1847</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1848</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v>1473</v>
      </c>
      <c r="I167" s="615"/>
      <c r="J167" s="615"/>
      <c r="K167" s="1670">
        <f>SUM(C167:J167)</f>
        <v>1473</v>
      </c>
      <c r="L167" s="465"/>
    </row>
    <row r="168" spans="1:14" ht="13.5" thickBot="1" x14ac:dyDescent="0.25">
      <c r="A168" s="1667" t="s">
        <v>276</v>
      </c>
      <c r="B168" s="1674" t="s">
        <v>718</v>
      </c>
      <c r="C168" s="615"/>
      <c r="D168" s="615"/>
      <c r="E168" s="615"/>
      <c r="F168" s="615"/>
      <c r="G168" s="615"/>
      <c r="H168" s="1669">
        <f>SUM(H163:H167)</f>
        <v>1473</v>
      </c>
      <c r="I168" s="615"/>
      <c r="J168" s="615"/>
      <c r="K168" s="1669">
        <f>SUM(K163:K167)</f>
        <v>1473</v>
      </c>
      <c r="L168" s="1669">
        <f>SUM(L163:L167)</f>
        <v>0</v>
      </c>
    </row>
    <row r="169" spans="1:14" ht="15.75" customHeight="1" thickTop="1" x14ac:dyDescent="0.2">
      <c r="A169" s="668" t="s">
        <v>83</v>
      </c>
      <c r="B169" s="669" t="s">
        <v>38</v>
      </c>
      <c r="C169" s="615"/>
      <c r="D169" s="615"/>
      <c r="E169" s="615"/>
      <c r="F169" s="615"/>
      <c r="G169" s="615"/>
      <c r="H169" s="655">
        <v>67953</v>
      </c>
      <c r="I169" s="615"/>
      <c r="J169" s="615"/>
      <c r="K169" s="1670">
        <f>SUM(C169:H169)</f>
        <v>67953</v>
      </c>
      <c r="L169" s="655">
        <v>80000</v>
      </c>
    </row>
    <row r="170" spans="1:14" ht="33.75" customHeight="1" x14ac:dyDescent="0.2">
      <c r="A170" s="668" t="s">
        <v>1670</v>
      </c>
      <c r="B170" s="670" t="s">
        <v>31</v>
      </c>
      <c r="C170" s="615"/>
      <c r="D170" s="615"/>
      <c r="E170" s="615"/>
      <c r="F170" s="615"/>
      <c r="G170" s="615"/>
      <c r="H170" s="568">
        <v>825000</v>
      </c>
      <c r="I170" s="615"/>
      <c r="J170" s="615"/>
      <c r="K170" s="1670">
        <f>SUM(C170:J170)</f>
        <v>825000</v>
      </c>
      <c r="L170" s="568">
        <v>800000</v>
      </c>
    </row>
    <row r="171" spans="1:14" ht="15.75" customHeight="1" x14ac:dyDescent="0.2">
      <c r="A171" s="620" t="s">
        <v>766</v>
      </c>
      <c r="B171" s="671" t="s">
        <v>84</v>
      </c>
      <c r="C171" s="615"/>
      <c r="D171" s="615"/>
      <c r="E171" s="465"/>
      <c r="F171" s="615"/>
      <c r="G171" s="615"/>
      <c r="H171" s="568">
        <v>800000</v>
      </c>
      <c r="I171" s="476"/>
      <c r="J171" s="615"/>
      <c r="K171" s="1670">
        <f>SUM(C171:J171)</f>
        <v>800000</v>
      </c>
      <c r="L171" s="568"/>
    </row>
    <row r="172" spans="1:14" ht="12.75" customHeight="1" thickBot="1" x14ac:dyDescent="0.25">
      <c r="A172" s="1667" t="s">
        <v>638</v>
      </c>
      <c r="B172" s="1668" t="s">
        <v>492</v>
      </c>
      <c r="C172" s="615"/>
      <c r="D172" s="615"/>
      <c r="E172" s="1676">
        <f>SUM(E168,E169,E170,E171)</f>
        <v>0</v>
      </c>
      <c r="F172" s="615"/>
      <c r="G172" s="615"/>
      <c r="H172" s="1676">
        <f>SUM(H168,H169,H170,H171)</f>
        <v>1694426</v>
      </c>
      <c r="I172" s="637"/>
      <c r="J172" s="615"/>
      <c r="K172" s="1676">
        <f>SUM(K168,K169,K170,K171)</f>
        <v>1694426</v>
      </c>
      <c r="L172" s="1676">
        <f>SUM(L168,L169,L170,L171)</f>
        <v>880000</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1694426</v>
      </c>
      <c r="I174" s="637"/>
      <c r="J174" s="615"/>
      <c r="K174" s="1676">
        <f>SUM(K160,K172,K173)</f>
        <v>1694426</v>
      </c>
      <c r="L174" s="1676">
        <f>SUM(L160,L172,L173)</f>
        <v>880000</v>
      </c>
    </row>
    <row r="175" spans="1:14" ht="13.5" thickTop="1" x14ac:dyDescent="0.2">
      <c r="A175" s="2157" t="s">
        <v>996</v>
      </c>
      <c r="B175" s="2158"/>
      <c r="C175" s="615"/>
      <c r="D175" s="615"/>
      <c r="E175" s="615"/>
      <c r="F175" s="615"/>
      <c r="G175" s="615"/>
      <c r="H175" s="617"/>
      <c r="I175" s="615"/>
      <c r="J175" s="615"/>
      <c r="K175" s="1683">
        <f>'Revenues 9-14'!E268-'Expenditures 15-22'!K174</f>
        <v>-758469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2058</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c r="D182" s="465"/>
      <c r="E182" s="465">
        <v>284119</v>
      </c>
      <c r="F182" s="465"/>
      <c r="G182" s="465"/>
      <c r="H182" s="465"/>
      <c r="I182" s="466"/>
      <c r="J182" s="466"/>
      <c r="K182" s="1670">
        <f>SUM(C182:J182)</f>
        <v>284119</v>
      </c>
      <c r="L182" s="465">
        <v>351500</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0</v>
      </c>
      <c r="D184" s="1676">
        <f t="shared" ref="D184:J184" si="17">SUM(D180,D182,D183)</f>
        <v>0</v>
      </c>
      <c r="E184" s="1676">
        <f t="shared" si="17"/>
        <v>284119</v>
      </c>
      <c r="F184" s="1676">
        <f t="shared" si="17"/>
        <v>0</v>
      </c>
      <c r="G184" s="1676">
        <f t="shared" si="17"/>
        <v>0</v>
      </c>
      <c r="H184" s="1676">
        <f t="shared" si="17"/>
        <v>0</v>
      </c>
      <c r="I184" s="1676">
        <f t="shared" si="17"/>
        <v>0</v>
      </c>
      <c r="J184" s="1676">
        <f t="shared" si="17"/>
        <v>0</v>
      </c>
      <c r="K184" s="1676">
        <f>SUM(K180,K182,K183)</f>
        <v>284119</v>
      </c>
      <c r="L184" s="1676">
        <f>SUM(L180, L182:L183)</f>
        <v>351500</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0</v>
      </c>
      <c r="D210" s="1669">
        <f>SUM(D184,D185)</f>
        <v>0</v>
      </c>
      <c r="E210" s="1669">
        <f>SUM(E184,E185,E196)</f>
        <v>284119</v>
      </c>
      <c r="F210" s="1669">
        <f>SUM(F184,F185)</f>
        <v>0</v>
      </c>
      <c r="G210" s="1669">
        <f>SUM(G184,G185)</f>
        <v>0</v>
      </c>
      <c r="H210" s="1669">
        <f>SUM(H184,H185,H196,H208,H209)</f>
        <v>0</v>
      </c>
      <c r="I210" s="1669">
        <f>SUM(I184,I185)</f>
        <v>0</v>
      </c>
      <c r="J210" s="1669">
        <f>SUM(J184,J185)</f>
        <v>0</v>
      </c>
      <c r="K210" s="1670">
        <f>SUM(K184,K185,K196,K208,K209)</f>
        <v>284119</v>
      </c>
      <c r="L210" s="1669">
        <f>SUM(L184,L185,L196,L208,L209)</f>
        <v>351500</v>
      </c>
    </row>
    <row r="211" spans="1:14" ht="13.5" thickTop="1" x14ac:dyDescent="0.2">
      <c r="A211" s="2157" t="s">
        <v>996</v>
      </c>
      <c r="B211" s="2158"/>
      <c r="C211" s="617"/>
      <c r="D211" s="617"/>
      <c r="E211" s="617"/>
      <c r="F211" s="617"/>
      <c r="G211" s="617"/>
      <c r="H211" s="617"/>
      <c r="I211" s="615"/>
      <c r="J211" s="615"/>
      <c r="K211" s="1683">
        <f>'Revenues 9-14'!F268-'Expenditures 15-22'!K210</f>
        <v>195092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9" t="s">
        <v>965</v>
      </c>
      <c r="B213" s="2180"/>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36307</v>
      </c>
      <c r="E215" s="615"/>
      <c r="F215" s="615"/>
      <c r="G215" s="615"/>
      <c r="H215" s="615"/>
      <c r="I215" s="615"/>
      <c r="J215" s="615"/>
      <c r="K215" s="1670">
        <f>D215</f>
        <v>36307</v>
      </c>
      <c r="L215" s="465">
        <v>38000</v>
      </c>
    </row>
    <row r="216" spans="1:14" x14ac:dyDescent="0.2">
      <c r="A216" s="1503" t="s">
        <v>163</v>
      </c>
      <c r="B216" s="613" t="s">
        <v>967</v>
      </c>
      <c r="C216" s="615"/>
      <c r="D216" s="466">
        <v>16233</v>
      </c>
      <c r="E216" s="615"/>
      <c r="F216" s="615"/>
      <c r="G216" s="615"/>
      <c r="H216" s="615"/>
      <c r="I216" s="615"/>
      <c r="J216" s="615"/>
      <c r="K216" s="1670">
        <f t="shared" ref="K216:K228" si="19">D216</f>
        <v>16233</v>
      </c>
      <c r="L216" s="465">
        <v>17100</v>
      </c>
    </row>
    <row r="217" spans="1:14" x14ac:dyDescent="0.2">
      <c r="A217" s="1503" t="s">
        <v>164</v>
      </c>
      <c r="B217" s="613">
        <v>1200</v>
      </c>
      <c r="C217" s="615"/>
      <c r="D217" s="465">
        <v>80195</v>
      </c>
      <c r="E217" s="615"/>
      <c r="F217" s="615"/>
      <c r="G217" s="615"/>
      <c r="H217" s="615"/>
      <c r="I217" s="615"/>
      <c r="J217" s="615"/>
      <c r="K217" s="1670">
        <f t="shared" si="19"/>
        <v>80195</v>
      </c>
      <c r="L217" s="465">
        <v>73600</v>
      </c>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v>2533</v>
      </c>
      <c r="E219" s="615"/>
      <c r="F219" s="615"/>
      <c r="G219" s="615"/>
      <c r="H219" s="615"/>
      <c r="I219" s="615"/>
      <c r="J219" s="615"/>
      <c r="K219" s="1670">
        <f t="shared" si="19"/>
        <v>2533</v>
      </c>
      <c r="L219" s="465">
        <v>10900</v>
      </c>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v>1646</v>
      </c>
      <c r="E223" s="615"/>
      <c r="F223" s="615"/>
      <c r="G223" s="615"/>
      <c r="H223" s="615"/>
      <c r="I223" s="615"/>
      <c r="J223" s="615"/>
      <c r="K223" s="1670">
        <f t="shared" si="19"/>
        <v>1646</v>
      </c>
      <c r="L223" s="465">
        <v>2200</v>
      </c>
    </row>
    <row r="224" spans="1:14" x14ac:dyDescent="0.2">
      <c r="A224" s="1503" t="s">
        <v>964</v>
      </c>
      <c r="B224" s="613">
        <v>1600</v>
      </c>
      <c r="C224" s="615"/>
      <c r="D224" s="465"/>
      <c r="E224" s="615"/>
      <c r="F224" s="615"/>
      <c r="G224" s="615"/>
      <c r="H224" s="615"/>
      <c r="I224" s="615"/>
      <c r="J224" s="615"/>
      <c r="K224" s="1670">
        <f t="shared" si="19"/>
        <v>0</v>
      </c>
      <c r="L224" s="465"/>
    </row>
    <row r="225" spans="1:12" x14ac:dyDescent="0.2">
      <c r="A225" s="1503" t="s">
        <v>987</v>
      </c>
      <c r="B225" s="613">
        <v>1650</v>
      </c>
      <c r="C225" s="615"/>
      <c r="D225" s="465"/>
      <c r="E225" s="615"/>
      <c r="F225" s="615"/>
      <c r="G225" s="615"/>
      <c r="H225" s="615"/>
      <c r="I225" s="615"/>
      <c r="J225" s="615"/>
      <c r="K225" s="1670">
        <f t="shared" si="19"/>
        <v>0</v>
      </c>
      <c r="L225" s="465"/>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v>850</v>
      </c>
      <c r="E227" s="615"/>
      <c r="F227" s="615"/>
      <c r="G227" s="615"/>
      <c r="H227" s="615"/>
      <c r="I227" s="615"/>
      <c r="J227" s="615"/>
      <c r="K227" s="1670">
        <f t="shared" si="19"/>
        <v>850</v>
      </c>
      <c r="L227" s="465">
        <v>900</v>
      </c>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137764</v>
      </c>
      <c r="E229" s="615"/>
      <c r="F229" s="615"/>
      <c r="G229" s="615"/>
      <c r="H229" s="615"/>
      <c r="I229" s="615"/>
      <c r="J229" s="615"/>
      <c r="K229" s="1669">
        <f>SUM(K215:K228)</f>
        <v>137764</v>
      </c>
      <c r="L229" s="1669">
        <f>SUM(L215:L228)</f>
        <v>142700</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1488</v>
      </c>
      <c r="E232" s="615"/>
      <c r="F232" s="615"/>
      <c r="G232" s="615"/>
      <c r="H232" s="615"/>
      <c r="I232" s="615"/>
      <c r="J232" s="615"/>
      <c r="K232" s="1670">
        <f t="shared" ref="K232:K237" si="20">D232</f>
        <v>1488</v>
      </c>
      <c r="L232" s="465">
        <v>1500</v>
      </c>
    </row>
    <row r="233" spans="1:12" x14ac:dyDescent="0.2">
      <c r="A233" s="1503" t="s">
        <v>1090</v>
      </c>
      <c r="B233" s="613">
        <v>2120</v>
      </c>
      <c r="C233" s="615"/>
      <c r="D233" s="465"/>
      <c r="E233" s="615"/>
      <c r="F233" s="615"/>
      <c r="G233" s="615"/>
      <c r="H233" s="615"/>
      <c r="I233" s="615"/>
      <c r="J233" s="615"/>
      <c r="K233" s="1670">
        <f t="shared" si="20"/>
        <v>0</v>
      </c>
      <c r="L233" s="465"/>
    </row>
    <row r="234" spans="1:12" x14ac:dyDescent="0.2">
      <c r="A234" s="1503" t="s">
        <v>198</v>
      </c>
      <c r="B234" s="613">
        <v>2130</v>
      </c>
      <c r="C234" s="615"/>
      <c r="D234" s="465">
        <v>23133</v>
      </c>
      <c r="E234" s="615"/>
      <c r="F234" s="615"/>
      <c r="G234" s="615"/>
      <c r="H234" s="615"/>
      <c r="I234" s="615"/>
      <c r="J234" s="615"/>
      <c r="K234" s="1670">
        <f t="shared" si="20"/>
        <v>23133</v>
      </c>
      <c r="L234" s="465">
        <v>16370</v>
      </c>
    </row>
    <row r="235" spans="1:12" x14ac:dyDescent="0.2">
      <c r="A235" s="1503" t="s">
        <v>199</v>
      </c>
      <c r="B235" s="613">
        <v>2140</v>
      </c>
      <c r="C235" s="615"/>
      <c r="D235" s="465">
        <v>729</v>
      </c>
      <c r="E235" s="615"/>
      <c r="F235" s="615"/>
      <c r="G235" s="615"/>
      <c r="H235" s="615"/>
      <c r="I235" s="615"/>
      <c r="J235" s="615"/>
      <c r="K235" s="1670">
        <f t="shared" si="20"/>
        <v>729</v>
      </c>
      <c r="L235" s="465">
        <v>900</v>
      </c>
    </row>
    <row r="236" spans="1:12" x14ac:dyDescent="0.2">
      <c r="A236" s="1503" t="s">
        <v>200</v>
      </c>
      <c r="B236" s="613">
        <v>2150</v>
      </c>
      <c r="C236" s="615"/>
      <c r="D236" s="465">
        <v>1806</v>
      </c>
      <c r="E236" s="615"/>
      <c r="F236" s="615"/>
      <c r="G236" s="615"/>
      <c r="H236" s="615"/>
      <c r="I236" s="615"/>
      <c r="J236" s="615"/>
      <c r="K236" s="1670">
        <f t="shared" si="20"/>
        <v>1806</v>
      </c>
      <c r="L236" s="465">
        <v>2100</v>
      </c>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27156</v>
      </c>
      <c r="E238" s="615"/>
      <c r="F238" s="615"/>
      <c r="G238" s="615"/>
      <c r="H238" s="615"/>
      <c r="I238" s="615"/>
      <c r="J238" s="615"/>
      <c r="K238" s="1669">
        <f>SUM(K232:K237)</f>
        <v>27156</v>
      </c>
      <c r="L238" s="1669">
        <f>SUM(L232:L237)</f>
        <v>20870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c r="E240" s="615"/>
      <c r="F240" s="615"/>
      <c r="G240" s="615"/>
      <c r="H240" s="615"/>
      <c r="I240" s="615"/>
      <c r="J240" s="615"/>
      <c r="K240" s="1671">
        <f>D240</f>
        <v>0</v>
      </c>
      <c r="L240" s="480">
        <v>100</v>
      </c>
    </row>
    <row r="241" spans="1:12" x14ac:dyDescent="0.2">
      <c r="A241" s="1503" t="s">
        <v>815</v>
      </c>
      <c r="B241" s="613">
        <v>2220</v>
      </c>
      <c r="C241" s="615"/>
      <c r="D241" s="465">
        <v>4632</v>
      </c>
      <c r="E241" s="615"/>
      <c r="F241" s="615"/>
      <c r="G241" s="615"/>
      <c r="H241" s="615"/>
      <c r="I241" s="615"/>
      <c r="J241" s="615"/>
      <c r="K241" s="1671">
        <f>D241</f>
        <v>4632</v>
      </c>
      <c r="L241" s="465">
        <v>4900</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4632</v>
      </c>
      <c r="E243" s="615"/>
      <c r="F243" s="615"/>
      <c r="G243" s="615"/>
      <c r="H243" s="615"/>
      <c r="I243" s="615"/>
      <c r="J243" s="615"/>
      <c r="K243" s="1669">
        <f>SUM(K240:K242)</f>
        <v>4632</v>
      </c>
      <c r="L243" s="1669">
        <f>SUM(L240:L242)</f>
        <v>5000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v>46</v>
      </c>
      <c r="E245" s="615"/>
      <c r="F245" s="615"/>
      <c r="G245" s="615"/>
      <c r="H245" s="615"/>
      <c r="I245" s="615"/>
      <c r="J245" s="615"/>
      <c r="K245" s="1671">
        <f>D245</f>
        <v>46</v>
      </c>
      <c r="L245" s="480">
        <v>200</v>
      </c>
    </row>
    <row r="246" spans="1:12" x14ac:dyDescent="0.2">
      <c r="A246" s="1503" t="s">
        <v>818</v>
      </c>
      <c r="B246" s="613">
        <v>2320</v>
      </c>
      <c r="C246" s="615"/>
      <c r="D246" s="465">
        <v>8123</v>
      </c>
      <c r="E246" s="615"/>
      <c r="F246" s="615"/>
      <c r="G246" s="615"/>
      <c r="H246" s="615"/>
      <c r="I246" s="615"/>
      <c r="J246" s="615"/>
      <c r="K246" s="1671">
        <f t="shared" ref="K246:K256" si="21">D246</f>
        <v>8123</v>
      </c>
      <c r="L246" s="465">
        <v>4000</v>
      </c>
    </row>
    <row r="247" spans="1:12" x14ac:dyDescent="0.2">
      <c r="A247" s="1503" t="s">
        <v>819</v>
      </c>
      <c r="B247" s="613">
        <v>2330</v>
      </c>
      <c r="C247" s="615"/>
      <c r="D247" s="465">
        <v>3869</v>
      </c>
      <c r="E247" s="615"/>
      <c r="F247" s="615"/>
      <c r="G247" s="615"/>
      <c r="H247" s="615"/>
      <c r="I247" s="615"/>
      <c r="J247" s="615"/>
      <c r="K247" s="1671">
        <f t="shared" si="21"/>
        <v>3869</v>
      </c>
      <c r="L247" s="465">
        <v>4000</v>
      </c>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12038</v>
      </c>
      <c r="E257" s="615"/>
      <c r="F257" s="615"/>
      <c r="G257" s="615"/>
      <c r="H257" s="615"/>
      <c r="I257" s="615"/>
      <c r="J257" s="615"/>
      <c r="K257" s="1669">
        <f>SUM(K245:K256)</f>
        <v>12038</v>
      </c>
      <c r="L257" s="1669">
        <f>SUM(L245:L256)</f>
        <v>8200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25646</v>
      </c>
      <c r="E259" s="615"/>
      <c r="F259" s="615"/>
      <c r="G259" s="615"/>
      <c r="H259" s="615"/>
      <c r="I259" s="615"/>
      <c r="J259" s="615"/>
      <c r="K259" s="1671">
        <f>D259</f>
        <v>25646</v>
      </c>
      <c r="L259" s="480">
        <v>28000</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25646</v>
      </c>
      <c r="E261" s="615"/>
      <c r="F261" s="615"/>
      <c r="G261" s="615"/>
      <c r="H261" s="615"/>
      <c r="I261" s="615"/>
      <c r="J261" s="615"/>
      <c r="K261" s="1669">
        <f>SUM(K259:K260)</f>
        <v>25646</v>
      </c>
      <c r="L261" s="1669">
        <f>SUM(L259:L260)</f>
        <v>28000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v>16525</v>
      </c>
      <c r="E263" s="615"/>
      <c r="F263" s="615"/>
      <c r="G263" s="615"/>
      <c r="H263" s="615"/>
      <c r="I263" s="615"/>
      <c r="J263" s="615"/>
      <c r="K263" s="1671">
        <f>D263</f>
        <v>16525</v>
      </c>
      <c r="L263" s="480">
        <v>17600</v>
      </c>
    </row>
    <row r="264" spans="1:14" x14ac:dyDescent="0.2">
      <c r="A264" s="1503" t="s">
        <v>463</v>
      </c>
      <c r="B264" s="684">
        <v>2520</v>
      </c>
      <c r="C264" s="615"/>
      <c r="D264" s="465">
        <v>8928</v>
      </c>
      <c r="E264" s="615"/>
      <c r="F264" s="615"/>
      <c r="G264" s="615"/>
      <c r="H264" s="615"/>
      <c r="I264" s="615"/>
      <c r="J264" s="615"/>
      <c r="K264" s="1671">
        <f t="shared" ref="K264:K269" si="22">D264</f>
        <v>8928</v>
      </c>
      <c r="L264" s="465">
        <v>9700</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52867</v>
      </c>
      <c r="E266" s="615"/>
      <c r="F266" s="615"/>
      <c r="G266" s="615"/>
      <c r="H266" s="615"/>
      <c r="I266" s="615"/>
      <c r="J266" s="615"/>
      <c r="K266" s="1671">
        <f t="shared" si="22"/>
        <v>52867</v>
      </c>
      <c r="L266" s="465">
        <v>56200</v>
      </c>
    </row>
    <row r="267" spans="1:14" x14ac:dyDescent="0.2">
      <c r="A267" s="1503" t="s">
        <v>953</v>
      </c>
      <c r="B267" s="613">
        <v>2550</v>
      </c>
      <c r="C267" s="615"/>
      <c r="D267" s="465"/>
      <c r="E267" s="615"/>
      <c r="F267" s="615"/>
      <c r="G267" s="615"/>
      <c r="H267" s="615"/>
      <c r="I267" s="615"/>
      <c r="J267" s="615"/>
      <c r="K267" s="1671">
        <f t="shared" si="22"/>
        <v>0</v>
      </c>
      <c r="L267" s="465"/>
    </row>
    <row r="268" spans="1:14" x14ac:dyDescent="0.2">
      <c r="A268" s="1503" t="s">
        <v>100</v>
      </c>
      <c r="B268" s="613">
        <v>2560</v>
      </c>
      <c r="C268" s="615"/>
      <c r="D268" s="465">
        <v>844</v>
      </c>
      <c r="E268" s="615"/>
      <c r="F268" s="615"/>
      <c r="G268" s="615"/>
      <c r="H268" s="615"/>
      <c r="I268" s="615"/>
      <c r="J268" s="615"/>
      <c r="K268" s="1671">
        <f t="shared" si="22"/>
        <v>844</v>
      </c>
      <c r="L268" s="465">
        <v>1300</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79164</v>
      </c>
      <c r="E270" s="615"/>
      <c r="F270" s="615"/>
      <c r="G270" s="615"/>
      <c r="H270" s="615"/>
      <c r="I270" s="615"/>
      <c r="J270" s="615"/>
      <c r="K270" s="1669">
        <f>SUM(K263:K269)</f>
        <v>79164</v>
      </c>
      <c r="L270" s="1669">
        <f>SUM(L263:L269)</f>
        <v>84800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v>28695</v>
      </c>
      <c r="E276" s="615"/>
      <c r="F276" s="615"/>
      <c r="G276" s="615"/>
      <c r="H276" s="615"/>
      <c r="I276" s="615"/>
      <c r="J276" s="615"/>
      <c r="K276" s="1671">
        <f>D276</f>
        <v>28695</v>
      </c>
      <c r="L276" s="465">
        <v>30500</v>
      </c>
    </row>
    <row r="277" spans="1:12" ht="12.75" customHeight="1" thickBot="1" x14ac:dyDescent="0.25">
      <c r="A277" s="1690" t="s">
        <v>37</v>
      </c>
      <c r="B277" s="1668" t="s">
        <v>36</v>
      </c>
      <c r="C277" s="615"/>
      <c r="D277" s="1669">
        <f>SUM(D272:D276)</f>
        <v>28695</v>
      </c>
      <c r="E277" s="615"/>
      <c r="F277" s="615"/>
      <c r="G277" s="615"/>
      <c r="H277" s="615"/>
      <c r="I277" s="615"/>
      <c r="J277" s="615"/>
      <c r="K277" s="1669">
        <f>SUM(K272:K276)</f>
        <v>28695</v>
      </c>
      <c r="L277" s="1669">
        <f>SUM(L272:L276)</f>
        <v>30500</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177331</v>
      </c>
      <c r="E279" s="615"/>
      <c r="F279" s="615"/>
      <c r="G279" s="615"/>
      <c r="H279" s="615"/>
      <c r="I279" s="615"/>
      <c r="J279" s="615"/>
      <c r="K279" s="1676">
        <f>SUM(K238,K243,K257,K261,K270,K277,K278)</f>
        <v>177331</v>
      </c>
      <c r="L279" s="1676">
        <f>SUM(L238,L243,L257,L261,L270,L277,L278)</f>
        <v>177370</v>
      </c>
    </row>
    <row r="280" spans="1:12" ht="15.75" customHeight="1" thickTop="1" thickBot="1" x14ac:dyDescent="0.25">
      <c r="A280" s="1623" t="s">
        <v>875</v>
      </c>
      <c r="B280" s="1612">
        <v>3000</v>
      </c>
      <c r="C280" s="615"/>
      <c r="D280" s="575"/>
      <c r="E280" s="615"/>
      <c r="F280" s="615"/>
      <c r="G280" s="615"/>
      <c r="H280" s="615"/>
      <c r="I280" s="615"/>
      <c r="J280" s="615"/>
      <c r="K280" s="1678">
        <f>D280</f>
        <v>0</v>
      </c>
      <c r="L280" s="575"/>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1844</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5" t="s">
        <v>505</v>
      </c>
      <c r="B295" s="2176"/>
      <c r="C295" s="615"/>
      <c r="D295" s="1669">
        <f>SUM(D229,D279,D280,D285)</f>
        <v>315095</v>
      </c>
      <c r="E295" s="615"/>
      <c r="F295" s="615"/>
      <c r="G295" s="615"/>
      <c r="H295" s="1669">
        <f>H293</f>
        <v>0</v>
      </c>
      <c r="I295" s="615"/>
      <c r="J295" s="615"/>
      <c r="K295" s="1669">
        <f>SUM(K229,K279,K280,K285,K293,K294)</f>
        <v>315095</v>
      </c>
      <c r="L295" s="1669">
        <f>SUM(L229,L279,L280,L285,L293,L294)</f>
        <v>320070</v>
      </c>
    </row>
    <row r="296" spans="1:14" ht="13.5" thickTop="1" x14ac:dyDescent="0.2">
      <c r="A296" s="2157" t="s">
        <v>996</v>
      </c>
      <c r="B296" s="2158"/>
      <c r="C296" s="615"/>
      <c r="D296" s="617"/>
      <c r="E296" s="615"/>
      <c r="F296" s="615"/>
      <c r="G296" s="615"/>
      <c r="H296" s="686"/>
      <c r="I296" s="615"/>
      <c r="J296" s="615"/>
      <c r="K296" s="1683">
        <f>'Revenues 9-14'!G268-'Expenditures 15-22'!K295</f>
        <v>17564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7" t="s">
        <v>143</v>
      </c>
      <c r="B298" s="2161"/>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v>3083971</v>
      </c>
      <c r="H301" s="465"/>
      <c r="I301" s="466"/>
      <c r="J301" s="466"/>
      <c r="K301" s="1670">
        <f>SUM(C301:J301)</f>
        <v>3083971</v>
      </c>
      <c r="L301" s="466">
        <v>2837012</v>
      </c>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3083971</v>
      </c>
      <c r="H303" s="1676">
        <f t="shared" si="23"/>
        <v>0</v>
      </c>
      <c r="I303" s="1676">
        <f t="shared" si="23"/>
        <v>0</v>
      </c>
      <c r="J303" s="1676">
        <f t="shared" si="23"/>
        <v>0</v>
      </c>
      <c r="K303" s="1676">
        <f t="shared" si="23"/>
        <v>3083971</v>
      </c>
      <c r="L303" s="1676">
        <f t="shared" si="23"/>
        <v>2837012</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72" t="s">
        <v>277</v>
      </c>
      <c r="B312" s="2173"/>
      <c r="C312" s="1669">
        <f>SUM(C303)</f>
        <v>0</v>
      </c>
      <c r="D312" s="1669">
        <f>SUM(D303)</f>
        <v>0</v>
      </c>
      <c r="E312" s="1669">
        <f>SUM(E303,E310)</f>
        <v>0</v>
      </c>
      <c r="F312" s="1669">
        <f>SUM(F303)</f>
        <v>0</v>
      </c>
      <c r="G312" s="1669">
        <f>SUM(G303)</f>
        <v>3083971</v>
      </c>
      <c r="H312" s="1669">
        <f>SUM(H303,H310)</f>
        <v>0</v>
      </c>
      <c r="I312" s="1669">
        <f>SUM(I303)</f>
        <v>0</v>
      </c>
      <c r="J312" s="1669">
        <f>SUM(J303)</f>
        <v>0</v>
      </c>
      <c r="K312" s="1669">
        <f>SUM(K303,K310,K311)</f>
        <v>3083971</v>
      </c>
      <c r="L312" s="1669">
        <f>SUM(L303,L310,L311)</f>
        <v>2837012</v>
      </c>
      <c r="M312" s="664"/>
      <c r="N312" s="664"/>
    </row>
    <row r="313" spans="1:14" ht="13.5" thickTop="1" x14ac:dyDescent="0.2">
      <c r="A313" s="2168" t="s">
        <v>996</v>
      </c>
      <c r="B313" s="2169"/>
      <c r="C313" s="625"/>
      <c r="D313" s="625"/>
      <c r="E313" s="625"/>
      <c r="F313" s="625"/>
      <c r="G313" s="625"/>
      <c r="H313" s="625"/>
      <c r="I313" s="625"/>
      <c r="J313" s="625"/>
      <c r="K313" s="1684">
        <f>'Revenues 9-14'!H268-'Expenditures 15-22'!K312</f>
        <v>-3064937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1" t="s">
        <v>149</v>
      </c>
      <c r="B315" s="2182"/>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3" t="s">
        <v>898</v>
      </c>
      <c r="B317" s="2182"/>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c r="F322" s="466"/>
      <c r="G322" s="466"/>
      <c r="H322" s="466"/>
      <c r="I322" s="466"/>
      <c r="J322" s="466"/>
      <c r="K322" s="1670">
        <f t="shared" si="24"/>
        <v>0</v>
      </c>
      <c r="L322" s="466"/>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4"/>
      <c r="N330" s="664"/>
    </row>
    <row r="331" spans="1:14" s="673" customFormat="1" ht="12.75" customHeight="1" thickTop="1" x14ac:dyDescent="0.2">
      <c r="A331" s="1830" t="s">
        <v>1850</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1844</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1846</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SUM(L330,L334,L340,L341)</f>
        <v>0</v>
      </c>
    </row>
    <row r="343" spans="1:14" ht="12.75" customHeight="1" thickTop="1" x14ac:dyDescent="0.2">
      <c r="A343" s="2170" t="s">
        <v>996</v>
      </c>
      <c r="B343" s="2171"/>
      <c r="C343" s="615"/>
      <c r="D343" s="615"/>
      <c r="E343" s="615"/>
      <c r="F343" s="615"/>
      <c r="G343" s="615"/>
      <c r="H343" s="615"/>
      <c r="I343" s="615"/>
      <c r="J343" s="615"/>
      <c r="K343" s="1683">
        <f>'Revenues 9-14'!J268-'Expenditures 15-22'!K342</f>
        <v>116</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60" t="s">
        <v>966</v>
      </c>
      <c r="B345" s="2161"/>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row>
    <row r="355" spans="1:14" ht="12.75" customHeight="1" x14ac:dyDescent="0.2">
      <c r="A355" s="1512" t="s">
        <v>1853</v>
      </c>
      <c r="B355" s="689" t="s">
        <v>1846</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7" t="s">
        <v>996</v>
      </c>
      <c r="B368" s="2158"/>
      <c r="C368" s="653"/>
      <c r="D368" s="653"/>
      <c r="E368" s="625"/>
      <c r="F368" s="625"/>
      <c r="G368" s="625"/>
      <c r="H368" s="625"/>
      <c r="I368" s="625"/>
      <c r="J368" s="622"/>
      <c r="K368" s="1670">
        <f>'Revenues 9-14'!K268-'Expenditures 15-22'!K367</f>
        <v>2182</v>
      </c>
      <c r="L368" s="653"/>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d21dc803-237d-4c68-8692-8d731fd29118"/>
    <ds:schemaRef ds:uri="http://www.w3.org/XML/1998/namespace"/>
    <ds:schemaRef ds:uri="6ce3111e-7420-4802-b50a-75d4e9a0b980"/>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2019-10-18T18:37:20Z</cp:lastPrinted>
  <dcterms:created xsi:type="dcterms:W3CDTF">2003-10-29T19:06:34Z</dcterms:created>
  <dcterms:modified xsi:type="dcterms:W3CDTF">2019-12-31T17:57:22Z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