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E737650-9829-4D1D-BF14-F4E07208478B}" xr6:coauthVersionLast="36" xr6:coauthVersionMax="36" xr10:uidLastSave="{00000000-0000-0000-0000-000000000000}"/>
  <bookViews>
    <workbookView xWindow="0" yWindow="0" windowWidth="28800" windowHeight="14025" tabRatio="82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4" i="183" l="1"/>
  <c r="C9" i="4" l="1"/>
  <c r="E41" i="183" l="1"/>
  <c r="E46" i="183"/>
  <c r="J90" i="183" l="1"/>
  <c r="H90" i="183"/>
  <c r="F90" i="183"/>
  <c r="E90" i="183"/>
  <c r="D90" i="183"/>
  <c r="K88" i="183"/>
  <c r="K87" i="183"/>
  <c r="K86" i="183"/>
  <c r="J81" i="183"/>
  <c r="E79" i="183"/>
  <c r="D79" i="183"/>
  <c r="K78" i="183"/>
  <c r="K77" i="183"/>
  <c r="H76" i="183"/>
  <c r="H79" i="183" s="1"/>
  <c r="F76" i="183"/>
  <c r="F79" i="183" s="1"/>
  <c r="F73" i="183"/>
  <c r="E73" i="183"/>
  <c r="D73" i="183"/>
  <c r="K72" i="183"/>
  <c r="H71" i="183"/>
  <c r="H73" i="183" s="1"/>
  <c r="F67" i="183"/>
  <c r="E67" i="183"/>
  <c r="D67" i="183"/>
  <c r="K66" i="183"/>
  <c r="H65" i="183"/>
  <c r="K65" i="183" s="1"/>
  <c r="H64" i="183"/>
  <c r="H67" i="183" s="1"/>
  <c r="F62" i="183"/>
  <c r="E62" i="183"/>
  <c r="D62" i="183"/>
  <c r="K61" i="183"/>
  <c r="K60" i="183"/>
  <c r="H59" i="183"/>
  <c r="K59" i="183" s="1"/>
  <c r="L52" i="183"/>
  <c r="H52" i="183"/>
  <c r="F52" i="183"/>
  <c r="E52" i="183"/>
  <c r="E54" i="183" s="1"/>
  <c r="D52" i="183"/>
  <c r="K51" i="183"/>
  <c r="K50" i="183"/>
  <c r="K49" i="183"/>
  <c r="L46" i="183"/>
  <c r="H46" i="183"/>
  <c r="F46" i="183"/>
  <c r="D46" i="183"/>
  <c r="K45" i="183"/>
  <c r="K44" i="183"/>
  <c r="K43" i="183"/>
  <c r="L41" i="183"/>
  <c r="H41" i="183"/>
  <c r="F41" i="183"/>
  <c r="D41" i="183"/>
  <c r="K40" i="183"/>
  <c r="K39" i="183"/>
  <c r="K38" i="183"/>
  <c r="J93" i="183"/>
  <c r="L36" i="183"/>
  <c r="H36" i="183"/>
  <c r="F36" i="183"/>
  <c r="E36" i="183"/>
  <c r="D36" i="183"/>
  <c r="K35" i="183"/>
  <c r="K34" i="183"/>
  <c r="K33" i="183"/>
  <c r="L28" i="183"/>
  <c r="H28" i="183"/>
  <c r="F28" i="183"/>
  <c r="E28" i="183"/>
  <c r="D28" i="183"/>
  <c r="K27" i="183"/>
  <c r="K26" i="183"/>
  <c r="K25" i="183"/>
  <c r="L22" i="183"/>
  <c r="H22" i="183"/>
  <c r="F22" i="183"/>
  <c r="E22" i="183"/>
  <c r="D22" i="183"/>
  <c r="K21" i="183"/>
  <c r="K20" i="183"/>
  <c r="K19" i="183"/>
  <c r="L15" i="183"/>
  <c r="H15" i="183"/>
  <c r="F15" i="183"/>
  <c r="D15" i="183"/>
  <c r="K14" i="183"/>
  <c r="K13" i="183"/>
  <c r="K12" i="183"/>
  <c r="K15" i="183" s="1"/>
  <c r="E12" i="183"/>
  <c r="E15" i="183" s="1"/>
  <c r="H54" i="183" l="1"/>
  <c r="K36" i="183"/>
  <c r="K41" i="183"/>
  <c r="D54" i="183"/>
  <c r="D93" i="183" s="1"/>
  <c r="F54" i="183"/>
  <c r="L54" i="183"/>
  <c r="F81" i="183"/>
  <c r="K62" i="183"/>
  <c r="K90" i="183"/>
  <c r="K46" i="183"/>
  <c r="D81" i="183"/>
  <c r="K52" i="183"/>
  <c r="K54" i="183" s="1"/>
  <c r="H62" i="183"/>
  <c r="H81" i="183" s="1"/>
  <c r="H93" i="183" s="1"/>
  <c r="K64" i="183"/>
  <c r="K67" i="183" s="1"/>
  <c r="K22" i="183"/>
  <c r="K28" i="183"/>
  <c r="E81" i="183"/>
  <c r="E93" i="183" s="1"/>
  <c r="D35" i="171" s="1"/>
  <c r="F93" i="183"/>
  <c r="K76" i="183"/>
  <c r="K79" i="183" s="1"/>
  <c r="K71" i="183"/>
  <c r="K73" i="183" s="1"/>
  <c r="K81" i="183" l="1"/>
  <c r="K93" i="183" s="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28" i="108"/>
  <c r="F31" i="108"/>
  <c r="F36" i="108"/>
  <c r="G28" i="108"/>
  <c r="G29" i="108"/>
  <c r="G30" i="108"/>
  <c r="D31" i="108"/>
  <c r="D36"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L367" i="29" l="1"/>
  <c r="L342" i="29"/>
  <c r="F50" i="34"/>
  <c r="F42" i="34"/>
  <c r="B3647" i="106"/>
  <c r="D3647" i="106" s="1"/>
  <c r="K76" i="4"/>
  <c r="B3586" i="106" s="1"/>
  <c r="D3586" i="106" s="1"/>
  <c r="G210" i="29"/>
  <c r="B1365" i="106" s="1"/>
  <c r="D1365" i="106" s="1"/>
  <c r="L13" i="11"/>
  <c r="B2060" i="106" s="1"/>
  <c r="D2060" i="106" s="1"/>
  <c r="D69" i="36"/>
  <c r="D54" i="36"/>
  <c r="C129" i="29"/>
  <c r="G35" i="108"/>
  <c r="E35" i="108"/>
  <c r="F19" i="7"/>
  <c r="B1807" i="106" s="1"/>
  <c r="D1807" i="106" s="1"/>
  <c r="I210" i="29"/>
  <c r="B7071" i="106" s="1"/>
  <c r="D7071" i="106" s="1"/>
  <c r="F65" i="34"/>
  <c r="K184" i="29"/>
  <c r="F13" i="4" s="1"/>
  <c r="B2596" i="106" s="1"/>
  <c r="D2596" i="106" s="1"/>
  <c r="G26" i="108"/>
  <c r="E26" i="108"/>
  <c r="B1274" i="106"/>
  <c r="D1274" i="106" s="1"/>
  <c r="G15" i="145"/>
  <c r="E29" i="108"/>
  <c r="F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5778" i="106" l="1"/>
  <c r="D5778" i="106" s="1"/>
  <c r="G6" i="4"/>
  <c r="B2604" i="106" s="1"/>
  <c r="D2604" i="106" s="1"/>
  <c r="L16" i="11"/>
  <c r="B2061" i="106" s="1"/>
  <c r="D2061" i="106" s="1"/>
  <c r="L114" i="29"/>
  <c r="B5527" i="106"/>
  <c r="D5527" i="106" s="1"/>
  <c r="B1266" i="106"/>
  <c r="D1266" i="106" s="1"/>
  <c r="F41" i="108"/>
  <c r="G43" i="108"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l="1"/>
  <c r="D81" i="4" s="1"/>
  <c r="D39" i="3" s="1"/>
  <c r="F175" i="34"/>
  <c r="F79" i="34"/>
  <c r="J41" i="3"/>
  <c r="B6215" i="106"/>
  <c r="D6215"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566" i="106"/>
  <c r="D3566" i="106" s="1"/>
  <c r="K41" i="3"/>
  <c r="D51" i="36"/>
  <c r="B6216" i="106"/>
  <c r="D6216" i="106" s="1"/>
  <c r="B2912" i="106"/>
  <c r="D2912" i="106" s="1"/>
  <c r="I41" i="3"/>
  <c r="B2535" i="106"/>
  <c r="D2535" i="106" s="1"/>
  <c r="H41" i="3"/>
  <c r="B123" i="106"/>
  <c r="D123" i="106" s="1"/>
  <c r="D41" i="3"/>
  <c r="B3278" i="106"/>
  <c r="D3278" i="106" s="1"/>
  <c r="E81" i="4"/>
  <c r="E39" i="3" s="1"/>
  <c r="N21" i="3" s="1"/>
  <c r="B3233" i="106"/>
  <c r="D3233" i="106" s="1"/>
  <c r="C81" i="4"/>
  <c r="C39" i="3" s="1"/>
  <c r="A7263" i="106"/>
  <c r="D7262" i="106"/>
  <c r="B1700" i="106"/>
  <c r="D1700" i="106" s="1"/>
  <c r="H82" i="4"/>
  <c r="D62" i="36"/>
  <c r="O16" i="118"/>
  <c r="F81" i="4"/>
  <c r="F38"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B2913" i="106"/>
  <c r="D2913" i="106" s="1"/>
  <c r="D50" i="36"/>
  <c r="B213" i="106"/>
  <c r="D213" i="106" s="1"/>
  <c r="D49" i="36"/>
  <c r="B189" i="106"/>
  <c r="D189" i="106" s="1"/>
  <c r="G41" i="3"/>
  <c r="B2475" i="106"/>
  <c r="D2475" i="106" s="1"/>
  <c r="D75" i="36"/>
  <c r="F41" i="3"/>
  <c r="B140" i="106"/>
  <c r="D140" i="106" s="1"/>
  <c r="E41" i="3"/>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<sst xmlns="http://schemas.openxmlformats.org/spreadsheetml/2006/main" count="5219" uniqueCount="2185">
  <si>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</si>
  <si>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</si>
  <si>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</si>
  <si>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</si>
  <si>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</si>
  <si>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</si>
  <si>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</si>
  <si>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</si>
  <si>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</si>
  <si>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</si>
  <si>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</si>
  <si>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</si>
  <si>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</si>
  <si>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</si>
  <si>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</si>
  <si>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</si>
  <si>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</si>
  <si>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</si>
  <si>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</si>
  <si>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</si>
  <si>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</si>
  <si>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</si>
  <si>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</si>
  <si>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</si>
  <si>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</si>
  <si>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</si>
  <si>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</si>
  <si>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</si>
  <si>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</si>
  <si>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</si>
  <si>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</si>
  <si>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</si>
  <si>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</si>
  <si>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</si>
  <si>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</si>
  <si>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</si>
  <si>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</si>
  <si>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</si>
  <si>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</si>
  <si>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</si>
  <si>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</si>
  <si>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</si>
  <si>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</si>
  <si>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</si>
  <si>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</si>
  <si>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</si>
  <si>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</si>
  <si>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</si>
  <si>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</si>
  <si>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</si>
  <si>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</si>
  <si>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</si>
  <si>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</si>
  <si>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</si>
  <si>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</si>
  <si>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</si>
  <si>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</si>
  <si>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</si>
  <si>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</si>
  <si>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</si>
  <si>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</si>
  <si>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</si>
  <si>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</si>
  <si>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</si>
  <si>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</si>
  <si>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</si>
  <si>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</si>
  <si>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</si>
  <si>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</si>
  <si>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</si>
  <si>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</si>
  <si>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</si>
  <si>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</si>
  <si>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</si>
  <si>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</si>
  <si>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</si>
  <si>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</si>
  <si>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</si>
  <si>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</si>
  <si>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</si>
  <si>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</si>
  <si>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</si>
  <si>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</si>
  <si>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</si>
  <si>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</si>
  <si>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</si>
  <si>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</si>
  <si>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</si>
  <si>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</si>
  <si>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</si>
  <si>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</si>
  <si>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</si>
  <si>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</si>
  <si>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</si>
  <si>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</si>
  <si>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</si>
  <si>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</si>
  <si>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</si>
  <si>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</si>
  <si>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</si>
  <si>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</si>
  <si>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</si>
  <si>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</si>
  <si>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</si>
  <si>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</si>
  <si>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</si>
  <si>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</si>
  <si>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</si>
  <si>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</si>
  <si>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</si>
  <si>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</si>
  <si>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</si>
  <si>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</si>
  <si>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</si>
  <si>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</si>
  <si>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</si>
  <si>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</si>
  <si>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</si>
  <si>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</si>
  <si>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</si>
  <si>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</si>
  <si>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</si>
  <si>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</si>
  <si>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</si>
  <si>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</si>
  <si>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</si>
  <si>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</si>
  <si>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</si>
  <si>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</si>
  <si>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</si>
  <si>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</si>
  <si>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</si>
  <si>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</si>
  <si>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</si>
  <si>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</si>
  <si>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</si>
  <si>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</si>
  <si>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</si>
  <si>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</si>
  <si>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</si>
  <si>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</si>
  <si>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</si>
  <si>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</si>
  <si>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</si>
  <si>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</si>
  <si>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</si>
  <si>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</si>
  <si>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</si>
  <si>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</si>
  <si>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</si>
  <si>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</si>
  <si>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</si>
  <si>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</si>
  <si>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</si>
  <si>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</si>
  <si>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</si>
  <si>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</si>
  <si>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</si>
  <si>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</si>
  <si>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</si>
  <si>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</si>
  <si>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</si>
  <si>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</si>
  <si>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</si>
  <si>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</si>
  <si>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</si>
  <si>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</si>
  <si>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</si>
  <si>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</si>
  <si>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</si>
  <si>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</si>
  <si>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</si>
  <si>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</si>
  <si>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</si>
  <si>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</si>
  <si>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</si>
  <si>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</si>
  <si>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</si>
  <si>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</si>
  <si>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</si>
  <si>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</si>
  <si>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</si>
  <si>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</si>
  <si>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</si>
  <si>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</si>
  <si>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</si>
  <si>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</si>
  <si>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</si>
  <si>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</si>
  <si>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</si>
  <si>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</si>
  <si>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</si>
  <si>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</si>
  <si>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</si>
  <si>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</si>
  <si>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</si>
  <si>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</si>
  <si>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</si>
  <si>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</si>
  <si>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</si>
  <si>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</si>
  <si>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</si>
  <si>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</si>
  <si>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</si>
  <si>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</si>
  <si>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</si>
  <si>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</si>
  <si>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</si>
  <si>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</si>
  <si>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</si>
  <si>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</si>
  <si>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</si>
  <si>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</si>
  <si>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</si>
  <si>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</si>
  <si>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</si>
  <si>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</si>
  <si>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</si>
  <si>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</si>
  <si>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</si>
  <si>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</si>
  <si>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</si>
  <si>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</si>
  <si>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</si>
  <si>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</si>
  <si>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</si>
  <si>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</si>
  <si>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</si>
  <si>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</si>
  <si>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</si>
  <si>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</si>
  <si>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</si>
  <si>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</si>
  <si>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</si>
  <si>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</si>
  <si>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</si>
  <si>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</si>
  <si>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</si>
  <si>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</si>
  <si>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</si>
  <si>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</si>
  <si>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</si>
  <si>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</si>
  <si>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</si>
  <si>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</si>
  <si>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</si>
  <si>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</si>
  <si>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</si>
  <si>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</si>
  <si>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</si>
  <si>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</si>
  <si>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</si>
  <si>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</si>
  <si>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</si>
  <si>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</si>
  <si>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</si>
  <si>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</si>
  <si>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</si>
  <si>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</si>
  <si>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</si>
  <si>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</si>
  <si>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</si>
  <si>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</si>
  <si>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</si>
  <si>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</si>
  <si>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</si>
  <si>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</si>
  <si>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</si>
  <si>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</si>
  <si>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</si>
  <si>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</si>
  <si>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</si>
  <si>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</si>
  <si>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</si>
  <si>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</si>
  <si>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</si>
  <si>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</si>
  <si>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</si>
  <si>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</si>
  <si>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</si>
  <si>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</si>
  <si>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</si>
  <si>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</si>
  <si>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</si>
  <si>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</si>
  <si>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</si>
  <si>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</si>
  <si>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</si>
  <si>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</si>
  <si>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</si>
  <si>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</si>
  <si>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</si>
  <si>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</si>
  <si>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</si>
  <si>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</si>
  <si>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</si>
  <si>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</si>
  <si>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</si>
  <si>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</si>
  <si>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</si>
  <si>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</si>
  <si>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</si>
  <si>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</si>
  <si>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</si>
  <si>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</si>
  <si>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</si>
  <si>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</si>
  <si>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</si>
  <si>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</si>
  <si>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</si>
  <si>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</si>
  <si>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</si>
  <si>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</si>
  <si>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</si>
  <si>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</si>
  <si>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</si>
  <si>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</si>
  <si>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</si>
  <si>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</si>
  <si>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</si>
  <si>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</si>
  <si>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</si>
  <si>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</si>
  <si>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</si>
  <si>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</si>
  <si>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</si>
  <si>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</si>
  <si>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</si>
  <si>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</si>
  <si>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</si>
  <si>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</si>
  <si>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</si>
  <si>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</si>
  <si>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</si>
  <si>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</si>
  <si>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</si>
  <si>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</si>
  <si>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</si>
  <si>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</si>
  <si>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</si>
  <si>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</si>
  <si>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</si>
  <si>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</si>
  <si>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</si>
  <si>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</si>
  <si>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</si>
  <si>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</si>
  <si>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</si>
  <si>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</si>
  <si>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</si>
  <si>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</si>
  <si>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</si>
  <si>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</si>
  <si>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</si>
  <si>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</si>
  <si>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</si>
  <si>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</si>
  <si>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</si>
  <si>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</si>
  <si>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</si>
  <si>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</si>
  <si>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</si>
  <si>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</si>
  <si>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</si>
  <si>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</si>
  <si>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</si>
  <si>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</si>
  <si>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</si>
  <si>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</si>
  <si>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</si>
  <si>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</si>
  <si>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</si>
  <si>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</si>
  <si>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</si>
  <si>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</si>
  <si>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</si>
  <si>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</si>
  <si>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</si>
  <si>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</si>
  <si>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</si>
  <si>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</si>
  <si>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</si>
  <si>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</si>
  <si>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</si>
  <si>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</si>
  <si>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</si>
  <si>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</si>
  <si>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</si>
  <si>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</si>
  <si>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</si>
  <si>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</si>
  <si>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</si>
  <si>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</si>
  <si>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</si>
  <si>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</si>
  <si>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</si>
  <si>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</si>
  <si>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</si>
  <si>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</si>
  <si>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</si>
  <si>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</si>
  <si>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</si>
  <si>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</si>
  <si>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</si>
  <si>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</si>
  <si>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</si>
  <si>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</si>
  <si>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</si>
  <si>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</si>
  <si>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</si>
  <si>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</si>
  <si>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</si>
  <si>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</si>
  <si>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</si>
  <si>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</si>
  <si>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</si>
  <si>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</si>
  <si>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</si>
  <si>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</si>
  <si>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</si>
  <si>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</si>
  <si>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</si>
  <si>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</si>
  <si>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</si>
  <si>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</si>
  <si>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</si>
  <si>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</si>
  <si>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</si>
  <si>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</si>
  <si>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</si>
  <si>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</si>
  <si>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</si>
  <si>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</si>
  <si>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</si>
  <si>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</si>
  <si>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</si>
  <si>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</si>
  <si>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</si>
  <si>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</si>
  <si>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</si>
  <si>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</si>
  <si>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</si>
  <si>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</si>
  <si>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</si>
  <si>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</si>
  <si>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</si>
  <si>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</si>
  <si>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</si>
  <si>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</si>
  <si>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</si>
  <si>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</si>
  <si>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</si>
  <si>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</si>
  <si>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</si>
  <si>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</si>
  <si>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</si>
  <si>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</si>
  <si>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</si>
  <si>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</si>
  <si>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</si>
  <si>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</si>
  <si>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</si>
  <si>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</si>
  <si>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</si>
  <si>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</si>
  <si>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</si>
  <si>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</si>
  <si>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</si>
  <si>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</si>
  <si>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</si>
  <si>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</si>
  <si>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</si>
  <si>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</si>
  <si>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</si>
  <si>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</si>
  <si>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</si>
  <si>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</si>
  <si>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</si>
  <si>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</si>
  <si>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</si>
  <si>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</si>
  <si>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</si>
  <si>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</si>
  <si>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</si>
  <si>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</si>
  <si>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</si>
  <si>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</si>
  <si>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</si>
  <si>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</si>
  <si>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</si>
  <si>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</si>
  <si>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</si>
  <si>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</si>
  <si>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</si>
  <si>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</si>
  <si>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</si>
  <si>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</si>
  <si>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</si>
  <si>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</si>
  <si>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</si>
  <si>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</si>
  <si>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</si>
  <si>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</si>
  <si>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</si>
  <si>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</si>
  <si>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</si>
  <si>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</si>
  <si>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</si>
  <si>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</si>
  <si>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</si>
  <si>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</si>
  <si>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</si>
  <si>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</si>
  <si>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</si>
  <si>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</si>
  <si>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</si>
  <si>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</si>
  <si>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</si>
  <si>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</si>
  <si>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</si>
  <si>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</si>
  <si>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</si>
  <si>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</si>
  <si>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</si>
  <si>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</si>
  <si>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</si>
  <si>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</si>
  <si>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</si>
  <si>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</si>
  <si>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</si>
  <si>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</si>
  <si>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</si>
  <si>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</si>
  <si>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</si>
  <si>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</si>
  <si>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</si>
  <si>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</si>
  <si>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</si>
  <si>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</si>
  <si>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</si>
  <si>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</si>
  <si>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</si>
  <si>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</si>
  <si>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</si>
  <si>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</si>
  <si>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</si>
  <si>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</si>
  <si>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</si>
  <si>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</si>
  <si>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</si>
  <si>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</si>
  <si>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</si>
  <si>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</si>
  <si>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</si>
  <si>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</si>
  <si>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</si>
  <si>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</si>
  <si>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</si>
  <si>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</si>
  <si>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</si>
  <si>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</si>
  <si>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</si>
  <si>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</si>
  <si>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</si>
  <si>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</si>
  <si>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</si>
  <si>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</si>
  <si>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</si>
  <si>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</si>
  <si>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</si>
  <si>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</si>
  <si>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</si>
  <si>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</si>
  <si>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</si>
  <si>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</si>
  <si>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</si>
  <si>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</si>
  <si>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</si>
  <si>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</si>
  <si>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</si>
  <si>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</si>
  <si>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</si>
  <si>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</si>
  <si>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</si>
  <si>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</si>
  <si>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</si>
  <si>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</si>
  <si>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</si>
  <si>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</si>
  <si>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</si>
  <si>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</si>
  <si>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</si>
  <si>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</si>
  <si>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</si>
  <si>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</si>
  <si>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</si>
  <si>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</si>
  <si>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</si>
  <si>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</si>
  <si>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</si>
  <si>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</si>
  <si>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</si>
  <si>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</si>
  <si>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</si>
  <si>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</si>
  <si>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</si>
  <si>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</si>
  <si>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</si>
  <si>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</si>
  <si>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</si>
  <si>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</si>
  <si>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</si>
  <si>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</si>
  <si>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</si>
  <si>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</si>
  <si>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</si>
  <si>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</si>
  <si>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</si>
  <si>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</si>
  <si>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</si>
  <si>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</si>
  <si>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</si>
  <si>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</si>
  <si>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</si>
  <si>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</si>
  <si>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</si>
  <si>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</si>
  <si>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</si>
  <si>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</si>
  <si>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</si>
  <si>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</si>
  <si>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</si>
  <si>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</si>
  <si>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</si>
  <si>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</si>
  <si>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</si>
  <si>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</si>
  <si>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</si>
  <si>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</si>
  <si>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</si>
  <si>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</si>
  <si>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</si>
  <si>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</si>
  <si>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</si>
  <si>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</si>
  <si>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</si>
  <si>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</si>
  <si>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</si>
  <si>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</si>
  <si>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</si>
  <si>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</si>
  <si>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</si>
  <si>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</si>
  <si>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</si>
  <si>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</si>
  <si>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</si>
  <si>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</si>
  <si>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</si>
  <si>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</si>
  <si>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</si>
  <si>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</si>
  <si>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</si>
  <si>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</si>
  <si>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</si>
  <si>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</si>
  <si>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</si>
  <si>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</si>
  <si>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</si>
  <si>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</si>
  <si>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</si>
  <si>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</si>
  <si>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</si>
  <si>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</si>
  <si>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</si>
  <si>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</si>
  <si>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</si>
  <si>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</si>
  <si>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</si>
  <si>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</si>
  <si>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</si>
  <si>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</si>
  <si>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</si>
  <si>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</si>
  <si>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</si>
  <si>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</si>
  <si>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</si>
  <si>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</si>
  <si>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</si>
  <si>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</si>
  <si>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</si>
  <si>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</si>
  <si>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</si>
  <si>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</si>
  <si>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</si>
  <si>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</si>
  <si>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</si>
  <si>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</si>
  <si>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</si>
  <si>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</si>
  <si>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</si>
  <si>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</si>
  <si>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</si>
  <si>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</si>
  <si>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</si>
  <si>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</si>
  <si>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</si>
  <si>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</si>
  <si>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</si>
  <si>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</si>
  <si>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</si>
  <si>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</si>
  <si>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</si>
  <si>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</si>
  <si>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</si>
  <si>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</si>
  <si>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</si>
  <si>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</si>
  <si>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</si>
  <si>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</si>
  <si>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</si>
  <si>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</si>
  <si>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</si>
  <si>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</si>
  <si>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</si>
  <si>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</si>
  <si>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</si>
  <si>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</si>
  <si>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</si>
  <si>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</si>
  <si>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</si>
  <si>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</si>
  <si>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</si>
  <si>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</si>
  <si>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</si>
  <si>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</si>
  <si>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</si>
  <si>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</si>
  <si>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</si>
  <si>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</si>
  <si>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</si>
  <si>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</si>
  <si>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</si>
  <si>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</si>
  <si>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</si>
  <si>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</si>
  <si>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</si>
  <si>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</si>
  <si>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</si>
  <si>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</si>
  <si>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</si>
  <si>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</si>
  <si>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</si>
  <si>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</si>
  <si>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</si>
  <si>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</si>
  <si>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</si>
  <si>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</si>
  <si>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</si>
  <si>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</si>
  <si>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</si>
  <si>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</si>
  <si>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</si>
  <si>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</si>
  <si>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</si>
  <si>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</si>
  <si>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</si>
  <si>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</si>
  <si>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</si>
  <si>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</si>
  <si>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</si>
  <si>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</si>
  <si>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</si>
  <si>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</si>
  <si>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</si>
  <si>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</si>
  <si>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</si>
  <si>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</si>
  <si>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</si>
  <si>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</si>
  <si>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</si>
  <si>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</si>
  <si>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</si>
  <si>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</si>
  <si>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</si>
  <si>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</si>
  <si>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</si>
  <si>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</si>
  <si>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</si>
  <si>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</si>
  <si>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</si>
  <si>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</si>
  <si>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</si>
  <si>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</si>
  <si>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</si>
  <si>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</si>
  <si>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</si>
  <si>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</si>
  <si>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</si>
  <si>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</si>
  <si>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</si>
  <si>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</si>
  <si>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</si>
  <si>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</si>
  <si>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</si>
  <si>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</si>
  <si>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</si>
  <si>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</si>
  <si>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</si>
  <si>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</si>
  <si>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</si>
  <si>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</si>
  <si>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</si>
  <si>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</si>
  <si>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</si>
  <si>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</si>
  <si>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</si>
  <si>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</si>
  <si>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</si>
  <si>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</si>
  <si>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</si>
  <si>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</si>
  <si>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</si>
  <si>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</si>
  <si>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</si>
  <si>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</si>
  <si>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</si>
  <si>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</si>
  <si>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</si>
  <si>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</si>
  <si>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</si>
  <si>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</si>
  <si>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</si>
  <si>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</si>
  <si>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</si>
  <si>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</si>
  <si>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</si>
  <si>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</si>
  <si>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</si>
  <si>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</si>
  <si>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</si>
  <si>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</si>
  <si>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</si>
  <si>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</si>
  <si>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</si>
  <si>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</si>
  <si>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</si>
  <si>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</si>
  <si>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</si>
  <si>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</si>
  <si>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</si>
  <si>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</si>
  <si>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</si>
  <si>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</si>
  <si>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</si>
  <si>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</si>
  <si>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</si>
  <si>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</si>
  <si>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</si>
  <si>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</si>
  <si>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</si>
  <si>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</si>
  <si>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</si>
  <si>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</si>
  <si>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</si>
  <si>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</si>
  <si>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</si>
  <si>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</si>
  <si>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</si>
  <si>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</si>
  <si>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</si>
  <si>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</si>
  <si>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</si>
  <si>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</si>
  <si>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</si>
  <si>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</si>
  <si>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</si>
  <si>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</si>
  <si>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</si>
  <si>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</si>
  <si>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</si>
  <si>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</si>
  <si>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</si>
  <si>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</si>
  <si>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</si>
  <si>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</si>
  <si>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</si>
  <si>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</si>
  <si>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</si>
  <si>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</si>
  <si>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</si>
  <si>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</si>
  <si>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</si>
  <si>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</si>
  <si>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</si>
  <si>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</si>
  <si>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</si>
  <si>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</si>
  <si>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</si>
  <si>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</si>
  <si>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</si>
  <si>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</si>
  <si>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</si>
  <si>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</si>
  <si>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</si>
  <si>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</si>
  <si>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</si>
  <si>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</si>
  <si>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</si>
  <si>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</si>
  <si>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</si>
  <si>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</si>
  <si>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</si>
  <si>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</si>
  <si>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</si>
  <si>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</si>
  <si>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</si>
  <si>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</si>
  <si>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</si>
  <si>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</si>
  <si>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</si>
  <si>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</si>
  <si>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</si>
  <si>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</si>
  <si>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</si>
  <si>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</si>
  <si>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</si>
  <si>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</si>
  <si>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</si>
  <si>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</si>
  <si>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</si>
  <si>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</si>
  <si>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</si>
  <si>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</si>
  <si>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</si>
  <si>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</si>
  <si>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</si>
  <si>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</si>
  <si>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</si>
  <si>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</si>
  <si>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</si>
  <si>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</si>
  <si>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</si>
  <si>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</si>
  <si>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</si>
  <si>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</si>
  <si>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</si>
  <si>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</si>
  <si>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</si>
  <si>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</si>
  <si>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</si>
  <si>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</si>
  <si>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</si>
  <si>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</si>
  <si>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</si>
  <si>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</si>
  <si>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</si>
  <si>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</si>
  <si>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</si>
  <si>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</si>
  <si>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</si>
  <si>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</si>
  <si>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</si>
  <si>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</si>
  <si>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</si>
  <si>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</si>
  <si>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</si>
  <si>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</si>
  <si>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</si>
  <si>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</si>
  <si>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</si>
  <si>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</si>
  <si>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</si>
  <si>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</si>
  <si>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</si>
  <si>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</si>
  <si>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</si>
  <si>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</si>
  <si>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</si>
  <si>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</si>
  <si>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</si>
  <si>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</si>
  <si>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</si>
  <si>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</si>
  <si>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</si>
  <si>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</si>
  <si>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</si>
  <si>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</si>
  <si>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</si>
  <si>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</si>
  <si>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</si>
  <si>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</si>
  <si>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</si>
  <si>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</si>
  <si>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</si>
  <si>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</si>
  <si>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</si>
  <si>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</si>
  <si>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</si>
  <si>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</si>
  <si>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</si>
  <si>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</si>
  <si>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</si>
  <si>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</si>
  <si>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</si>
  <si>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</si>
  <si>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</si>
  <si>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</si>
  <si>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</si>
  <si>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</si>
  <si>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</si>
  <si>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</si>
  <si>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</si>
  <si>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</si>
  <si>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</si>
  <si>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</si>
  <si>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</si>
  <si>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</si>
  <si>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</si>
  <si>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</si>
  <si>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</si>
  <si>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</si>
  <si>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</si>
  <si>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</si>
  <si>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</si>
  <si>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</si>
  <si>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</si>
  <si>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</si>
  <si>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</si>
  <si>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</si>
  <si>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</si>
  <si>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</si>
  <si>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</si>
  <si>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</si>
  <si>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</si>
  <si>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</si>
  <si>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</si>
  <si>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</si>
  <si>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</si>
  <si>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</si>
  <si>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</si>
  <si>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</si>
  <si>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</si>
  <si>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</si>
  <si>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</si>
  <si>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</si>
  <si>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</si>
  <si>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</si>
  <si>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</si>
  <si>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</si>
  <si>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</si>
  <si>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</si>
  <si>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</si>
  <si>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</si>
  <si>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</si>
  <si>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</si>
  <si>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</si>
  <si>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</si>
  <si>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</si>
  <si>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</si>
  <si>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</si>
  <si>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</si>
  <si>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</si>
  <si>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</si>
  <si>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</si>
  <si>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</si>
  <si>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</si>
  <si>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</si>
  <si>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</si>
  <si>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</si>
  <si>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</si>
  <si>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</si>
  <si>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</si>
  <si>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</si>
  <si>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</si>
  <si>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</si>
  <si>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</si>
  <si>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</si>
  <si>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</si>
  <si>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</si>
  <si>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</si>
  <si>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</si>
  <si>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</si>
  <si>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</si>
  <si>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</si>
  <si>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</si>
  <si>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</si>
  <si>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</si>
  <si>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</si>
  <si>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</si>
  <si>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</si>
  <si>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</si>
  <si>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</si>
  <si>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</si>
  <si>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</si>
  <si>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</si>
  <si>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</si>
  <si>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</si>
  <si>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</si>
  <si>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</si>
  <si>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</si>
  <si>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</si>
  <si>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</si>
  <si>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</si>
  <si>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</si>
  <si>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</si>
  <si>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</si>
  <si>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</si>
  <si>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</si>
  <si>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</si>
  <si>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</si>
  <si>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</si>
  <si>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</si>
  <si>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</si>
  <si>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</si>
  <si>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</si>
  <si>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</si>
  <si>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</si>
  <si>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</si>
  <si>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</si>
  <si>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</si>
  <si>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</si>
  <si>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</si>
  <si>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</si>
  <si>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</si>
  <si>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</si>
  <si>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</si>
  <si>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</si>
  <si>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</si>
  <si>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</si>
  <si>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</si>
  <si>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</si>
  <si>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</si>
  <si>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</si>
  <si>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</si>
  <si>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</si>
  <si>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</si>
  <si>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</si>
  <si>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</si>
  <si>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</si>
  <si>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</si>
  <si>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</si>
  <si>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</si>
  <si>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</si>
  <si>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</si>
  <si>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</si>
  <si>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</si>
  <si>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</si>
  <si>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</si>
  <si>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</si>
  <si>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</si>
  <si>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</si>
  <si>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</si>
  <si>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</si>
  <si>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</si>
  <si>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</si>
  <si>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</si>
  <si>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</si>
  <si>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</si>
  <si>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</si>
  <si>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</si>
  <si>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</si>
  <si>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</si>
  <si>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</si>
  <si>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</si>
  <si>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</si>
  <si>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</si>
  <si>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</si>
  <si>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</si>
  <si>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</si>
  <si>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</si>
  <si>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</si>
  <si>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</si>
  <si>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</si>
  <si>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</si>
  <si>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</si>
  <si>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</si>
  <si>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</si>
  <si>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</si>
  <si>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</si>
  <si>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</si>
  <si>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</si>
  <si>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</si>
  <si>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</si>
  <si>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</si>
  <si>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</si>
  <si>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</si>
  <si>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</si>
  <si>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</si>
  <si>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</si>
  <si>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</si>
  <si>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</si>
  <si>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</si>
  <si>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</si>
  <si>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</si>
  <si>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</si>
  <si>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</si>
  <si>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</si>
  <si>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</si>
  <si>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</si>
  <si>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</si>
  <si>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</si>
  <si>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</si>
  <si>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</si>
  <si>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</si>
  <si>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</si>
  <si>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</si>
  <si>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</si>
  <si>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</si>
  <si>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</si>
  <si>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</si>
  <si>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</si>
  <si>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</si>
  <si>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</si>
  <si>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</si>
  <si>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</si>
  <si>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</si>
  <si>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</si>
  <si>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</si>
  <si>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</si>
  <si>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</si>
  <si>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</si>
  <si>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</si>
  <si>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</si>
  <si>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</si>
  <si>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</si>
  <si>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</si>
  <si>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</si>
  <si>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</si>
  <si>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</si>
  <si>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</si>
  <si>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</si>
  <si>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</si>
  <si>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</si>
  <si>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</si>
  <si>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</si>
  <si>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</si>
  <si>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</si>
  <si>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</si>
  <si>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</si>
  <si>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</si>
  <si>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</si>
  <si>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</si>
  <si>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</si>
  <si>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</si>
  <si>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</si>
  <si>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</si>
  <si>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</si>
  <si>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</si>
  <si>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</si>
  <si>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</si>
  <si>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</si>
  <si>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</si>
  <si>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</si>
  <si>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</si>
  <si>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</si>
  <si>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</si>
  <si>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</si>
  <si>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</si>
  <si>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</si>
  <si>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</si>
  <si>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</si>
  <si>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</si>
  <si>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</si>
  <si>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</si>
  <si>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</si>
  <si>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</si>
  <si>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</si>
  <si>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</si>
  <si>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</si>
  <si>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</si>
  <si>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</si>
  <si>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</si>
  <si>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</si>
  <si>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</si>
  <si>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</si>
  <si>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</si>
  <si>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</si>
  <si>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</si>
  <si>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</si>
  <si>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</si>
  <si>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</si>
  <si>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</si>
  <si>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</si>
  <si>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</si>
  <si>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</si>
  <si>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</si>
  <si>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</si>
  <si>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</si>
  <si>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</si>
  <si>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</si>
  <si>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</si>
  <si>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</si>
  <si>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</si>
  <si>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</si>
  <si>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</si>
  <si>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</si>
  <si>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</si>
  <si>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</si>
  <si>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</si>
  <si>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</si>
  <si>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</si>
  <si>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</si>
  <si>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</si>
  <si>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</si>
  <si>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</si>
  <si>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</si>
  <si>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</si>
  <si>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</si>
  <si>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</si>
  <si>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</si>
  <si>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</si>
  <si>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</si>
  <si>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</si>
  <si>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</si>
  <si>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</si>
  <si>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</si>
  <si>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</si>
  <si>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</si>
  <si>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</si>
  <si>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</si>
  <si>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</si>
  <si>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</si>
  <si>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</si>
  <si>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</si>
  <si>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</si>
  <si>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</si>
  <si>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</si>
  <si>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</si>
  <si>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</si>
  <si>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</si>
  <si>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</si>
  <si>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</si>
  <si>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</si>
  <si>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</si>
  <si>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</si>
  <si>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</si>
  <si>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</si>
  <si>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</si>
  <si>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</si>
  <si>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</si>
  <si>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</si>
  <si>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</si>
  <si>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</si>
  <si>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</si>
  <si>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</si>
  <si>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</si>
  <si>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</si>
  <si>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</si>
  <si>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</si>
  <si>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</si>
  <si>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</si>
  <si>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</si>
  <si>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</si>
  <si>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</si>
  <si>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</si>
  <si>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</si>
  <si>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</si>
  <si>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</si>
  <si>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</si>
  <si>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</si>
  <si>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</si>
  <si>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</si>
  <si>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</si>
  <si>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</si>
  <si>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</si>
  <si>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</si>
  <si>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</si>
  <si>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</si>
  <si>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</si>
  <si>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</si>
  <si>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</si>
  <si>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</si>
  <si>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</si>
  <si>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</si>
  <si>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</si>
  <si>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</si>
  <si>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</si>
  <si>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</si>
  <si>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</si>
  <si>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</si>
  <si>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</si>
  <si>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</si>
  <si>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</si>
  <si>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</si>
  <si>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</si>
  <si>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</si>
  <si>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</si>
  <si>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</si>
  <si>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</si>
  <si>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</si>
  <si>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</si>
  <si>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</si>
  <si>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</si>
  <si>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</si>
  <si>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</si>
  <si>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</si>
  <si>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</si>
  <si>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</si>
  <si>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</si>
  <si>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</si>
  <si>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</si>
  <si>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</si>
  <si>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</si>
  <si>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</si>
  <si>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</si>
  <si>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</si>
  <si>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</si>
  <si>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</si>
  <si>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</si>
  <si>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</si>
  <si>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</si>
  <si>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</si>
  <si>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</si>
  <si>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</si>
  <si>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</si>
  <si>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</si>
  <si>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</si>
  <si>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</si>
  <si>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</si>
  <si>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</si>
  <si>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</si>
  <si>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</si>
  <si>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</si>
  <si>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</si>
  <si>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</si>
  <si>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</si>
  <si>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</si>
  <si>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</si>
  <si>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</si>
  <si>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</si>
  <si>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</si>
  <si>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</si>
  <si>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</si>
  <si>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</si>
  <si>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</si>
  <si>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</si>
  <si>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</si>
  <si>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</si>
  <si>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</si>
  <si>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</si>
  <si>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</si>
  <si>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</si>
  <si>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</si>
  <si>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</si>
  <si>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</si>
  <si>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</si>
  <si>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</si>
  <si>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</si>
  <si>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</si>
  <si>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</si>
  <si>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</si>
  <si>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</si>
  <si>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</si>
  <si>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</si>
  <si>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</si>
  <si>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</si>
  <si>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</si>
  <si>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</si>
  <si>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</si>
  <si>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</si>
  <si>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</si>
  <si>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</si>
  <si>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</si>
  <si>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</si>
  <si>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</si>
  <si>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</si>
  <si>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</si>
  <si>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</si>
  <si>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</si>
  <si>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</si>
  <si>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</si>
  <si>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</si>
  <si>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</si>
  <si>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</si>
  <si>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</si>
  <si>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</si>
  <si>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</si>
  <si>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</si>
  <si>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</si>
  <si>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</si>
  <si>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</si>
  <si>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</si>
  <si>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</si>
  <si>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</si>
  <si>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</si>
  <si>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</si>
  <si>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</si>
  <si>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</si>
  <si>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</si>
  <si>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</si>
  <si>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</si>
  <si>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</si>
  <si>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</si>
  <si>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</si>
  <si>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</si>
  <si>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</si>
  <si>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</si>
  <si>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</si>
  <si>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</si>
  <si>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</si>
  <si>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</si>
  <si>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</si>
  <si>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</si>
  <si>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</si>
  <si>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</si>
  <si>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</si>
  <si>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</si>
  <si>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</si>
  <si>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</si>
  <si>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</si>
  <si>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</si>
  <si>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</si>
  <si>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</si>
  <si>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</si>
  <si>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</si>
  <si>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</si>
  <si>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</si>
  <si>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</si>
  <si>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</si>
  <si>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</si>
  <si>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</si>
  <si>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</si>
  <si>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</si>
  <si>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</si>
  <si>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</si>
  <si>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</si>
  <si>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</si>
  <si>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</si>
  <si>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</si>
  <si>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</si>
  <si>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</si>
  <si>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</si>
  <si>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</si>
  <si>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</si>
  <si>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</si>
  <si>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</si>
  <si>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</si>
  <si>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</si>
  <si>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</si>
  <si>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</si>
  <si>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</si>
  <si>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</si>
  <si>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</si>
  <si>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</si>
  <si>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</si>
  <si>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</si>
  <si>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</si>
  <si>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</si>
  <si>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</si>
  <si>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</si>
  <si>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</si>
  <si>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</si>
  <si>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</si>
  <si>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</si>
  <si>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</si>
  <si>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</si>
  <si>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</si>
  <si>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</si>
  <si>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</si>
  <si>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</si>
  <si>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</si>
  <si>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</si>
  <si>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</si>
  <si>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</si>
  <si>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</si>
  <si>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</si>
  <si>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</si>
  <si>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</si>
  <si>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</si>
  <si>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</si>
  <si>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</si>
  <si>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</si>
  <si>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</si>
  <si>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</si>
  <si>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</si>
  <si>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</si>
  <si>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</si>
  <si>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</si>
  <si>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</si>
  <si>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</si>
  <si>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</si>
  <si>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</si>
  <si>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</si>
  <si>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</si>
  <si>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</si>
  <si>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</si>
  <si>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</si>
  <si>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</si>
  <si>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</si>
  <si>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</si>
  <si>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</si>
  <si>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</si>
  <si>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</si>
  <si>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</si>
  <si>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</si>
  <si>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</si>
  <si>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</si>
  <si>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</si>
  <si>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</si>
  <si>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</si>
  <si>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</si>
  <si>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</si>
  <si>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</si>
  <si>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</si>
  <si>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</si>
  <si>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</si>
  <si>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</si>
  <si>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</si>
  <si>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</si>
  <si>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</si>
  <si>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</si>
  <si>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</si>
  <si>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</si>
  <si>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</si>
  <si>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</si>
  <si>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</si>
  <si>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</si>
  <si>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</si>
  <si>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</si>
  <si>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</si>
  <si>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</si>
  <si>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</si>
  <si>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</si>
  <si>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</si>
  <si>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</si>
  <si>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</si>
  <si>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</si>
  <si>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</si>
  <si>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</si>
  <si>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</si>
  <si>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</si>
  <si>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</si>
  <si>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</si>
  <si>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</si>
  <si>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</si>
  <si>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</si>
  <si>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</si>
  <si>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</si>
  <si>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</si>
  <si>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</si>
  <si>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</si>
  <si>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</si>
  <si>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</si>
  <si>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</si>
  <si>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</si>
  <si>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</si>
  <si>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</si>
  <si>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</si>
  <si>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</si>
  <si>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</si>
  <si>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</si>
  <si>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</si>
  <si>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</si>
  <si>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</si>
  <si>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</si>
  <si>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</si>
  <si>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</si>
  <si>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</si>
  <si>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</si>
  <si>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</si>
  <si>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</si>
  <si>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</si>
  <si>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</si>
  <si>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</si>
  <si>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</si>
  <si>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</si>
  <si>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</si>
  <si>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</si>
  <si>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</si>
  <si>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</si>
  <si>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</si>
  <si>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</si>
  <si>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</si>
  <si>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</si>
  <si>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</si>
  <si>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</si>
  <si>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</si>
  <si>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</si>
  <si>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</si>
  <si>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</si>
  <si>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</si>
  <si>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</si>
  <si>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</si>
  <si>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</si>
  <si>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</si>
  <si>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</si>
  <si>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</si>
  <si>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</si>
  <si>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</si>
  <si>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</si>
  <si>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</si>
  <si>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</si>
  <si>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</si>
  <si>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</si>
  <si>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</si>
  <si>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</si>
  <si>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</si>
  <si>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</si>
  <si>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</si>
  <si>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</si>
  <si>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</si>
  <si>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</si>
  <si>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</si>
  <si>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</si>
  <si>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</si>
  <si>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</si>
  <si>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</si>
  <si>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</si>
  <si>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</si>
  <si>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</si>
  <si>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</si>
  <si>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</si>
  <si>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</si>
  <si>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</si>
  <si>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</si>
  <si>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</si>
  <si>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</si>
  <si>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</si>
  <si>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</si>
  <si>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</si>
  <si>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</si>
  <si>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</si>
  <si>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</si>
  <si>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</si>
  <si>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</si>
  <si>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</si>
  <si>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</si>
  <si>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</si>
  <si>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</si>
  <si>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</si>
  <si>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</si>
  <si>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</si>
  <si>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</si>
  <si>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</si>
  <si>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</si>
  <si>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</si>
  <si>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</si>
  <si>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</si>
  <si>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</si>
  <si>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</si>
  <si>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</si>
  <si>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</si>
  <si>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</si>
  <si>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</si>
  <si>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</si>
  <si>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</si>
  <si>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</si>
  <si>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</si>
  <si>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</si>
  <si>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</si>
  <si>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</si>
  <si>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</si>
  <si>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</si>
  <si>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</si>
  <si>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</si>
  <si>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</si>
  <si>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</si>
  <si>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</si>
  <si>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</si>
  <si>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</si>
  <si>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</si>
  <si>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</si>
  <si>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</si>
  <si>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</si>
  <si>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</si>
  <si>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</si>
  <si>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</si>
  <si>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</si>
  <si>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</si>
  <si>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</si>
  <si>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</si>
  <si>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</si>
  <si>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</si>
  <si>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</si>
  <si>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</si>
  <si>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</si>
  <si>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</si>
  <si>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</si>
  <si>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</si>
  <si>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</si>
  <si>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</si>
  <si>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</si>
  <si>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</si>
  <si>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</si>
  <si>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</si>
  <si>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</si>
  <si>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</si>
  <si>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</si>
  <si>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</si>
  <si>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</si>
  <si>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</si>
  <si>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</si>
  <si>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</si>
  <si>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</si>
  <si>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</si>
  <si>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</si>
  <si>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</si>
  <si>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</si>
  <si>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</si>
  <si>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</si>
  <si>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</si>
  <si>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</si>
  <si>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</si>
  <si>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</si>
  <si>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</si>
  <si>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</si>
  <si>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</si>
  <si>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</si>
  <si>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</si>
  <si>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</si>
  <si>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</si>
  <si>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</si>
  <si>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</si>
  <si>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</si>
  <si>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</si>
  <si>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</si>
  <si>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</si>
  <si>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</si>
  <si>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</si>
  <si>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</si>
  <si>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</si>
  <si>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</si>
  <si>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</si>
  <si>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</si>
  <si>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</si>
  <si>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</si>
  <si>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</si>
  <si>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</si>
  <si>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</si>
  <si>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</si>
  <si>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</si>
  <si>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</si>
  <si>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</si>
  <si>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</si>
  <si>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</si>
  <si>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</si>
  <si>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</si>
  <si>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</si>
  <si>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</si>
  <si>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</si>
  <si>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</si>
  <si>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</si>
  <si>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</si>
  <si>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</si>
  <si>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</si>
  <si>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</si>
  <si>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</si>
  <si>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</si>
  <si>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</si>
  <si>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</si>
  <si>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</si>
  <si>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</si>
  <si>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</si>
  <si>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</si>
  <si>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</si>
  <si>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</si>
  <si>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</si>
  <si>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</si>
  <si>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</si>
  <si>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</si>
  <si>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</si>
  <si>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</si>
  <si>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</si>
  <si>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</si>
  <si>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</si>
  <si>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</si>
  <si>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</si>
  <si>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</si>
  <si>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</si>
  <si>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</si>
  <si>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</si>
  <si>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</si>
  <si>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</si>
  <si>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</si>
  <si>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</si>
  <si>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</si>
  <si>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</si>
  <si>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</si>
  <si>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</si>
  <si>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</si>
  <si>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</si>
  <si>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</si>
  <si>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</si>
  <si>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</si>
  <si>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</si>
  <si>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</si>
  <si>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</si>
  <si>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</si>
  <si>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</si>
  <si>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</si>
  <si>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</si>
  <si>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</si>
  <si>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</si>
  <si>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</si>
  <si>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</si>
  <si>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</si>
  <si>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</si>
  <si>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</si>
  <si>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</si>
  <si>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</si>
  <si>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</si>
  <si>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</si>
  <si>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</si>
  <si>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</si>
  <si>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</si>
  <si>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</si>
  <si>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</si>
  <si>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</si>
  <si>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</si>
  <si>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</si>
  <si>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</si>
  <si>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</si>
  <si>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</si>
  <si>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</si>
  <si>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</si>
  <si>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</si>
  <si>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</si>
  <si>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</si>
  <si>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</si>
  <si>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</si>
  <si>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</si>
  <si>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</si>
  <si>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</si>
  <si>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</si>
  <si>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</si>
  <si>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</si>
  <si>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</si>
  <si>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</si>
  <si>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</si>
  <si>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</si>
  <si>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</si>
  <si>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</si>
  <si>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</si>
  <si>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</si>
  <si>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</si>
  <si>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</si>
  <si>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</si>
  <si>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</si>
  <si>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</si>
  <si>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</si>
  <si>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</si>
  <si>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</si>
  <si>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</si>
  <si>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</si>
  <si>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</si>
  <si>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</si>
  <si>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</si>
  <si>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</si>
  <si>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</si>
  <si>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</si>
  <si>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</si>
  <si>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</si>
  <si>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</si>
  <si>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</si>
  <si>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</si>
  <si>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</si>
  <si>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</si>
  <si>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</si>
  <si>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</si>
  <si>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</si>
  <si>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</si>
  <si>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</si>
  <si>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</si>
  <si>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</si>
  <si>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</si>
  <si>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</si>
  <si>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</si>
  <si>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</si>
  <si>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</si>
  <si>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</si>
  <si>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</si>
  <si>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</si>
  <si>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</si>
  <si>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</si>
  <si>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</si>
  <si>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</si>
  <si>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</si>
  <si>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</si>
  <si>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</si>
  <si>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</si>
  <si>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</si>
  <si>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</si>
  <si>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</si>
  <si>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</si>
  <si>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</si>
  <si>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</si>
  <si>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</si>
  <si>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</si>
  <si>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</si>
  <si>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</si>
  <si>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</si>
  <si>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</si>
  <si>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</si>
  <si>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</si>
  <si>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</si>
  <si>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</si>
  <si>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</si>
  <si>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</si>
  <si>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</si>
  <si>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</si>
  <si>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</si>
  <si>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</si>
  <si>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</si>
  <si>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</si>
  <si>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</si>
  <si>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</si>
  <si>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</si>
  <si>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</si>
  <si>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</si>
  <si>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</si>
  <si>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</si>
  <si>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</si>
  <si>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</si>
  <si>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</si>
  <si>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</si>
  <si>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</si>
  <si>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</si>
  <si>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</si>
  <si>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</si>
  <si>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</si>
  <si>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</si>
  <si>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</si>
  <si>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</si>
  <si>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</si>
  <si>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</si>
  <si>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</si>
  <si>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</si>
  <si>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</si>
  <si>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</si>
  <si>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</si>
  <si>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</si>
  <si>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</si>
  <si>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</si>
  <si>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</si>
  <si>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</si>
  <si>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</si>
  <si>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</si>
  <si>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</si>
  <si>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4201 W. 93rd Street</t>
  </si>
  <si>
    <t>Oak Lawn</t>
  </si>
  <si>
    <t>mloftin@123.org</t>
  </si>
  <si>
    <t>604453-1907</t>
  </si>
  <si>
    <t>Paul Enderle</t>
  </si>
  <si>
    <t>penderle@123.org</t>
  </si>
  <si>
    <t>708-423-0150</t>
  </si>
  <si>
    <t>708-423-0610</t>
  </si>
  <si>
    <t>Worth</t>
  </si>
  <si>
    <t>Terry La Bella</t>
  </si>
  <si>
    <t>talabella@123.org</t>
  </si>
  <si>
    <t>708-952-0620</t>
  </si>
  <si>
    <t>708-952-9340</t>
  </si>
  <si>
    <t>RSM US LLP</t>
  </si>
  <si>
    <t>Kelly Kirkman</t>
  </si>
  <si>
    <t>1 South Wacker, Suite 800</t>
  </si>
  <si>
    <t>Chicago</t>
  </si>
  <si>
    <t>IL</t>
  </si>
  <si>
    <t>312-634-4407</t>
  </si>
  <si>
    <t>312-634-5523</t>
  </si>
  <si>
    <t>066-003346</t>
  </si>
  <si>
    <t>kelly.kirkman@rsmus.com</t>
  </si>
  <si>
    <t>Dr. Vanessa Kinder</t>
  </si>
  <si>
    <t>vkinder@s-cook.org</t>
  </si>
  <si>
    <t>708-754-6600</t>
  </si>
  <si>
    <t>708-754-8687</t>
  </si>
  <si>
    <t>Capital Appreciation G.O. School Bonds, Series 2002</t>
  </si>
  <si>
    <t>Capital Appreciation G.O. School Bonds, Seriesn 2004</t>
  </si>
  <si>
    <t>Capital Appreciation G.O. School Bonds, Series 2007A</t>
  </si>
  <si>
    <t>Capital Appreciation G.O. School Bonds, Series 2017A</t>
  </si>
  <si>
    <t>Capital Appreciation G.O. School Bonds, Series 2017B</t>
  </si>
  <si>
    <t>Federal Agency/</t>
  </si>
  <si>
    <t>ISBE</t>
  </si>
  <si>
    <t>Pass-though Grantor/</t>
  </si>
  <si>
    <t>Project</t>
  </si>
  <si>
    <t>7/1/17-</t>
  </si>
  <si>
    <t>7/1/18-</t>
  </si>
  <si>
    <t>Final</t>
  </si>
  <si>
    <t>Program Name</t>
  </si>
  <si>
    <t>Number</t>
  </si>
  <si>
    <t>6/30/18</t>
  </si>
  <si>
    <t>6/30/19</t>
  </si>
  <si>
    <t>Encumbrances</t>
  </si>
  <si>
    <t>U.S. Department of Education:</t>
  </si>
  <si>
    <t>Passed through Illinois State Board</t>
  </si>
  <si>
    <t>of Education:</t>
  </si>
  <si>
    <t>Title I Grants to Local Education Agencies:</t>
  </si>
  <si>
    <t>Title I : Low Income</t>
  </si>
  <si>
    <t>84.010A</t>
  </si>
  <si>
    <t>19-4300-00</t>
  </si>
  <si>
    <t>18-4300-00</t>
  </si>
  <si>
    <t>17-4300-00</t>
  </si>
  <si>
    <t>English Language Acquisition Grants:</t>
  </si>
  <si>
    <t>Title III : Immigration Education Program</t>
  </si>
  <si>
    <t>84.365A</t>
  </si>
  <si>
    <t>19-4905-00</t>
  </si>
  <si>
    <t>18-4905-00</t>
  </si>
  <si>
    <t>17-4905-00</t>
  </si>
  <si>
    <t>Title III : Lang Inst Prog - Limited Eng LIPLEP</t>
  </si>
  <si>
    <t>19-4909-00</t>
  </si>
  <si>
    <t>18-4909-00</t>
  </si>
  <si>
    <t>17-4909-00</t>
  </si>
  <si>
    <t>Improving Teacher Quality State Grants:</t>
  </si>
  <si>
    <t>Title II : Teacher Quality</t>
  </si>
  <si>
    <t>84.367A</t>
  </si>
  <si>
    <t>19-4932-00</t>
  </si>
  <si>
    <t>18-4932-00</t>
  </si>
  <si>
    <t>17-4932-00</t>
  </si>
  <si>
    <t>IDEA Flow Through</t>
  </si>
  <si>
    <t>19-4620-00</t>
  </si>
  <si>
    <t>18-4620-00</t>
  </si>
  <si>
    <t>17-4620-00</t>
  </si>
  <si>
    <t>Preschool Grants - IDEA Preschool Flow Through</t>
  </si>
  <si>
    <t>84.173A</t>
  </si>
  <si>
    <t>19-4600-00</t>
  </si>
  <si>
    <t>18-4600-00</t>
  </si>
  <si>
    <t>17-4600-00</t>
  </si>
  <si>
    <t xml:space="preserve">   Special Education - Grants to States:</t>
  </si>
  <si>
    <t xml:space="preserve">   I.D.E.A. Room and Board</t>
  </si>
  <si>
    <t>18-4625-00</t>
  </si>
  <si>
    <t>N/A</t>
  </si>
  <si>
    <t>17-4625-00</t>
  </si>
  <si>
    <t>16-4625-00</t>
  </si>
  <si>
    <t>Total U.S. Department of Education</t>
  </si>
  <si>
    <t>U.S. Department of Agriculture:</t>
  </si>
  <si>
    <t>Passed through Illinois State Board of Education:</t>
  </si>
  <si>
    <t>19-4210-00</t>
  </si>
  <si>
    <t>18-4210-00</t>
  </si>
  <si>
    <t xml:space="preserve"> 17-4210-00</t>
  </si>
  <si>
    <t>Food Donation Program</t>
  </si>
  <si>
    <t>19-4290-00</t>
  </si>
  <si>
    <t>18-4290-00</t>
  </si>
  <si>
    <t xml:space="preserve"> 17-4290-00</t>
  </si>
  <si>
    <t>U.S. Department of Defense:</t>
  </si>
  <si>
    <t>Fruits and Vegetables Donation Program</t>
  </si>
  <si>
    <t>19-4240-00</t>
  </si>
  <si>
    <t>18-4240-00</t>
  </si>
  <si>
    <t>10.553</t>
  </si>
  <si>
    <t>19-4220-00</t>
  </si>
  <si>
    <t>18-4220-00</t>
  </si>
  <si>
    <t>17-4220-00</t>
  </si>
  <si>
    <t>Total U.S. Department of Agriculture/Child Nutrition Cluster</t>
  </si>
  <si>
    <t>U.S. Department of Health and Human Services:</t>
  </si>
  <si>
    <t>Passed through Illinois Department of Health Care and Family Services:</t>
  </si>
  <si>
    <t>Medical Assistance Program</t>
  </si>
  <si>
    <t>19-4991-00</t>
  </si>
  <si>
    <t>18-4991-00</t>
  </si>
  <si>
    <t>17-4991-00</t>
  </si>
  <si>
    <t>Total U.S. Department of Health and Human Services</t>
  </si>
  <si>
    <t>Total Federal Awards</t>
  </si>
  <si>
    <t>N/A    Not Applicable</t>
  </si>
  <si>
    <t>CFDA   Catalog of Federal Domestic Assistance</t>
  </si>
  <si>
    <t>See Note to Schedule of Expenditures of Federal Awards</t>
  </si>
  <si>
    <t>The accompanying schedule of expenditures of federal awards (the Schedule) includes the federal award activity of Oak Lawn-Hometown School District 123 (the District) under programs of the federal government for the year ended June 30, 2019. The information in this Schedule is presented in accordance with the requirements of Title 2 U.S. Code of Federal Regulations Part 200, Uniform Administrative Requirements, Cost Principles, and Audit Requirements for Federal Awards (Uniform Guidance). Because the Schedule presents only a selected portion of the District, it is not intended to and does not present the financial position or changes in net position of the District.</t>
  </si>
  <si>
    <t>Of the federal expenditures presented in the schedule, Oak Lawn Hometown School District 123 provided federal awards to subrecipients as follows:</t>
  </si>
  <si>
    <t>None</t>
  </si>
  <si>
    <t>Unmodified</t>
  </si>
  <si>
    <t>84.027 &amp; 84.173A</t>
  </si>
  <si>
    <t>IDEA Cluster</t>
  </si>
  <si>
    <t>10.553 &amp; 10.555</t>
  </si>
  <si>
    <t>Nutrition Cluster</t>
  </si>
  <si>
    <t>2018-001</t>
  </si>
  <si>
    <t>The liability for accounts payable was understated by $332,706 as of June, 2018.</t>
  </si>
  <si>
    <t>Corrective action was taken.</t>
  </si>
  <si>
    <t>NONE</t>
  </si>
  <si>
    <t>Arbor Management, Inc.</t>
  </si>
  <si>
    <t>Worth Township Treasurer</t>
  </si>
  <si>
    <t>Education Benefit Cooperative</t>
  </si>
  <si>
    <t>CLIC (Liability, Property, Casualty &amp; Worker's Compensation Insurance)</t>
  </si>
  <si>
    <t>A.E.R.O. Special Education Cooperative</t>
  </si>
  <si>
    <t>Illinois Joint Purchasing Program</t>
  </si>
  <si>
    <t>Cooperatively bid plan to share ongoing server/maintenance costs of HR/Accounting/Payroll Information</t>
  </si>
  <si>
    <t>Partnership with Oak Lawn Park District to operate before and after school program (FLASH Program)</t>
  </si>
  <si>
    <t>ED-INSTRUCTION-EMPLOYEE BENEFITS</t>
  </si>
  <si>
    <t>10-1000-200</t>
  </si>
  <si>
    <t>Blue Cross Blue Shield Dentacap</t>
  </si>
  <si>
    <t>OPER/MAINT-BUILDINGS-SUPPLIES &amp; MATERIALS</t>
  </si>
  <si>
    <t>20-2540-400</t>
  </si>
  <si>
    <t>Metro Fence Company</t>
  </si>
  <si>
    <t>US Bank Equipment Lease</t>
  </si>
  <si>
    <t>Equipment Capital Lease</t>
  </si>
  <si>
    <t>Immaterial Variance with National School Lunch Program</t>
  </si>
  <si>
    <r>
      <t xml:space="preserve">The following amounts were expended in the form of non-cash assistance by </t>
    </r>
    <r>
      <rPr>
        <b/>
        <sz val="9"/>
        <rFont val="Calibri"/>
        <family val="2"/>
        <scheme val="minor"/>
      </rPr>
      <t>District 123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</si>
  <si>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Passed Thru</t>
  </si>
  <si>
    <t>to Subrecipients</t>
  </si>
  <si>
    <t>See attached opinion</t>
  </si>
  <si>
    <t>Oak Lawn - Hometown SD 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</si>
</sst>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 numFmtId="183" formatCode="_(* #,##0.00\ \ _);_(* \(#,##0.00\)\ \ ;_(* &quot;-&quot;??_);_(@_)"/>
    <numFmt numFmtId="184" formatCode="#,##0.000_);\(#,##0.000\)"/>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indexed="8"/>
      <name val="Arial"/>
      <family val="2"/>
    </font>
    <font>
      <sz val="10"/>
      <name val="Arial Narrow"/>
    </font>
    <font>
      <sz val="10"/>
      <name val="Arial Narrow"/>
      <family val="2"/>
    </font>
    <font>
      <sz val="10"/>
      <color indexed="12"/>
      <name val="Arial"/>
      <family val="2"/>
    </font>
    <font>
      <sz val="10"/>
      <color rgb="FFFF0000"/>
      <name val="Arial"/>
      <family val="2"/>
    </font>
    <font>
      <sz val="10"/>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8" fillId="0" borderId="0"/>
    <xf numFmtId="0" fontId="140" fillId="0" borderId="0"/>
    <xf numFmtId="3" fontId="138" fillId="0" borderId="0"/>
    <xf numFmtId="43" fontId="141" fillId="0" borderId="0" applyFont="0" applyFill="0" applyBorder="0" applyAlignment="0" applyProtection="0"/>
    <xf numFmtId="43" fontId="141" fillId="0" borderId="0" applyFont="0" applyFill="0" applyBorder="0" applyAlignment="0" applyProtection="0"/>
    <xf numFmtId="37" fontId="138" fillId="0" borderId="0"/>
  </cellStyleXfs>
  <cellXfs count="25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38" fontId="126" fillId="16" borderId="153" xfId="17" applyNumberFormat="1" applyFont="1" applyFill="1" applyBorder="1" applyAlignment="1" applyProtection="1">
      <alignment horizontal="right" vertical="top"/>
    </xf>
    <xf numFmtId="0" fontId="125" fillId="0" borderId="145" xfId="17" applyFont="1" applyFill="1" applyBorder="1" applyAlignment="1">
      <alignment vertical="center"/>
    </xf>
    <xf numFmtId="0" fontId="125" fillId="0" borderId="72" xfId="17" applyFont="1" applyFill="1" applyBorder="1" applyAlignment="1">
      <alignment vertical="center"/>
    </xf>
    <xf numFmtId="0" fontId="125" fillId="0" borderId="146" xfId="17" applyFont="1" applyFill="1" applyBorder="1" applyAlignment="1">
      <alignment vertical="center"/>
    </xf>
    <xf numFmtId="37" fontId="139" fillId="0" borderId="0" xfId="19" applyFont="1" applyFill="1" applyProtection="1"/>
    <xf numFmtId="37" fontId="139" fillId="0" borderId="0" xfId="19" applyFont="1" applyFill="1" applyAlignment="1" applyProtection="1">
      <alignment horizontal="center"/>
    </xf>
    <xf numFmtId="37" fontId="139" fillId="0" borderId="0" xfId="19" applyFont="1" applyFill="1" applyBorder="1"/>
    <xf numFmtId="37" fontId="139" fillId="0" borderId="0" xfId="19" applyFont="1" applyFill="1"/>
    <xf numFmtId="37" fontId="139" fillId="0" borderId="0" xfId="19" applyFont="1" applyFill="1" applyAlignment="1" applyProtection="1">
      <alignment horizontal="left" indent="1"/>
    </xf>
    <xf numFmtId="37" fontId="139" fillId="0" borderId="161" xfId="19" applyFont="1" applyFill="1" applyBorder="1" applyProtection="1"/>
    <xf numFmtId="37" fontId="139" fillId="0" borderId="161" xfId="19" applyFont="1" applyFill="1" applyBorder="1" applyAlignment="1" applyProtection="1">
      <alignment horizontal="left" indent="1"/>
    </xf>
    <xf numFmtId="37" fontId="139" fillId="0" borderId="161" xfId="19" applyFont="1" applyFill="1" applyBorder="1" applyAlignment="1" applyProtection="1">
      <alignment horizontal="center"/>
    </xf>
    <xf numFmtId="37" fontId="139" fillId="0" borderId="74" xfId="19" applyFont="1" applyFill="1" applyBorder="1" applyProtection="1"/>
    <xf numFmtId="37" fontId="139" fillId="0" borderId="0" xfId="19" applyNumberFormat="1" applyFont="1" applyFill="1" applyProtection="1"/>
    <xf numFmtId="0" fontId="139" fillId="0" borderId="0" xfId="20" applyFont="1" applyFill="1" applyAlignment="1" applyProtection="1">
      <alignment horizontal="left" indent="2"/>
    </xf>
    <xf numFmtId="37" fontId="139" fillId="0" borderId="0" xfId="19" applyFont="1" applyFill="1" applyAlignment="1" applyProtection="1">
      <alignment horizontal="left" indent="3"/>
    </xf>
    <xf numFmtId="41" fontId="9" fillId="0" borderId="0" xfId="21" applyNumberFormat="1" applyFont="1" applyFill="1" applyBorder="1" applyAlignment="1">
      <alignment horizontal="center"/>
    </xf>
    <xf numFmtId="43" fontId="139" fillId="0" borderId="0" xfId="22" applyFont="1" applyFill="1"/>
    <xf numFmtId="43" fontId="139" fillId="0" borderId="0" xfId="22" applyFont="1" applyFill="1" applyProtection="1"/>
    <xf numFmtId="181" fontId="139" fillId="0" borderId="0" xfId="19" applyNumberFormat="1" applyFont="1" applyFill="1" applyBorder="1" applyProtection="1"/>
    <xf numFmtId="181" fontId="139" fillId="0" borderId="0" xfId="19" applyNumberFormat="1" applyFont="1" applyFill="1" applyBorder="1"/>
    <xf numFmtId="182" fontId="139" fillId="0" borderId="0" xfId="22" applyNumberFormat="1" applyFont="1" applyFill="1"/>
    <xf numFmtId="37" fontId="139" fillId="0" borderId="74" xfId="19" applyFont="1" applyFill="1" applyBorder="1" applyAlignment="1" applyProtection="1">
      <alignment horizontal="center"/>
    </xf>
    <xf numFmtId="181" fontId="139" fillId="0" borderId="74" xfId="19" applyNumberFormat="1" applyFont="1" applyFill="1" applyBorder="1" applyProtection="1"/>
    <xf numFmtId="37" fontId="139" fillId="0" borderId="0" xfId="19" applyFont="1" applyFill="1" applyBorder="1" applyProtection="1"/>
    <xf numFmtId="37" fontId="139" fillId="0" borderId="0" xfId="19" applyFont="1" applyFill="1" applyBorder="1" applyAlignment="1" applyProtection="1">
      <alignment horizontal="center"/>
    </xf>
    <xf numFmtId="37" fontId="139" fillId="0" borderId="0" xfId="19" quotePrefix="1" applyFont="1" applyFill="1" applyBorder="1" applyAlignment="1" applyProtection="1">
      <alignment horizontal="center"/>
    </xf>
    <xf numFmtId="181" fontId="139" fillId="0" borderId="72" xfId="19" applyNumberFormat="1" applyFont="1" applyFill="1" applyBorder="1" applyProtection="1"/>
    <xf numFmtId="39" fontId="139" fillId="0" borderId="72" xfId="19" applyNumberFormat="1" applyFont="1" applyFill="1" applyBorder="1" applyProtection="1"/>
    <xf numFmtId="0" fontId="139" fillId="0" borderId="0" xfId="20" applyFont="1" applyFill="1" applyBorder="1" applyAlignment="1" applyProtection="1">
      <alignment horizontal="left" indent="2"/>
    </xf>
    <xf numFmtId="37" fontId="139" fillId="0" borderId="0" xfId="19" applyFont="1" applyFill="1" applyBorder="1" applyAlignment="1" applyProtection="1">
      <alignment horizontal="left" indent="3"/>
    </xf>
    <xf numFmtId="41" fontId="9" fillId="0" borderId="0" xfId="21" quotePrefix="1" applyNumberFormat="1" applyFont="1" applyFill="1" applyBorder="1" applyAlignment="1">
      <alignment horizontal="center"/>
    </xf>
    <xf numFmtId="43" fontId="139" fillId="0" borderId="0" xfId="22" applyFont="1" applyFill="1" applyBorder="1" applyProtection="1"/>
    <xf numFmtId="41" fontId="9" fillId="0" borderId="0" xfId="21" applyNumberFormat="1" applyFont="1" applyFill="1" applyBorder="1" applyAlignment="1" applyProtection="1">
      <alignment horizontal="center"/>
      <protection locked="0"/>
    </xf>
    <xf numFmtId="37" fontId="139" fillId="0" borderId="74" xfId="19" applyFont="1" applyFill="1" applyBorder="1"/>
    <xf numFmtId="41" fontId="9" fillId="0" borderId="74" xfId="21" applyNumberFormat="1" applyFont="1" applyFill="1" applyBorder="1" applyAlignment="1">
      <alignment horizontal="center"/>
    </xf>
    <xf numFmtId="39" fontId="139" fillId="0" borderId="0" xfId="19" applyNumberFormat="1" applyFont="1" applyFill="1" applyBorder="1"/>
    <xf numFmtId="37" fontId="139" fillId="0" borderId="0" xfId="19" applyFont="1" applyFill="1" applyAlignment="1" applyProtection="1">
      <alignment horizontal="left" indent="2"/>
    </xf>
    <xf numFmtId="49" fontId="139" fillId="0" borderId="0" xfId="19" applyNumberFormat="1" applyFont="1" applyFill="1" applyBorder="1" applyAlignment="1" applyProtection="1">
      <alignment horizontal="center"/>
    </xf>
    <xf numFmtId="181" fontId="139" fillId="0" borderId="0" xfId="19" applyNumberFormat="1" applyFont="1" applyFill="1" applyProtection="1"/>
    <xf numFmtId="41" fontId="9" fillId="0" borderId="0" xfId="21" applyNumberFormat="1" applyFont="1" applyFill="1" applyBorder="1" applyAlignment="1">
      <alignment horizontal="left"/>
    </xf>
    <xf numFmtId="182" fontId="139" fillId="0" borderId="0" xfId="23" applyNumberFormat="1" applyFont="1" applyFill="1" applyBorder="1" applyProtection="1"/>
    <xf numFmtId="37" fontId="139" fillId="0" borderId="0" xfId="19" applyFont="1" applyFill="1" applyBorder="1" applyAlignment="1" applyProtection="1">
      <alignment horizontal="left" indent="1"/>
    </xf>
    <xf numFmtId="181" fontId="139" fillId="0" borderId="0" xfId="19" applyNumberFormat="1" applyFont="1" applyFill="1" applyAlignment="1" applyProtection="1">
      <alignment horizontal="center"/>
    </xf>
    <xf numFmtId="37" fontId="139" fillId="0" borderId="0" xfId="19" applyFont="1" applyFill="1" applyBorder="1" applyAlignment="1" applyProtection="1">
      <alignment horizontal="left" indent="2"/>
    </xf>
    <xf numFmtId="181" fontId="139" fillId="0" borderId="0" xfId="19" applyNumberFormat="1" applyFont="1" applyFill="1" applyBorder="1" applyAlignment="1" applyProtection="1">
      <alignment horizontal="center"/>
    </xf>
    <xf numFmtId="37" fontId="139" fillId="0" borderId="0" xfId="19" applyFont="1" applyFill="1" applyAlignment="1" applyProtection="1">
      <alignment horizontal="left" indent="5"/>
    </xf>
    <xf numFmtId="39" fontId="139" fillId="0" borderId="0" xfId="19" applyNumberFormat="1" applyFont="1" applyFill="1"/>
    <xf numFmtId="181" fontId="139" fillId="0" borderId="74" xfId="19" applyNumberFormat="1" applyFont="1" applyFill="1" applyBorder="1" applyAlignment="1" applyProtection="1">
      <alignment horizontal="center"/>
    </xf>
    <xf numFmtId="3" fontId="9" fillId="0" borderId="74" xfId="21" applyNumberFormat="1" applyFont="1" applyFill="1" applyBorder="1" applyAlignment="1" applyProtection="1">
      <protection locked="0"/>
    </xf>
    <xf numFmtId="37" fontId="9" fillId="0" borderId="74" xfId="19" applyFont="1" applyFill="1" applyBorder="1" applyAlignment="1" applyProtection="1">
      <alignment horizontal="center"/>
    </xf>
    <xf numFmtId="183" fontId="139" fillId="0" borderId="0" xfId="19" applyNumberFormat="1" applyFont="1" applyFill="1" applyBorder="1"/>
    <xf numFmtId="3" fontId="9" fillId="0" borderId="0" xfId="21" applyNumberFormat="1" applyFont="1" applyFill="1" applyBorder="1" applyAlignment="1" applyProtection="1">
      <protection locked="0"/>
    </xf>
    <xf numFmtId="37" fontId="9" fillId="0" borderId="0" xfId="19" applyFont="1" applyFill="1" applyBorder="1" applyAlignment="1" applyProtection="1">
      <alignment horizontal="center"/>
    </xf>
    <xf numFmtId="37" fontId="139" fillId="0" borderId="74" xfId="19" applyFont="1" applyFill="1" applyBorder="1" applyAlignment="1" applyProtection="1">
      <alignment horizontal="left" indent="2"/>
    </xf>
    <xf numFmtId="37" fontId="139" fillId="0" borderId="72" xfId="19" applyFont="1" applyFill="1" applyBorder="1" applyAlignment="1" applyProtection="1">
      <alignment horizontal="center"/>
    </xf>
    <xf numFmtId="39" fontId="139" fillId="0" borderId="72" xfId="19" applyNumberFormat="1" applyFont="1" applyFill="1" applyBorder="1" applyAlignment="1" applyProtection="1">
      <alignment horizontal="center"/>
    </xf>
    <xf numFmtId="41" fontId="9" fillId="0" borderId="0" xfId="21" applyNumberFormat="1" applyFont="1" applyFill="1" applyBorder="1" applyAlignment="1">
      <alignment horizontal="left" indent="2"/>
    </xf>
    <xf numFmtId="184" fontId="139" fillId="0" borderId="0" xfId="19" applyNumberFormat="1" applyFont="1" applyFill="1" applyBorder="1" applyAlignment="1" applyProtection="1">
      <alignment horizontal="center"/>
    </xf>
    <xf numFmtId="41" fontId="9" fillId="0" borderId="74" xfId="21" applyNumberFormat="1" applyFont="1" applyFill="1" applyBorder="1" applyAlignment="1"/>
    <xf numFmtId="181" fontId="139" fillId="0" borderId="161" xfId="19" applyNumberFormat="1" applyFont="1" applyFill="1" applyBorder="1" applyProtection="1"/>
    <xf numFmtId="181" fontId="139" fillId="0" borderId="161" xfId="19" applyNumberFormat="1" applyFont="1" applyFill="1" applyBorder="1" applyAlignment="1" applyProtection="1">
      <alignment horizontal="center"/>
    </xf>
    <xf numFmtId="184" fontId="139" fillId="0" borderId="74" xfId="19" applyNumberFormat="1" applyFont="1" applyFill="1" applyBorder="1" applyAlignment="1" applyProtection="1">
      <alignment horizontal="center"/>
    </xf>
    <xf numFmtId="181" fontId="139" fillId="0" borderId="162" xfId="19" applyNumberFormat="1" applyFont="1" applyFill="1" applyBorder="1" applyProtection="1"/>
    <xf numFmtId="181" fontId="139" fillId="0" borderId="162" xfId="19" applyNumberFormat="1" applyFont="1" applyFill="1" applyBorder="1" applyAlignment="1" applyProtection="1">
      <alignment horizontal="center"/>
    </xf>
    <xf numFmtId="37" fontId="9" fillId="0" borderId="0" xfId="24" applyFont="1" applyFill="1" applyProtection="1"/>
    <xf numFmtId="37" fontId="139" fillId="0" borderId="0" xfId="19" applyNumberFormat="1" applyFont="1" applyFill="1" applyAlignment="1" applyProtection="1">
      <alignment horizontal="center"/>
    </xf>
    <xf numFmtId="37" fontId="9" fillId="0" borderId="0" xfId="24" applyFont="1" applyFill="1"/>
    <xf numFmtId="37" fontId="139" fillId="0" borderId="0" xfId="19" applyFont="1" applyFill="1" applyAlignment="1">
      <alignment horizontal="center"/>
    </xf>
    <xf numFmtId="43" fontId="139" fillId="0" borderId="0" xfId="22" applyFont="1" applyFill="1" applyBorder="1"/>
    <xf numFmtId="41" fontId="9" fillId="0" borderId="0" xfId="21" applyNumberFormat="1" applyFont="1" applyFill="1" applyBorder="1"/>
    <xf numFmtId="41" fontId="9" fillId="0" borderId="0" xfId="21" applyNumberFormat="1" applyFont="1" applyFill="1" applyBorder="1" applyAlignment="1"/>
    <xf numFmtId="37" fontId="9" fillId="0" borderId="0" xfId="19" applyFont="1" applyFill="1" applyBorder="1" applyProtection="1"/>
    <xf numFmtId="37" fontId="139" fillId="0" borderId="74" xfId="19" applyNumberFormat="1" applyFont="1" applyFill="1" applyBorder="1" applyProtection="1"/>
    <xf numFmtId="37" fontId="139" fillId="0" borderId="72" xfId="19" applyNumberFormat="1" applyFont="1" applyFill="1" applyBorder="1" applyProtection="1"/>
    <xf numFmtId="37" fontId="139" fillId="0" borderId="0" xfId="19" applyNumberFormat="1" applyFont="1" applyFill="1" applyBorder="1" applyProtection="1"/>
    <xf numFmtId="37" fontId="139" fillId="0" borderId="0" xfId="19" applyNumberFormat="1" applyFont="1" applyFill="1" applyBorder="1"/>
    <xf numFmtId="37" fontId="139" fillId="0" borderId="0" xfId="23" applyNumberFormat="1" applyFont="1" applyFill="1" applyBorder="1" applyProtection="1"/>
    <xf numFmtId="37" fontId="9" fillId="0" borderId="0" xfId="21" applyNumberFormat="1" applyFont="1" applyFill="1" applyBorder="1" applyAlignment="1" applyProtection="1">
      <protection locked="0"/>
    </xf>
    <xf numFmtId="37" fontId="139" fillId="0" borderId="0" xfId="19" applyNumberFormat="1" applyFont="1" applyFill="1" applyBorder="1" applyAlignment="1" applyProtection="1">
      <alignment horizontal="center"/>
    </xf>
    <xf numFmtId="37" fontId="142" fillId="0" borderId="0" xfId="19" quotePrefix="1" applyNumberFormat="1" applyFont="1" applyFill="1" applyBorder="1" applyAlignment="1" applyProtection="1">
      <alignment horizontal="left"/>
    </xf>
    <xf numFmtId="37" fontId="139" fillId="0" borderId="72" xfId="19" applyNumberFormat="1" applyFont="1" applyFill="1" applyBorder="1" applyAlignment="1" applyProtection="1">
      <alignment horizontal="center"/>
    </xf>
    <xf numFmtId="37" fontId="139" fillId="0" borderId="161" xfId="19" applyNumberFormat="1" applyFont="1" applyFill="1" applyBorder="1" applyProtection="1"/>
    <xf numFmtId="37" fontId="139" fillId="0" borderId="162" xfId="19" applyNumberFormat="1" applyFont="1" applyFill="1" applyBorder="1" applyProtection="1"/>
    <xf numFmtId="37" fontId="139" fillId="0" borderId="0" xfId="19" applyNumberFormat="1" applyFont="1" applyFill="1"/>
    <xf numFmtId="37" fontId="139" fillId="0" borderId="0" xfId="22" applyNumberFormat="1" applyFont="1" applyFill="1" applyBorder="1"/>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37" fontId="139" fillId="0" borderId="0" xfId="19" quotePrefix="1" applyFont="1" applyFill="1" applyAlignment="1" applyProtection="1">
      <alignment horizontal="center"/>
    </xf>
    <xf numFmtId="37" fontId="139" fillId="0" borderId="0" xfId="19" quotePrefix="1" applyNumberFormat="1" applyFont="1" applyFill="1" applyAlignment="1" applyProtection="1">
      <alignment horizontal="center"/>
    </xf>
    <xf numFmtId="37" fontId="139" fillId="0" borderId="161" xfId="19" applyNumberFormat="1" applyFont="1" applyFill="1" applyBorder="1" applyAlignment="1" applyProtection="1">
      <alignment horizontal="center"/>
    </xf>
    <xf numFmtId="37" fontId="143" fillId="0" borderId="0" xfId="19" applyFont="1" applyFill="1" applyAlignment="1" applyProtection="1">
      <alignment horizontal="center"/>
    </xf>
    <xf numFmtId="37" fontId="144" fillId="0" borderId="0" xfId="19" applyFont="1" applyFill="1" applyAlignment="1">
      <alignment horizontal="left"/>
    </xf>
    <xf numFmtId="39" fontId="139" fillId="0" borderId="72" xfId="19" applyNumberFormat="1" applyFont="1" applyFill="1" applyBorder="1"/>
    <xf numFmtId="37" fontId="139" fillId="0" borderId="0" xfId="19" quotePrefix="1" applyNumberFormat="1" applyFont="1" applyFill="1" applyBorder="1" applyAlignment="1" applyProtection="1">
      <alignment horizontal="center"/>
    </xf>
    <xf numFmtId="41" fontId="139" fillId="0" borderId="0" xfId="19" applyNumberFormat="1" applyFont="1" applyFill="1" applyBorder="1" applyProtection="1"/>
    <xf numFmtId="41" fontId="139" fillId="0" borderId="72" xfId="19" applyNumberFormat="1" applyFont="1" applyFill="1" applyBorder="1" applyProtection="1"/>
    <xf numFmtId="41" fontId="139" fillId="0" borderId="0" xfId="19" applyNumberFormat="1" applyFont="1" applyFill="1"/>
    <xf numFmtId="41" fontId="139" fillId="0" borderId="74" xfId="19" applyNumberFormat="1" applyFont="1" applyFill="1" applyBorder="1" applyProtection="1"/>
    <xf numFmtId="41" fontId="139" fillId="0" borderId="0" xfId="23" applyNumberFormat="1" applyFont="1" applyFill="1" applyBorder="1" applyProtection="1"/>
    <xf numFmtId="41" fontId="139" fillId="0" borderId="0" xfId="19" applyNumberFormat="1" applyFont="1" applyFill="1" applyProtection="1"/>
    <xf numFmtId="41" fontId="9" fillId="0" borderId="0" xfId="21" applyNumberFormat="1" applyFont="1" applyFill="1" applyBorder="1" applyAlignment="1" applyProtection="1">
      <protection locked="0"/>
    </xf>
    <xf numFmtId="41" fontId="139" fillId="0" borderId="0" xfId="19" applyNumberFormat="1" applyFont="1" applyFill="1" applyBorder="1" applyAlignment="1" applyProtection="1">
      <alignment horizontal="center"/>
    </xf>
    <xf numFmtId="41" fontId="142" fillId="0" borderId="0" xfId="19" quotePrefix="1" applyNumberFormat="1" applyFont="1" applyFill="1" applyBorder="1" applyAlignment="1" applyProtection="1">
      <alignment horizontal="left"/>
    </xf>
    <xf numFmtId="41" fontId="139" fillId="0" borderId="72" xfId="19" applyNumberFormat="1" applyFont="1" applyFill="1" applyBorder="1" applyAlignment="1" applyProtection="1">
      <alignment horizontal="center"/>
    </xf>
    <xf numFmtId="41" fontId="139" fillId="0" borderId="161" xfId="19" applyNumberFormat="1" applyFont="1" applyFill="1" applyBorder="1" applyProtection="1"/>
    <xf numFmtId="41" fontId="139" fillId="0" borderId="162" xfId="19" applyNumberFormat="1" applyFont="1" applyFill="1" applyBorder="1" applyProtection="1"/>
    <xf numFmtId="41" fontId="139" fillId="0" borderId="0" xfId="19" applyNumberFormat="1" applyFont="1" applyFill="1" applyBorder="1"/>
    <xf numFmtId="41" fontId="139" fillId="0" borderId="0" xfId="22" applyNumberFormat="1" applyFont="1" applyFill="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Comma 2" xfId="22" xr:uid="{00000000-0005-0000-0000-000001000000}"/>
    <cellStyle name="Comma 2 2" xfId="23"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 name="Normal_Worksheet in (Read-Only) 2007 Worth School District #123  9000" xfId="19" xr:uid="{00000000-0005-0000-0000-000016000000}"/>
    <cellStyle name="Normal_Worksheet in (Read-Only) Worth School District 124 2004  9000" xfId="24" xr:uid="{00000000-0005-0000-0000-000017000000}"/>
    <cellStyle name="Normal_Worksheet in 2005 Worth School District #123  9000" xfId="21"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142875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1255568</xdr:colOff>
          <xdr:row>4</xdr:row>
          <xdr:rowOff>8659</xdr:rowOff>
        </xdr:from>
        <xdr:to>
          <xdr:col>1</xdr:col>
          <xdr:colOff>2169968</xdr:colOff>
          <xdr:row>8</xdr:row>
          <xdr:rowOff>132484</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24487D0C-CFDA-443F-8B1D-9BAC342B26B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7" sqref="A17:H17"/>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1961</v>
      </c>
      <c r="B1" s="45"/>
      <c r="C1" s="45"/>
      <c r="D1" s="46"/>
      <c r="I1" s="2052" t="s">
        <v>405</v>
      </c>
      <c r="J1" s="2053"/>
      <c r="K1" s="2053"/>
      <c r="L1" s="2053"/>
      <c r="M1" s="2053"/>
      <c r="N1" s="2053"/>
      <c r="O1" s="2053"/>
      <c r="P1" s="2053"/>
      <c r="Q1" s="2053"/>
      <c r="R1" s="2053"/>
      <c r="S1" s="2053"/>
    </row>
    <row r="2" spans="1:28" ht="12" customHeight="1">
      <c r="A2" s="47" t="s">
        <v>1962</v>
      </c>
      <c r="D2" s="48"/>
      <c r="I2" s="2054" t="s">
        <v>979</v>
      </c>
      <c r="J2" s="2053"/>
      <c r="K2" s="2053"/>
      <c r="L2" s="2053"/>
      <c r="M2" s="2053"/>
      <c r="N2" s="2053"/>
      <c r="O2" s="2053"/>
      <c r="P2" s="2053"/>
      <c r="Q2" s="2053"/>
      <c r="R2" s="2053"/>
      <c r="S2" s="2053"/>
    </row>
    <row r="3" spans="1:28" ht="12" customHeight="1">
      <c r="A3" s="154" t="s">
        <v>1915</v>
      </c>
      <c r="B3" s="155"/>
      <c r="C3" s="155"/>
      <c r="D3" s="156"/>
      <c r="I3" s="2054" t="s">
        <v>52</v>
      </c>
      <c r="J3" s="2053"/>
      <c r="K3" s="2053"/>
      <c r="L3" s="2053"/>
      <c r="M3" s="2053"/>
      <c r="N3" s="2053"/>
      <c r="O3" s="2053"/>
      <c r="P3" s="2053"/>
      <c r="Q3" s="2053"/>
      <c r="R3" s="2053"/>
      <c r="S3" s="2053"/>
    </row>
    <row r="4" spans="1:28" ht="12" customHeight="1">
      <c r="A4" s="37"/>
      <c r="I4" s="2054" t="s">
        <v>524</v>
      </c>
      <c r="J4" s="2053"/>
      <c r="K4" s="2053"/>
      <c r="L4" s="2053"/>
      <c r="M4" s="2053"/>
      <c r="N4" s="2053"/>
      <c r="O4" s="2053"/>
      <c r="P4" s="2053"/>
      <c r="Q4" s="2053"/>
      <c r="R4" s="2053"/>
      <c r="S4" s="2053"/>
    </row>
    <row r="5" spans="1:28" ht="14.1" customHeight="1">
      <c r="B5" s="103" t="s">
        <v>2036</v>
      </c>
      <c r="C5" s="26" t="s">
        <v>910</v>
      </c>
      <c r="D5" s="84"/>
      <c r="E5" s="84"/>
      <c r="H5" s="38"/>
      <c r="I5" s="2061" t="s">
        <v>680</v>
      </c>
      <c r="J5" s="2006"/>
      <c r="K5" s="2006"/>
      <c r="L5" s="2006"/>
      <c r="M5" s="2006"/>
      <c r="N5" s="2006"/>
      <c r="O5" s="2006"/>
      <c r="P5" s="2006"/>
      <c r="Q5" s="2006"/>
      <c r="R5" s="2006"/>
      <c r="S5" s="2006"/>
    </row>
    <row r="6" spans="1:28" ht="14.1" customHeight="1">
      <c r="B6" s="103"/>
      <c r="C6" s="26" t="s">
        <v>911</v>
      </c>
      <c r="D6" s="84"/>
      <c r="E6" s="84"/>
      <c r="I6" s="2060" t="s">
        <v>883</v>
      </c>
      <c r="J6" s="2006"/>
      <c r="K6" s="2006"/>
      <c r="L6" s="2006"/>
      <c r="M6" s="2006"/>
      <c r="N6" s="2006"/>
      <c r="O6" s="2006"/>
      <c r="P6" s="2006"/>
      <c r="Q6" s="2006"/>
      <c r="R6" s="2006"/>
      <c r="S6" s="2006"/>
    </row>
    <row r="7" spans="1:28" ht="12.2" customHeight="1">
      <c r="I7" s="2055">
        <v>43646</v>
      </c>
      <c r="J7" s="2056"/>
      <c r="K7" s="2056"/>
      <c r="L7" s="2056"/>
      <c r="M7" s="2056"/>
      <c r="N7" s="2056"/>
      <c r="O7" s="2056"/>
      <c r="P7" s="2056"/>
      <c r="Q7" s="2056"/>
      <c r="R7" s="2056"/>
      <c r="S7" s="2056"/>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57" t="s">
        <v>674</v>
      </c>
      <c r="J9" s="2058"/>
      <c r="K9" s="2058"/>
      <c r="L9" s="2058"/>
      <c r="M9" s="2058"/>
      <c r="N9" s="2058"/>
      <c r="O9" s="2058"/>
      <c r="P9" s="2058"/>
      <c r="Q9" s="2058"/>
      <c r="R9" s="2058"/>
      <c r="S9" s="2059"/>
      <c r="T9" s="2002" t="s">
        <v>533</v>
      </c>
      <c r="U9" s="2003"/>
      <c r="V9" s="2003"/>
      <c r="W9" s="2003"/>
      <c r="X9" s="2003"/>
      <c r="Y9" s="2003"/>
      <c r="Z9" s="2003"/>
      <c r="AA9" s="2004"/>
    </row>
    <row r="10" spans="1:28" ht="13.5" customHeight="1">
      <c r="A10" s="2011" t="s">
        <v>675</v>
      </c>
      <c r="B10" s="2012"/>
      <c r="C10" s="2012"/>
      <c r="D10" s="2012"/>
      <c r="E10" s="2012"/>
      <c r="F10" s="2012"/>
      <c r="G10" s="2012"/>
      <c r="H10" s="2013"/>
      <c r="I10" s="29"/>
      <c r="J10" s="30"/>
      <c r="K10" s="28"/>
      <c r="R10" s="30"/>
      <c r="S10" s="30"/>
      <c r="T10" s="2005"/>
      <c r="U10" s="2006"/>
      <c r="V10" s="2006"/>
      <c r="W10" s="2006"/>
      <c r="X10" s="2006"/>
      <c r="Y10" s="2006"/>
      <c r="Z10" s="2006"/>
      <c r="AA10" s="2007"/>
    </row>
    <row r="11" spans="1:28" ht="14.25" customHeight="1">
      <c r="A11" s="2014" t="s">
        <v>955</v>
      </c>
      <c r="B11" s="2015"/>
      <c r="C11" s="2015"/>
      <c r="D11" s="2015"/>
      <c r="E11" s="2015"/>
      <c r="F11" s="2015"/>
      <c r="G11" s="2015"/>
      <c r="H11" s="2016"/>
      <c r="I11" s="27"/>
      <c r="J11" s="74"/>
      <c r="K11" s="27"/>
      <c r="O11" s="147"/>
      <c r="P11" s="100" t="s">
        <v>201</v>
      </c>
      <c r="Q11" s="30"/>
      <c r="R11" s="28"/>
      <c r="S11" s="27"/>
      <c r="T11" s="2008"/>
      <c r="U11" s="2009"/>
      <c r="V11" s="2009"/>
      <c r="W11" s="2009"/>
      <c r="X11" s="2009"/>
      <c r="Y11" s="2009"/>
      <c r="Z11" s="2009"/>
      <c r="AA11" s="2010"/>
    </row>
    <row r="12" spans="1:28" ht="13.5" customHeight="1">
      <c r="A12" s="85" t="s">
        <v>925</v>
      </c>
      <c r="B12" s="76"/>
      <c r="C12" s="76"/>
      <c r="D12" s="76"/>
      <c r="E12" s="76"/>
      <c r="F12" s="76"/>
      <c r="G12" s="76"/>
      <c r="H12" s="53"/>
      <c r="I12" s="29"/>
      <c r="J12" s="30"/>
      <c r="K12" s="28"/>
      <c r="O12" s="148" t="s">
        <v>2036</v>
      </c>
      <c r="P12" s="100" t="s">
        <v>202</v>
      </c>
      <c r="Q12" s="74"/>
      <c r="R12" s="30"/>
      <c r="S12" s="30"/>
      <c r="T12" s="85" t="s">
        <v>265</v>
      </c>
      <c r="U12" s="51"/>
      <c r="V12" s="51"/>
      <c r="W12" s="51"/>
      <c r="X12" s="51"/>
      <c r="Y12" s="45"/>
      <c r="Z12" s="45"/>
      <c r="AA12" s="46"/>
    </row>
    <row r="13" spans="1:28" ht="13.5" customHeight="1">
      <c r="A13" s="2022">
        <v>7016123002</v>
      </c>
      <c r="B13" s="2023"/>
      <c r="C13" s="2023"/>
      <c r="D13" s="2023"/>
      <c r="E13" s="2023"/>
      <c r="F13" s="2023"/>
      <c r="G13" s="2023"/>
      <c r="H13" s="2024"/>
      <c r="I13" s="31"/>
      <c r="J13" s="30"/>
      <c r="K13" s="28"/>
      <c r="L13" s="30"/>
      <c r="M13" s="30"/>
      <c r="N13" s="30"/>
      <c r="O13" s="30"/>
      <c r="P13" s="30"/>
      <c r="Q13" s="30"/>
      <c r="R13" s="30"/>
      <c r="S13" s="30"/>
      <c r="T13" s="2027" t="s">
        <v>2051</v>
      </c>
      <c r="U13" s="2028"/>
      <c r="V13" s="2028"/>
      <c r="W13" s="2028"/>
      <c r="X13" s="2028"/>
      <c r="Y13" s="2029"/>
      <c r="Z13" s="2029"/>
      <c r="AA13" s="2030"/>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2020" t="s">
        <v>2037</v>
      </c>
      <c r="B15" s="2025"/>
      <c r="C15" s="2025"/>
      <c r="D15" s="2025"/>
      <c r="E15" s="2025"/>
      <c r="F15" s="2025"/>
      <c r="G15" s="2025"/>
      <c r="H15" s="2026"/>
      <c r="T15" s="1988" t="s">
        <v>2052</v>
      </c>
      <c r="U15" s="1989"/>
      <c r="V15" s="1989"/>
      <c r="W15" s="1989"/>
      <c r="X15" s="1989"/>
      <c r="Y15" s="2031"/>
      <c r="Z15" s="2031"/>
      <c r="AA15" s="2032"/>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80" t="s">
        <v>2184</v>
      </c>
      <c r="B17" s="2050"/>
      <c r="C17" s="2050"/>
      <c r="D17" s="2050"/>
      <c r="E17" s="2050"/>
      <c r="F17" s="2050"/>
      <c r="G17" s="2050"/>
      <c r="H17" s="2051"/>
      <c r="T17" s="2037" t="s">
        <v>2053</v>
      </c>
      <c r="U17" s="2038"/>
      <c r="V17" s="2038"/>
      <c r="W17" s="2038"/>
      <c r="X17" s="2038"/>
      <c r="Y17" s="2038"/>
      <c r="Z17" s="2038"/>
      <c r="AA17" s="2039"/>
    </row>
    <row r="18" spans="1:27" ht="13.5" customHeight="1">
      <c r="A18" s="85" t="s">
        <v>530</v>
      </c>
      <c r="B18" s="76"/>
      <c r="C18" s="72"/>
      <c r="D18" s="76"/>
      <c r="E18" s="76"/>
      <c r="F18" s="76"/>
      <c r="G18" s="76"/>
      <c r="H18" s="56"/>
      <c r="I18" s="2047" t="s">
        <v>676</v>
      </c>
      <c r="J18" s="2048"/>
      <c r="K18" s="2048"/>
      <c r="L18" s="2048"/>
      <c r="M18" s="2048"/>
      <c r="N18" s="2048"/>
      <c r="O18" s="2048"/>
      <c r="P18" s="2048"/>
      <c r="Q18" s="2048"/>
      <c r="R18" s="2048"/>
      <c r="S18" s="2049"/>
      <c r="T18" s="85" t="s">
        <v>711</v>
      </c>
      <c r="U18" s="51"/>
      <c r="V18" s="72"/>
      <c r="W18" s="50"/>
      <c r="X18" s="85" t="s">
        <v>266</v>
      </c>
      <c r="Y18" s="81"/>
      <c r="Z18" s="158" t="s">
        <v>677</v>
      </c>
      <c r="AA18" s="46"/>
    </row>
    <row r="19" spans="1:27" ht="13.5" customHeight="1">
      <c r="A19" s="2020" t="s">
        <v>2038</v>
      </c>
      <c r="B19" s="2021"/>
      <c r="C19" s="2021"/>
      <c r="D19" s="2021"/>
      <c r="E19" s="2021"/>
      <c r="F19" s="2021"/>
      <c r="G19" s="2021"/>
      <c r="H19" s="2019"/>
      <c r="I19" s="30"/>
      <c r="J19" s="99"/>
      <c r="K19" s="40"/>
      <c r="L19" s="38"/>
      <c r="M19" s="111" t="s">
        <v>315</v>
      </c>
      <c r="P19" s="27"/>
      <c r="Q19" s="27"/>
      <c r="R19" s="27"/>
      <c r="S19" s="31"/>
      <c r="T19" s="2020" t="s">
        <v>2054</v>
      </c>
      <c r="U19" s="2018"/>
      <c r="V19" s="2018"/>
      <c r="W19" s="2019"/>
      <c r="X19" s="2035" t="s">
        <v>2055</v>
      </c>
      <c r="Y19" s="2036"/>
      <c r="Z19" s="2033">
        <v>60606</v>
      </c>
      <c r="AA19" s="2034"/>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2017" t="s">
        <v>2039</v>
      </c>
      <c r="B21" s="2018"/>
      <c r="C21" s="2018"/>
      <c r="D21" s="2018"/>
      <c r="E21" s="2018"/>
      <c r="F21" s="2018"/>
      <c r="G21" s="2018"/>
      <c r="H21" s="2019"/>
      <c r="I21" s="2043" t="s">
        <v>678</v>
      </c>
      <c r="J21" s="2006"/>
      <c r="K21" s="2006"/>
      <c r="L21" s="2006"/>
      <c r="M21" s="2006"/>
      <c r="N21" s="2006"/>
      <c r="O21" s="2006"/>
      <c r="P21" s="2006"/>
      <c r="Q21" s="2006"/>
      <c r="R21" s="2006"/>
      <c r="S21" s="2007"/>
      <c r="T21" s="1985" t="s">
        <v>2056</v>
      </c>
      <c r="U21" s="1986"/>
      <c r="V21" s="1986"/>
      <c r="W21" s="1986"/>
      <c r="X21" s="1999" t="s">
        <v>2057</v>
      </c>
      <c r="Y21" s="2000"/>
      <c r="Z21" s="2000"/>
      <c r="AA21" s="2001"/>
    </row>
    <row r="22" spans="1:27" ht="13.5" customHeight="1">
      <c r="A22" s="87" t="s">
        <v>531</v>
      </c>
      <c r="B22" s="59"/>
      <c r="C22" s="59"/>
      <c r="D22" s="59"/>
      <c r="E22" s="59"/>
      <c r="F22" s="59"/>
      <c r="G22" s="59"/>
      <c r="H22" s="60"/>
      <c r="I22" s="2044" t="s">
        <v>1420</v>
      </c>
      <c r="J22" s="2045"/>
      <c r="K22" s="2045"/>
      <c r="L22" s="2045"/>
      <c r="M22" s="2045"/>
      <c r="N22" s="2045"/>
      <c r="O22" s="2045"/>
      <c r="P22" s="2045"/>
      <c r="Q22" s="2045"/>
      <c r="R22" s="2045"/>
      <c r="S22" s="2046"/>
      <c r="T22" s="85" t="s">
        <v>1507</v>
      </c>
      <c r="U22" s="51"/>
      <c r="V22" s="72"/>
      <c r="W22" s="51"/>
      <c r="X22" s="159" t="s">
        <v>1309</v>
      </c>
      <c r="Z22" s="45"/>
      <c r="AA22" s="46"/>
    </row>
    <row r="23" spans="1:27" ht="13.5" customHeight="1">
      <c r="A23" s="2040" t="s">
        <v>2040</v>
      </c>
      <c r="B23" s="2041"/>
      <c r="C23" s="2041"/>
      <c r="D23" s="2041"/>
      <c r="E23" s="2041"/>
      <c r="F23" s="2041"/>
      <c r="G23" s="2041"/>
      <c r="H23" s="2042"/>
      <c r="T23" s="1980" t="s">
        <v>2058</v>
      </c>
      <c r="U23" s="1981"/>
      <c r="V23" s="1981"/>
      <c r="W23" s="1981"/>
      <c r="X23" s="1996">
        <v>44530</v>
      </c>
      <c r="Y23" s="1997"/>
      <c r="Z23" s="1997"/>
      <c r="AA23" s="1998"/>
    </row>
    <row r="24" spans="1:27" ht="14.1" customHeight="1">
      <c r="A24" s="88" t="s">
        <v>677</v>
      </c>
      <c r="B24" s="49"/>
      <c r="C24" s="49"/>
      <c r="D24" s="49"/>
      <c r="E24" s="49"/>
      <c r="F24" s="49"/>
      <c r="G24" s="49"/>
      <c r="H24" s="61"/>
      <c r="J24" s="2082">
        <f>IF(B5="x",IF(AUDITCHECK!D29="AFR form Incomplete.","",IF(AUDITCHECK!D29="Deficit reduction plan is required.","School District must complete a deficit reduction plan in the 2019-2020 Budget",)),"")</f>
        <v>0</v>
      </c>
      <c r="K24" s="2082"/>
      <c r="L24" s="2082"/>
      <c r="M24" s="2082"/>
      <c r="N24" s="2082"/>
      <c r="O24" s="2082"/>
      <c r="P24" s="2082"/>
      <c r="Q24" s="2082"/>
      <c r="R24" s="2082"/>
      <c r="S24" s="2083"/>
      <c r="T24" s="104" t="s">
        <v>531</v>
      </c>
      <c r="U24" s="105"/>
      <c r="V24" s="105"/>
      <c r="W24" s="105"/>
      <c r="X24" s="106"/>
      <c r="Y24" s="106"/>
      <c r="Z24" s="106"/>
      <c r="AA24" s="107"/>
    </row>
    <row r="25" spans="1:27" ht="14.1" customHeight="1">
      <c r="A25" s="2017" t="s">
        <v>2041</v>
      </c>
      <c r="B25" s="2018"/>
      <c r="C25" s="2018"/>
      <c r="D25" s="2018"/>
      <c r="E25" s="2018"/>
      <c r="F25" s="2018"/>
      <c r="G25" s="2018"/>
      <c r="H25" s="2019"/>
      <c r="I25" s="112"/>
      <c r="J25" s="2084"/>
      <c r="K25" s="2084"/>
      <c r="L25" s="2084"/>
      <c r="M25" s="2084"/>
      <c r="N25" s="2084"/>
      <c r="O25" s="2084"/>
      <c r="P25" s="2084"/>
      <c r="Q25" s="2084"/>
      <c r="R25" s="2084"/>
      <c r="S25" s="2085"/>
      <c r="T25" s="1977" t="s">
        <v>2059</v>
      </c>
      <c r="U25" s="1978"/>
      <c r="V25" s="1978"/>
      <c r="W25" s="1978"/>
      <c r="X25" s="1978"/>
      <c r="Y25" s="1978"/>
      <c r="Z25" s="1978"/>
      <c r="AA25" s="1979"/>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075" t="s">
        <v>1502</v>
      </c>
      <c r="J27" s="2048"/>
      <c r="K27" s="2048"/>
      <c r="L27" s="2048"/>
      <c r="M27" s="2048"/>
      <c r="N27" s="2048"/>
      <c r="O27" s="2048"/>
      <c r="P27" s="2048"/>
      <c r="Q27" s="2048"/>
      <c r="R27" s="2048"/>
      <c r="S27" s="2049"/>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2036</v>
      </c>
      <c r="F29" s="140" t="s">
        <v>1307</v>
      </c>
      <c r="G29" s="113"/>
      <c r="I29" s="54"/>
      <c r="J29" s="147" t="s">
        <v>2036</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2036</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47"/>
      <c r="K31" s="40" t="s">
        <v>885</v>
      </c>
      <c r="L31" s="147" t="s">
        <v>2036</v>
      </c>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2036</v>
      </c>
      <c r="C34" s="32" t="s">
        <v>542</v>
      </c>
      <c r="D34" s="31"/>
      <c r="E34" s="31"/>
      <c r="F34" s="31"/>
      <c r="G34" s="31"/>
      <c r="H34" s="31"/>
      <c r="I34" s="54"/>
      <c r="J34" s="83"/>
      <c r="L34" s="148" t="s">
        <v>2036</v>
      </c>
      <c r="M34" s="93" t="s">
        <v>707</v>
      </c>
      <c r="N34" s="30"/>
      <c r="O34" s="30"/>
      <c r="P34" s="30"/>
      <c r="Q34" s="30"/>
      <c r="R34" s="30"/>
      <c r="S34" s="55"/>
      <c r="T34" s="30"/>
      <c r="U34" s="147" t="s">
        <v>2036</v>
      </c>
      <c r="V34" s="32" t="s">
        <v>416</v>
      </c>
      <c r="W34" s="30"/>
      <c r="X34" s="30"/>
      <c r="AA34" s="48"/>
    </row>
    <row r="35" spans="1:27" ht="13.5" customHeight="1">
      <c r="A35" s="54"/>
      <c r="B35" s="30"/>
      <c r="C35" s="30"/>
      <c r="D35" s="34"/>
      <c r="E35" s="34"/>
      <c r="F35" s="34"/>
      <c r="G35" s="34"/>
      <c r="H35" s="34"/>
      <c r="I35" s="54"/>
      <c r="J35" s="33"/>
      <c r="L35" s="32" t="s">
        <v>708</v>
      </c>
      <c r="N35" s="33"/>
      <c r="O35" s="33"/>
      <c r="P35" s="2021" t="s">
        <v>2046</v>
      </c>
      <c r="Q35" s="2018"/>
      <c r="R35" s="2018"/>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80" t="s">
        <v>2042</v>
      </c>
      <c r="B38" s="2050"/>
      <c r="C38" s="2050"/>
      <c r="D38" s="2050"/>
      <c r="E38" s="2050"/>
      <c r="F38" s="2018"/>
      <c r="G38" s="2018"/>
      <c r="H38" s="2019"/>
      <c r="I38" s="2069" t="s">
        <v>2047</v>
      </c>
      <c r="J38" s="1989"/>
      <c r="K38" s="1989"/>
      <c r="L38" s="1989"/>
      <c r="M38" s="1989"/>
      <c r="N38" s="1989"/>
      <c r="O38" s="1989"/>
      <c r="P38" s="1990"/>
      <c r="Q38" s="1990"/>
      <c r="R38" s="1990"/>
      <c r="S38" s="1991"/>
      <c r="T38" s="1988" t="s">
        <v>2060</v>
      </c>
      <c r="U38" s="1989"/>
      <c r="V38" s="1989"/>
      <c r="W38" s="1989"/>
      <c r="X38" s="1990"/>
      <c r="Y38" s="1990"/>
      <c r="Z38" s="1990"/>
      <c r="AA38" s="1991"/>
    </row>
    <row r="39" spans="1:27" ht="12" customHeight="1">
      <c r="A39" s="2073" t="s">
        <v>531</v>
      </c>
      <c r="B39" s="2074"/>
      <c r="C39" s="72"/>
      <c r="D39" s="69"/>
      <c r="E39" s="69"/>
      <c r="F39" s="79"/>
      <c r="G39" s="69"/>
      <c r="H39" s="56"/>
      <c r="I39" s="2073" t="s">
        <v>531</v>
      </c>
      <c r="J39" s="2074"/>
      <c r="K39" s="2074"/>
      <c r="L39" s="2074"/>
      <c r="M39" s="2074"/>
      <c r="N39" s="67"/>
      <c r="O39" s="72"/>
      <c r="P39" s="72"/>
      <c r="Q39" s="78"/>
      <c r="R39" s="72"/>
      <c r="S39" s="56"/>
      <c r="T39" s="72" t="s">
        <v>531</v>
      </c>
      <c r="U39" s="51"/>
      <c r="V39" s="72"/>
      <c r="W39" s="50"/>
      <c r="X39" s="78"/>
      <c r="Y39" s="45"/>
      <c r="Z39" s="45"/>
      <c r="AA39" s="46"/>
    </row>
    <row r="40" spans="1:27" ht="13.5" customHeight="1">
      <c r="A40" s="2076" t="s">
        <v>2043</v>
      </c>
      <c r="B40" s="2077"/>
      <c r="C40" s="2078"/>
      <c r="D40" s="2078"/>
      <c r="E40" s="2078"/>
      <c r="F40" s="2079"/>
      <c r="G40" s="2079"/>
      <c r="H40" s="2080"/>
      <c r="I40" s="1992" t="s">
        <v>2048</v>
      </c>
      <c r="J40" s="1994"/>
      <c r="K40" s="1994"/>
      <c r="L40" s="1994"/>
      <c r="M40" s="1994"/>
      <c r="N40" s="1994"/>
      <c r="O40" s="1994"/>
      <c r="P40" s="1994"/>
      <c r="Q40" s="1994"/>
      <c r="R40" s="1994"/>
      <c r="S40" s="1995"/>
      <c r="T40" s="1992" t="s">
        <v>2061</v>
      </c>
      <c r="U40" s="1993"/>
      <c r="V40" s="1994"/>
      <c r="W40" s="1994"/>
      <c r="X40" s="1994"/>
      <c r="Y40" s="1994"/>
      <c r="Z40" s="1994"/>
      <c r="AA40" s="1995"/>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66" t="s">
        <v>2044</v>
      </c>
      <c r="B42" s="2067"/>
      <c r="C42" s="2068"/>
      <c r="D42" s="2081" t="s">
        <v>2045</v>
      </c>
      <c r="E42" s="2067"/>
      <c r="F42" s="2067"/>
      <c r="G42" s="2067"/>
      <c r="H42" s="2068"/>
      <c r="I42" s="1987" t="s">
        <v>2049</v>
      </c>
      <c r="J42" s="1983"/>
      <c r="K42" s="1983"/>
      <c r="L42" s="1983"/>
      <c r="M42" s="1983"/>
      <c r="N42" s="1983"/>
      <c r="O42" s="1984"/>
      <c r="P42" s="1982" t="s">
        <v>2050</v>
      </c>
      <c r="Q42" s="1983"/>
      <c r="R42" s="1983"/>
      <c r="S42" s="1984"/>
      <c r="T42" s="1987" t="s">
        <v>2062</v>
      </c>
      <c r="U42" s="1983"/>
      <c r="V42" s="1983"/>
      <c r="W42" s="1984"/>
      <c r="X42" s="1982" t="s">
        <v>2063</v>
      </c>
      <c r="Y42" s="1983"/>
      <c r="Z42" s="1983"/>
      <c r="AA42" s="1984"/>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70"/>
      <c r="B44" s="2071"/>
      <c r="C44" s="2071"/>
      <c r="D44" s="2071"/>
      <c r="E44" s="2071"/>
      <c r="F44" s="2071"/>
      <c r="G44" s="2071"/>
      <c r="H44" s="2072"/>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c r="A45" s="41" t="s">
        <v>186</v>
      </c>
      <c r="Q45" s="41" t="s">
        <v>1410</v>
      </c>
      <c r="R45" s="41"/>
      <c r="S45" s="41"/>
      <c r="T45" s="146"/>
      <c r="U45" s="41"/>
      <c r="V45" s="41"/>
      <c r="W45" s="41"/>
      <c r="X45" s="41"/>
      <c r="Y45" s="41"/>
      <c r="Z45" s="41"/>
      <c r="AA45" s="41"/>
    </row>
    <row r="46" spans="1:27" ht="10.5" customHeight="1">
      <c r="A46" s="42" t="s">
        <v>1914</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19" sqref="A19"/>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219" t="s">
        <v>1776</v>
      </c>
      <c r="B2" s="1460" t="s">
        <v>1921</v>
      </c>
      <c r="C2" s="713" t="s">
        <v>1922</v>
      </c>
      <c r="D2" s="713" t="s">
        <v>1923</v>
      </c>
      <c r="E2" s="713" t="s">
        <v>1924</v>
      </c>
      <c r="F2" s="713" t="s">
        <v>1925</v>
      </c>
    </row>
    <row r="3" spans="1:6" ht="12" customHeight="1">
      <c r="A3" s="2220"/>
      <c r="B3" s="1457"/>
      <c r="C3" s="1458"/>
      <c r="D3" s="1459" t="s">
        <v>256</v>
      </c>
      <c r="E3" s="1458"/>
      <c r="F3" s="1459" t="s">
        <v>257</v>
      </c>
    </row>
    <row r="4" spans="1:6" ht="13.7" customHeight="1">
      <c r="A4" s="714" t="s">
        <v>1155</v>
      </c>
      <c r="B4" s="1680">
        <f>'Revenues 9-14'!C5</f>
        <v>24161752</v>
      </c>
      <c r="C4" s="1456">
        <v>12921681</v>
      </c>
      <c r="D4" s="1683">
        <f>B4-C4</f>
        <v>11240071</v>
      </c>
      <c r="E4" s="1456">
        <v>25299334</v>
      </c>
      <c r="F4" s="1683">
        <f>E4-C4</f>
        <v>12377653</v>
      </c>
    </row>
    <row r="5" spans="1:6" ht="13.7" customHeight="1">
      <c r="A5" s="714" t="s">
        <v>870</v>
      </c>
      <c r="B5" s="1681">
        <f>'Revenues 9-14'!D5</f>
        <v>749485</v>
      </c>
      <c r="C5" s="584">
        <v>362801</v>
      </c>
      <c r="D5" s="1684">
        <f t="shared" ref="D5:D18" si="0">B5-C5</f>
        <v>386684</v>
      </c>
      <c r="E5" s="584">
        <v>710328</v>
      </c>
      <c r="F5" s="1684">
        <f>E5-C5</f>
        <v>347527</v>
      </c>
    </row>
    <row r="6" spans="1:6" ht="13.7" customHeight="1">
      <c r="A6" s="714" t="s">
        <v>411</v>
      </c>
      <c r="B6" s="1681">
        <f>'Revenues 9-14'!E5</f>
        <v>7139640</v>
      </c>
      <c r="C6" s="584">
        <v>3769504</v>
      </c>
      <c r="D6" s="1684">
        <f t="shared" si="0"/>
        <v>3370136</v>
      </c>
      <c r="E6" s="584">
        <v>7380305</v>
      </c>
      <c r="F6" s="1684">
        <f t="shared" ref="F6:F18" si="1">E6-C6</f>
        <v>3610801</v>
      </c>
    </row>
    <row r="7" spans="1:6" ht="13.7" customHeight="1">
      <c r="A7" s="714" t="s">
        <v>155</v>
      </c>
      <c r="B7" s="1681">
        <f>'Revenues 9-14'!F5</f>
        <v>-77166</v>
      </c>
      <c r="C7" s="584">
        <v>1053</v>
      </c>
      <c r="D7" s="1684">
        <f t="shared" si="0"/>
        <v>-78219</v>
      </c>
      <c r="E7" s="584">
        <v>2060</v>
      </c>
      <c r="F7" s="1684">
        <f t="shared" si="1"/>
        <v>1007</v>
      </c>
    </row>
    <row r="8" spans="1:6" ht="13.7" customHeight="1">
      <c r="A8" s="714" t="s">
        <v>1179</v>
      </c>
      <c r="B8" s="1681">
        <f>'Revenues 9-14'!G5</f>
        <v>1467380</v>
      </c>
      <c r="C8" s="584">
        <v>387651</v>
      </c>
      <c r="D8" s="1684">
        <f t="shared" si="0"/>
        <v>1079729</v>
      </c>
      <c r="E8" s="584">
        <v>1517962</v>
      </c>
      <c r="F8" s="1684">
        <f t="shared" si="1"/>
        <v>1130311</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969</v>
      </c>
      <c r="C10" s="584">
        <v>1053</v>
      </c>
      <c r="D10" s="1684">
        <f t="shared" si="0"/>
        <v>-84</v>
      </c>
      <c r="E10" s="584">
        <v>2060</v>
      </c>
      <c r="F10" s="1684">
        <f t="shared" si="1"/>
        <v>1007</v>
      </c>
    </row>
    <row r="11" spans="1:6">
      <c r="A11" s="714" t="s">
        <v>409</v>
      </c>
      <c r="B11" s="1681">
        <f>'Revenues 9-14'!J5</f>
        <v>575245</v>
      </c>
      <c r="C11" s="584">
        <v>298193</v>
      </c>
      <c r="D11" s="1684">
        <f t="shared" si="0"/>
        <v>277052</v>
      </c>
      <c r="E11" s="584">
        <v>583831</v>
      </c>
      <c r="F11" s="1684">
        <f t="shared" si="1"/>
        <v>285638</v>
      </c>
    </row>
    <row r="12" spans="1:6" ht="13.7" customHeight="1">
      <c r="A12" s="714" t="s">
        <v>157</v>
      </c>
      <c r="B12" s="1681">
        <f>'Revenues 9-14'!K5</f>
        <v>970</v>
      </c>
      <c r="C12" s="584">
        <v>1053</v>
      </c>
      <c r="D12" s="1684">
        <f t="shared" si="0"/>
        <v>-83</v>
      </c>
      <c r="E12" s="584">
        <v>2060</v>
      </c>
      <c r="F12" s="1684">
        <f t="shared" si="1"/>
        <v>1007</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2116431</v>
      </c>
      <c r="C14" s="584">
        <v>1118223</v>
      </c>
      <c r="D14" s="1684">
        <f t="shared" si="0"/>
        <v>998208</v>
      </c>
      <c r="E14" s="584">
        <v>2189366</v>
      </c>
      <c r="F14" s="1684">
        <f t="shared" si="1"/>
        <v>1071143</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0</v>
      </c>
      <c r="C16" s="584"/>
      <c r="D16" s="1684">
        <f t="shared" si="0"/>
        <v>0</v>
      </c>
      <c r="E16" s="584"/>
      <c r="F16" s="1684">
        <f t="shared" si="1"/>
        <v>0</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36134706</v>
      </c>
      <c r="C19" s="1682">
        <f>SUM(C4:C18)</f>
        <v>18861212</v>
      </c>
      <c r="D19" s="1682">
        <f>SUM(D4:D18)</f>
        <v>17273494</v>
      </c>
      <c r="E19" s="1682">
        <f>SUM(E4:E18)</f>
        <v>37687306</v>
      </c>
      <c r="F19" s="1682">
        <f>SUM(F4:F18)</f>
        <v>18826094</v>
      </c>
    </row>
    <row r="20" spans="1:6" ht="13.5" thickTop="1">
      <c r="B20" s="712"/>
      <c r="F20" s="715"/>
    </row>
    <row r="21" spans="1:6">
      <c r="A21" s="716" t="s">
        <v>1782</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4" colorId="8" zoomScale="85" zoomScaleNormal="85" workbookViewId="0">
      <selection activeCell="D41" sqref="D41"/>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25" t="s">
        <v>629</v>
      </c>
      <c r="B1" s="2226"/>
      <c r="C1" s="720"/>
    </row>
    <row r="2" spans="1:7" ht="33.75">
      <c r="A2" s="2234" t="s">
        <v>1776</v>
      </c>
      <c r="B2" s="2235"/>
      <c r="C2" s="1815" t="s">
        <v>1926</v>
      </c>
      <c r="D2" s="722" t="s">
        <v>1927</v>
      </c>
      <c r="E2" s="722" t="s">
        <v>1928</v>
      </c>
      <c r="F2" s="1815" t="s">
        <v>1929</v>
      </c>
    </row>
    <row r="3" spans="1:7" ht="15.75" customHeight="1">
      <c r="A3" s="2238" t="s">
        <v>1114</v>
      </c>
      <c r="B3" s="2239"/>
      <c r="C3" s="2227"/>
      <c r="D3" s="2228"/>
      <c r="E3" s="2228"/>
      <c r="F3" s="2229"/>
    </row>
    <row r="4" spans="1:7" ht="12.75" customHeight="1" thickBot="1">
      <c r="A4" s="2236" t="s">
        <v>630</v>
      </c>
      <c r="B4" s="2237"/>
      <c r="C4" s="580"/>
      <c r="D4" s="580"/>
      <c r="E4" s="580"/>
      <c r="F4" s="1686">
        <f>SUM(C4+D4)-E4</f>
        <v>0</v>
      </c>
    </row>
    <row r="5" spans="1:7" ht="15.75" customHeight="1" thickTop="1">
      <c r="A5" s="2221" t="s">
        <v>1110</v>
      </c>
      <c r="B5" s="2222"/>
      <c r="C5" s="2230"/>
      <c r="D5" s="2231"/>
      <c r="E5" s="2231"/>
      <c r="F5" s="2232"/>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223" t="s">
        <v>631</v>
      </c>
      <c r="B15" s="2224"/>
      <c r="C15" s="1686">
        <f>SUM(C6:C14)</f>
        <v>0</v>
      </c>
      <c r="D15" s="1686">
        <f>SUM(D6:D14)</f>
        <v>0</v>
      </c>
      <c r="E15" s="1686">
        <f>SUM(E6:E14)</f>
        <v>0</v>
      </c>
      <c r="F15" s="1686">
        <f>SUM(F6:F14)</f>
        <v>0</v>
      </c>
      <c r="G15" s="551"/>
    </row>
    <row r="16" spans="1:7" s="201" customFormat="1" ht="15.75" customHeight="1" thickTop="1">
      <c r="A16" s="2233" t="s">
        <v>1111</v>
      </c>
      <c r="B16" s="2222"/>
      <c r="C16" s="2230"/>
      <c r="D16" s="2231"/>
      <c r="E16" s="2231"/>
      <c r="F16" s="2232"/>
    </row>
    <row r="17" spans="1:11" ht="12.75" customHeight="1" thickBot="1">
      <c r="A17" s="2246" t="s">
        <v>64</v>
      </c>
      <c r="B17" s="2247"/>
      <c r="C17" s="725"/>
      <c r="D17" s="584"/>
      <c r="E17" s="725"/>
      <c r="F17" s="1686">
        <f>SUM(C17+D17)-E17</f>
        <v>0</v>
      </c>
    </row>
    <row r="18" spans="1:11" ht="12.75" customHeight="1" thickTop="1" thickBot="1">
      <c r="A18" s="2246" t="s">
        <v>6</v>
      </c>
      <c r="B18" s="2247"/>
      <c r="C18" s="725"/>
      <c r="D18" s="584"/>
      <c r="E18" s="725"/>
      <c r="F18" s="1686">
        <f>SUM(C18+D18)-E18</f>
        <v>0</v>
      </c>
    </row>
    <row r="19" spans="1:11" ht="12.75" customHeight="1" thickTop="1" thickBot="1">
      <c r="A19" s="2246" t="s">
        <v>388</v>
      </c>
      <c r="B19" s="2247"/>
      <c r="C19" s="725"/>
      <c r="D19" s="584"/>
      <c r="E19" s="725"/>
      <c r="F19" s="1686">
        <f>SUM(C19+D19)-E19</f>
        <v>0</v>
      </c>
    </row>
    <row r="20" spans="1:11" ht="12.75" customHeight="1" thickTop="1" thickBot="1">
      <c r="A20" s="2246" t="s">
        <v>448</v>
      </c>
      <c r="B20" s="2247"/>
      <c r="C20" s="725"/>
      <c r="D20" s="584"/>
      <c r="E20" s="725"/>
      <c r="F20" s="1686">
        <f>SUM(C20+D20)-E20</f>
        <v>0</v>
      </c>
    </row>
    <row r="21" spans="1:11" ht="14.25" thickTop="1" thickBot="1">
      <c r="A21" s="2223" t="s">
        <v>632</v>
      </c>
      <c r="B21" s="2224"/>
      <c r="C21" s="1686">
        <f>SUM(C17:C20)</f>
        <v>0</v>
      </c>
      <c r="D21" s="1686">
        <f>SUM(D17:D20)</f>
        <v>0</v>
      </c>
      <c r="E21" s="1686">
        <f>SUM(E17:E20)</f>
        <v>0</v>
      </c>
      <c r="F21" s="1686">
        <f>SUM(F17:F20)</f>
        <v>0</v>
      </c>
      <c r="G21" s="551"/>
    </row>
    <row r="22" spans="1:11" ht="15.75" customHeight="1" thickTop="1">
      <c r="A22" s="2248" t="s">
        <v>1112</v>
      </c>
      <c r="B22" s="2222"/>
      <c r="C22" s="2230"/>
      <c r="D22" s="2231"/>
      <c r="E22" s="2231"/>
      <c r="F22" s="2232"/>
    </row>
    <row r="23" spans="1:11" ht="13.5" thickBot="1">
      <c r="A23" s="2236" t="s">
        <v>633</v>
      </c>
      <c r="B23" s="2237"/>
      <c r="C23" s="580"/>
      <c r="D23" s="580"/>
      <c r="E23" s="580"/>
      <c r="F23" s="1686">
        <f>SUM(C23+D23)-E23</f>
        <v>0</v>
      </c>
      <c r="G23" s="551"/>
    </row>
    <row r="24" spans="1:11" ht="15.75" customHeight="1" thickTop="1">
      <c r="A24" s="2248" t="s">
        <v>1113</v>
      </c>
      <c r="B24" s="2222"/>
      <c r="C24" s="2230"/>
      <c r="D24" s="2231"/>
      <c r="E24" s="2231"/>
      <c r="F24" s="2232"/>
    </row>
    <row r="25" spans="1:11" ht="13.5" thickBot="1">
      <c r="A25" s="2236" t="s">
        <v>634</v>
      </c>
      <c r="B25" s="2237"/>
      <c r="C25" s="580"/>
      <c r="D25" s="580"/>
      <c r="E25" s="580"/>
      <c r="F25" s="1686">
        <f>SUM(C25+D25)-E25</f>
        <v>0</v>
      </c>
      <c r="G25" s="551"/>
    </row>
    <row r="26" spans="1:11" ht="15.75" customHeight="1" thickTop="1">
      <c r="A26" s="2221" t="s">
        <v>657</v>
      </c>
      <c r="B26" s="2222"/>
      <c r="C26" s="726"/>
      <c r="D26" s="726"/>
      <c r="E26" s="726"/>
      <c r="F26" s="727"/>
    </row>
    <row r="27" spans="1:11" ht="13.5" thickBot="1">
      <c r="A27" s="2223" t="s">
        <v>1070</v>
      </c>
      <c r="B27" s="2224"/>
      <c r="C27" s="584"/>
      <c r="D27" s="584"/>
      <c r="E27" s="584"/>
      <c r="F27" s="1686">
        <f>SUM(C27+D27)-E27</f>
        <v>0</v>
      </c>
      <c r="G27" s="551"/>
    </row>
    <row r="28" spans="1:11" ht="7.5" customHeight="1" thickTop="1">
      <c r="A28" s="592"/>
    </row>
    <row r="29" spans="1:11" ht="23.25" customHeight="1">
      <c r="A29" s="2249" t="s">
        <v>582</v>
      </c>
      <c r="B29" s="2226"/>
      <c r="C29" s="728"/>
      <c r="D29" s="728"/>
      <c r="E29" s="728"/>
      <c r="F29" s="728"/>
      <c r="G29" s="728"/>
      <c r="H29" s="728"/>
      <c r="I29" s="728"/>
      <c r="J29" s="728"/>
    </row>
    <row r="30" spans="1:11" ht="33.75">
      <c r="A30" s="1461" t="s">
        <v>1071</v>
      </c>
      <c r="B30" s="729" t="s">
        <v>1124</v>
      </c>
      <c r="C30" s="1816" t="s">
        <v>583</v>
      </c>
      <c r="D30" s="1816" t="s">
        <v>1658</v>
      </c>
      <c r="E30" s="1816" t="s">
        <v>1930</v>
      </c>
      <c r="F30" s="1816" t="s">
        <v>1931</v>
      </c>
      <c r="G30" s="1816" t="s">
        <v>1882</v>
      </c>
      <c r="H30" s="1816" t="s">
        <v>1932</v>
      </c>
      <c r="I30" s="1816" t="s">
        <v>1933</v>
      </c>
      <c r="J30" s="1817" t="s">
        <v>2</v>
      </c>
      <c r="K30" s="730"/>
    </row>
    <row r="31" spans="1:11" ht="12" customHeight="1">
      <c r="A31" s="731" t="s">
        <v>2064</v>
      </c>
      <c r="B31" s="732">
        <v>37606</v>
      </c>
      <c r="C31" s="733">
        <v>17722524</v>
      </c>
      <c r="D31" s="734">
        <v>6</v>
      </c>
      <c r="E31" s="733">
        <v>12233786</v>
      </c>
      <c r="F31" s="733">
        <v>0</v>
      </c>
      <c r="G31" s="733">
        <v>1016093</v>
      </c>
      <c r="H31" s="733">
        <v>2440000</v>
      </c>
      <c r="I31" s="1687">
        <f>((E31+F31)-H31)+G31</f>
        <v>10809879</v>
      </c>
      <c r="J31" s="733">
        <v>10809879</v>
      </c>
      <c r="K31" s="735"/>
    </row>
    <row r="32" spans="1:11" ht="12" customHeight="1">
      <c r="A32" s="731" t="s">
        <v>2065</v>
      </c>
      <c r="B32" s="732">
        <v>38064</v>
      </c>
      <c r="C32" s="733">
        <v>7282373</v>
      </c>
      <c r="D32" s="734">
        <v>6</v>
      </c>
      <c r="E32" s="733">
        <v>4206696</v>
      </c>
      <c r="F32" s="733">
        <v>0</v>
      </c>
      <c r="G32" s="733">
        <v>314046</v>
      </c>
      <c r="H32" s="733">
        <v>1625000</v>
      </c>
      <c r="I32" s="1687">
        <f>((E32+F32)-H32)+G32</f>
        <v>2895742</v>
      </c>
      <c r="J32" s="733">
        <v>2895742</v>
      </c>
      <c r="K32" s="735"/>
    </row>
    <row r="33" spans="1:11" ht="12" customHeight="1">
      <c r="A33" s="731" t="s">
        <v>2066</v>
      </c>
      <c r="B33" s="732">
        <v>39370</v>
      </c>
      <c r="C33" s="733">
        <v>5973126</v>
      </c>
      <c r="D33" s="734">
        <v>3</v>
      </c>
      <c r="E33" s="733">
        <v>17320974</v>
      </c>
      <c r="F33" s="733">
        <v>0</v>
      </c>
      <c r="G33" s="733">
        <v>2343669</v>
      </c>
      <c r="H33" s="733">
        <v>1090000</v>
      </c>
      <c r="I33" s="1687">
        <f t="shared" ref="I33:I48" si="1">((E33+F33)-H33)+G33</f>
        <v>18574643</v>
      </c>
      <c r="J33" s="733">
        <v>18574643</v>
      </c>
      <c r="K33" s="735"/>
    </row>
    <row r="34" spans="1:11" ht="12" customHeight="1">
      <c r="A34" s="731" t="s">
        <v>2067</v>
      </c>
      <c r="B34" s="732">
        <v>43020</v>
      </c>
      <c r="C34" s="733">
        <v>5675000</v>
      </c>
      <c r="D34" s="734">
        <v>3</v>
      </c>
      <c r="E34" s="733">
        <v>5675000</v>
      </c>
      <c r="F34" s="733">
        <v>0</v>
      </c>
      <c r="G34" s="733"/>
      <c r="H34" s="733"/>
      <c r="I34" s="1687">
        <f t="shared" si="1"/>
        <v>5675000</v>
      </c>
      <c r="J34" s="733">
        <v>5235150</v>
      </c>
      <c r="K34" s="736"/>
    </row>
    <row r="35" spans="1:11" ht="12" customHeight="1">
      <c r="A35" s="731" t="s">
        <v>2068</v>
      </c>
      <c r="B35" s="732">
        <v>43020</v>
      </c>
      <c r="C35" s="737">
        <v>5105000</v>
      </c>
      <c r="D35" s="734">
        <v>3</v>
      </c>
      <c r="E35" s="737">
        <v>5105000</v>
      </c>
      <c r="F35" s="737">
        <v>0</v>
      </c>
      <c r="G35" s="737"/>
      <c r="H35" s="737">
        <v>1355000</v>
      </c>
      <c r="I35" s="1687">
        <f t="shared" si="1"/>
        <v>3750000</v>
      </c>
      <c r="J35" s="737">
        <v>0</v>
      </c>
      <c r="K35" s="736"/>
    </row>
    <row r="36" spans="1:11" ht="12" customHeight="1">
      <c r="A36" s="731" t="s">
        <v>2177</v>
      </c>
      <c r="B36" s="732">
        <v>42551</v>
      </c>
      <c r="C36" s="733">
        <v>294047</v>
      </c>
      <c r="D36" s="734">
        <v>7</v>
      </c>
      <c r="E36" s="733">
        <v>185218</v>
      </c>
      <c r="F36" s="733">
        <v>0</v>
      </c>
      <c r="G36" s="733"/>
      <c r="H36" s="733">
        <v>58661</v>
      </c>
      <c r="I36" s="1687">
        <f t="shared" si="1"/>
        <v>126557</v>
      </c>
      <c r="J36" s="733">
        <v>0</v>
      </c>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42052070</v>
      </c>
      <c r="D49" s="744"/>
      <c r="E49" s="1687">
        <f t="shared" ref="E49:J49" si="2">SUM(E31:E48)</f>
        <v>44726674</v>
      </c>
      <c r="F49" s="1687">
        <f t="shared" si="2"/>
        <v>0</v>
      </c>
      <c r="G49" s="1687">
        <f t="shared" si="2"/>
        <v>3673808</v>
      </c>
      <c r="H49" s="1687">
        <f t="shared" si="2"/>
        <v>6568661</v>
      </c>
      <c r="I49" s="1687">
        <f t="shared" si="2"/>
        <v>41831821</v>
      </c>
      <c r="J49" s="1687">
        <f t="shared" si="2"/>
        <v>37515414</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912</v>
      </c>
      <c r="B52" s="2240" t="s">
        <v>584</v>
      </c>
      <c r="C52" s="2241"/>
      <c r="D52" s="2241"/>
      <c r="E52" s="748" t="s">
        <v>845</v>
      </c>
      <c r="F52" s="2242" t="s">
        <v>2178</v>
      </c>
      <c r="G52" s="2243"/>
      <c r="H52" s="735"/>
      <c r="I52" s="735"/>
      <c r="J52" s="745"/>
    </row>
    <row r="53" spans="1:11" ht="11.25" customHeight="1">
      <c r="A53" s="749" t="s">
        <v>913</v>
      </c>
      <c r="B53" s="750" t="s">
        <v>951</v>
      </c>
      <c r="C53" s="745"/>
      <c r="D53" s="736"/>
      <c r="E53" s="748" t="s">
        <v>497</v>
      </c>
      <c r="F53" s="2244"/>
      <c r="G53" s="2245"/>
      <c r="H53" s="735"/>
      <c r="I53" s="735"/>
      <c r="J53" s="745"/>
    </row>
    <row r="54" spans="1:11" ht="11.25" customHeight="1">
      <c r="A54" s="751" t="s">
        <v>914</v>
      </c>
      <c r="B54" s="746" t="s">
        <v>952</v>
      </c>
      <c r="C54" s="745"/>
      <c r="D54" s="736"/>
      <c r="E54" s="748" t="s">
        <v>498</v>
      </c>
      <c r="F54" s="2244"/>
      <c r="G54" s="2245"/>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5" colorId="8" zoomScale="110" zoomScaleNormal="110" workbookViewId="0">
      <selection activeCell="E40" sqref="E40"/>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74" t="s">
        <v>856</v>
      </c>
      <c r="B1" s="2275"/>
      <c r="C1" s="2275"/>
      <c r="D1" s="2275"/>
      <c r="E1" s="2275"/>
      <c r="F1" s="2275"/>
      <c r="G1" s="2276"/>
      <c r="H1" s="1462"/>
      <c r="I1" s="759"/>
      <c r="J1" s="432"/>
    </row>
    <row r="2" spans="1:11" ht="26.25">
      <c r="A2" s="2253" t="s">
        <v>1662</v>
      </c>
      <c r="B2" s="2254"/>
      <c r="C2" s="2254"/>
      <c r="D2" s="2254"/>
      <c r="E2" s="2255"/>
      <c r="F2" s="760" t="s">
        <v>904</v>
      </c>
      <c r="G2" s="761" t="s">
        <v>1659</v>
      </c>
      <c r="H2" s="761" t="s">
        <v>410</v>
      </c>
      <c r="I2" s="761" t="s">
        <v>1158</v>
      </c>
      <c r="J2" s="761" t="s">
        <v>1786</v>
      </c>
      <c r="K2" s="761" t="s">
        <v>138</v>
      </c>
    </row>
    <row r="3" spans="1:11">
      <c r="A3" s="2256" t="s">
        <v>1934</v>
      </c>
      <c r="B3" s="2257"/>
      <c r="C3" s="2257"/>
      <c r="D3" s="2257"/>
      <c r="E3" s="2258"/>
      <c r="F3" s="762"/>
      <c r="G3" s="763"/>
      <c r="H3" s="763"/>
      <c r="I3" s="763"/>
      <c r="J3" s="764"/>
      <c r="K3" s="764"/>
    </row>
    <row r="4" spans="1:11">
      <c r="A4" s="2259" t="s">
        <v>369</v>
      </c>
      <c r="B4" s="2260"/>
      <c r="C4" s="2260"/>
      <c r="D4" s="2260"/>
      <c r="E4" s="2241"/>
      <c r="F4" s="765"/>
      <c r="G4" s="766"/>
      <c r="H4" s="767"/>
      <c r="I4" s="766"/>
      <c r="J4" s="768"/>
      <c r="K4" s="768"/>
    </row>
    <row r="5" spans="1:11">
      <c r="A5" s="2277" t="s">
        <v>1069</v>
      </c>
      <c r="B5" s="2250"/>
      <c r="C5" s="2250"/>
      <c r="D5" s="2250"/>
      <c r="E5" s="2278"/>
      <c r="F5" s="769" t="s">
        <v>848</v>
      </c>
      <c r="G5" s="770"/>
      <c r="H5" s="763">
        <v>2116431</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77" t="s">
        <v>1787</v>
      </c>
      <c r="B10" s="2250"/>
      <c r="C10" s="2250"/>
      <c r="D10" s="2250"/>
      <c r="E10" s="2279"/>
      <c r="F10" s="782" t="s">
        <v>862</v>
      </c>
      <c r="G10" s="781"/>
      <c r="H10" s="783"/>
      <c r="I10" s="763"/>
      <c r="J10" s="764"/>
      <c r="K10" s="764"/>
    </row>
    <row r="11" spans="1:11">
      <c r="A11" s="2277" t="s">
        <v>160</v>
      </c>
      <c r="B11" s="2250"/>
      <c r="C11" s="2250"/>
      <c r="D11" s="2250"/>
      <c r="E11" s="2278"/>
      <c r="F11" s="769" t="s">
        <v>852</v>
      </c>
      <c r="G11" s="770"/>
      <c r="H11" s="763"/>
      <c r="I11" s="763"/>
      <c r="J11" s="764"/>
      <c r="K11" s="772"/>
    </row>
    <row r="12" spans="1:11" ht="13.5" thickBot="1">
      <c r="A12" s="2267" t="s">
        <v>905</v>
      </c>
      <c r="B12" s="2268"/>
      <c r="C12" s="2268"/>
      <c r="D12" s="2268"/>
      <c r="E12" s="2269"/>
      <c r="F12" s="1688"/>
      <c r="G12" s="1689">
        <f>SUM(G5:G11)</f>
        <v>0</v>
      </c>
      <c r="H12" s="1689">
        <f>SUM(H5:H11)</f>
        <v>2116431</v>
      </c>
      <c r="I12" s="1689">
        <f>SUM(I5:I11)</f>
        <v>0</v>
      </c>
      <c r="J12" s="1689">
        <f>SUM(J5:J11)</f>
        <v>0</v>
      </c>
      <c r="K12" s="1689">
        <f>SUM(K5:K11)</f>
        <v>0</v>
      </c>
    </row>
    <row r="13" spans="1:11" ht="13.5" thickTop="1">
      <c r="A13" s="2261" t="s">
        <v>370</v>
      </c>
      <c r="B13" s="2262"/>
      <c r="C13" s="2262"/>
      <c r="D13" s="2262"/>
      <c r="E13" s="2263"/>
      <c r="F13" s="784"/>
      <c r="G13" s="785"/>
      <c r="H13" s="786"/>
      <c r="I13" s="787"/>
      <c r="J13" s="787"/>
      <c r="K13" s="787"/>
    </row>
    <row r="14" spans="1:11">
      <c r="A14" s="2283" t="s">
        <v>456</v>
      </c>
      <c r="B14" s="2283"/>
      <c r="C14" s="2283"/>
      <c r="D14" s="2283"/>
      <c r="E14" s="2284"/>
      <c r="F14" s="788" t="s">
        <v>854</v>
      </c>
      <c r="G14" s="781"/>
      <c r="H14" s="763"/>
      <c r="I14" s="770"/>
      <c r="J14" s="772"/>
      <c r="K14" s="764"/>
    </row>
    <row r="15" spans="1:11">
      <c r="A15" s="2250" t="s">
        <v>4</v>
      </c>
      <c r="B15" s="2250"/>
      <c r="C15" s="2250"/>
      <c r="D15" s="2250"/>
      <c r="E15" s="2278"/>
      <c r="F15" s="788" t="s">
        <v>855</v>
      </c>
      <c r="G15" s="770"/>
      <c r="H15" s="763"/>
      <c r="I15" s="763"/>
      <c r="J15" s="764"/>
      <c r="K15" s="764"/>
    </row>
    <row r="16" spans="1:11">
      <c r="A16" s="2250" t="s">
        <v>298</v>
      </c>
      <c r="B16" s="2250"/>
      <c r="C16" s="2250"/>
      <c r="D16" s="2250"/>
      <c r="E16" s="2278"/>
      <c r="F16" s="788" t="s">
        <v>923</v>
      </c>
      <c r="G16" s="771"/>
      <c r="H16" s="766"/>
      <c r="I16" s="766"/>
      <c r="J16" s="768"/>
      <c r="K16" s="768"/>
    </row>
    <row r="17" spans="1:11">
      <c r="A17" s="2272" t="s">
        <v>935</v>
      </c>
      <c r="B17" s="2272"/>
      <c r="C17" s="2272"/>
      <c r="D17" s="2272"/>
      <c r="E17" s="2273"/>
      <c r="F17" s="789"/>
      <c r="G17" s="790"/>
      <c r="H17" s="791"/>
      <c r="I17" s="791"/>
      <c r="J17" s="792"/>
      <c r="K17" s="793"/>
    </row>
    <row r="18" spans="1:11">
      <c r="A18" s="2264" t="s">
        <v>368</v>
      </c>
      <c r="B18" s="2265"/>
      <c r="C18" s="2265"/>
      <c r="D18" s="2265"/>
      <c r="E18" s="2266"/>
      <c r="F18" s="788" t="s">
        <v>932</v>
      </c>
      <c r="G18" s="781"/>
      <c r="H18" s="781"/>
      <c r="I18" s="781"/>
      <c r="J18" s="764"/>
      <c r="K18" s="794"/>
    </row>
    <row r="19" spans="1:11" ht="21.75" customHeight="1">
      <c r="A19" s="2285" t="s">
        <v>1783</v>
      </c>
      <c r="B19" s="2285"/>
      <c r="C19" s="2285"/>
      <c r="D19" s="2285"/>
      <c r="E19" s="2286"/>
      <c r="F19" s="788" t="s">
        <v>933</v>
      </c>
      <c r="G19" s="781"/>
      <c r="H19" s="781"/>
      <c r="I19" s="781"/>
      <c r="J19" s="764"/>
      <c r="K19" s="794"/>
    </row>
    <row r="20" spans="1:11">
      <c r="A20" s="2264" t="s">
        <v>1788</v>
      </c>
      <c r="B20" s="2265"/>
      <c r="C20" s="2265"/>
      <c r="D20" s="2265"/>
      <c r="E20" s="2266"/>
      <c r="F20" s="788" t="s">
        <v>934</v>
      </c>
      <c r="G20" s="781"/>
      <c r="H20" s="781"/>
      <c r="I20" s="781"/>
      <c r="J20" s="764"/>
      <c r="K20" s="794"/>
    </row>
    <row r="21" spans="1:11" ht="13.5" thickBot="1">
      <c r="A21" s="2270" t="s">
        <v>638</v>
      </c>
      <c r="B21" s="2270"/>
      <c r="C21" s="2270"/>
      <c r="D21" s="2270"/>
      <c r="E21" s="2270"/>
      <c r="F21" s="1690"/>
      <c r="G21" s="791"/>
      <c r="H21" s="795"/>
      <c r="I21" s="795"/>
      <c r="J21" s="1691">
        <f>SUM(J18:J20)</f>
        <v>0</v>
      </c>
      <c r="K21" s="792"/>
    </row>
    <row r="22" spans="1:11" ht="13.5" thickTop="1">
      <c r="A22" s="2250" t="s">
        <v>1789</v>
      </c>
      <c r="B22" s="2250"/>
      <c r="C22" s="2250"/>
      <c r="D22" s="2250"/>
      <c r="E22" s="2278"/>
      <c r="F22" s="788" t="s">
        <v>862</v>
      </c>
      <c r="G22" s="781"/>
      <c r="H22" s="763"/>
      <c r="I22" s="763"/>
      <c r="J22" s="796"/>
      <c r="K22" s="764"/>
    </row>
    <row r="23" spans="1:11" ht="13.5" thickBot="1">
      <c r="A23" s="2271" t="s">
        <v>906</v>
      </c>
      <c r="B23" s="2270"/>
      <c r="C23" s="2270"/>
      <c r="D23" s="2270"/>
      <c r="E23" s="2270"/>
      <c r="F23" s="1692"/>
      <c r="G23" s="1689">
        <f>SUM(G14:G16,G21,G22)</f>
        <v>0</v>
      </c>
      <c r="H23" s="1689">
        <f>SUM(H14:H16,H21,H22)</f>
        <v>0</v>
      </c>
      <c r="I23" s="1689">
        <f>SUM(I14:I16,I21,I22)</f>
        <v>0</v>
      </c>
      <c r="J23" s="1689">
        <f>SUM(J14:J16,J21,J22)</f>
        <v>0</v>
      </c>
      <c r="K23" s="1689">
        <f>SUM(K14:K16,K21,K22)</f>
        <v>0</v>
      </c>
    </row>
    <row r="24" spans="1:11" ht="14.25" thickTop="1" thickBot="1">
      <c r="A24" s="2271" t="s">
        <v>1935</v>
      </c>
      <c r="B24" s="2270"/>
      <c r="C24" s="2270"/>
      <c r="D24" s="2270"/>
      <c r="E24" s="2270"/>
      <c r="F24" s="1693"/>
      <c r="G24" s="1694">
        <f>SUM(G3,G12)-G23</f>
        <v>0</v>
      </c>
      <c r="H24" s="1694">
        <f>SUM(H3,H12)-H23</f>
        <v>2116431</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2116431</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572</v>
      </c>
      <c r="B30" s="806"/>
      <c r="C30" s="805" t="s">
        <v>383</v>
      </c>
      <c r="D30" s="806" t="s">
        <v>2036</v>
      </c>
      <c r="E30" s="807" t="s">
        <v>768</v>
      </c>
      <c r="F30" s="201"/>
      <c r="G30" s="804"/>
    </row>
    <row r="31" spans="1:11">
      <c r="A31" s="808"/>
      <c r="D31" s="236"/>
      <c r="E31" s="809" t="s">
        <v>769</v>
      </c>
      <c r="F31" s="810" t="s">
        <v>539</v>
      </c>
      <c r="G31" s="763"/>
      <c r="H31" s="2280"/>
      <c r="I31" s="2281"/>
      <c r="J31" s="2281"/>
      <c r="K31" s="2281"/>
    </row>
    <row r="32" spans="1:11">
      <c r="A32" s="808"/>
      <c r="B32" s="236"/>
      <c r="C32" s="236"/>
      <c r="D32" s="236"/>
      <c r="E32" s="804"/>
      <c r="F32" s="810" t="s">
        <v>540</v>
      </c>
      <c r="G32" s="763"/>
      <c r="H32" s="2282"/>
      <c r="I32" s="2281"/>
      <c r="J32" s="2281"/>
      <c r="K32" s="2281"/>
    </row>
    <row r="33" spans="1:11" ht="1.5" customHeight="1">
      <c r="A33" s="811" t="s">
        <v>1169</v>
      </c>
      <c r="B33" s="363"/>
      <c r="C33" s="363"/>
      <c r="D33" s="363"/>
      <c r="E33" s="363"/>
      <c r="F33" s="363"/>
      <c r="G33" s="812"/>
      <c r="H33" s="2282"/>
      <c r="I33" s="2281"/>
      <c r="J33" s="2281"/>
      <c r="K33" s="2281"/>
    </row>
    <row r="34" spans="1:11">
      <c r="A34" s="813" t="s">
        <v>1790</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50" t="s">
        <v>541</v>
      </c>
      <c r="B41" s="2251"/>
      <c r="C41" s="2251"/>
      <c r="D41" s="2251"/>
      <c r="E41" s="2251"/>
      <c r="F41" s="2252"/>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E4" colorId="8" zoomScale="110" zoomScaleNormal="110" workbookViewId="0">
      <selection activeCell="H15" sqref="H15"/>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9" t="s">
        <v>1880</v>
      </c>
      <c r="B1" s="2290"/>
      <c r="C1" s="2291"/>
      <c r="D1" s="825"/>
      <c r="E1" s="826"/>
      <c r="F1" s="826"/>
      <c r="G1" s="827"/>
      <c r="H1" s="828"/>
      <c r="I1" s="829"/>
      <c r="J1" s="2287"/>
      <c r="K1" s="2288"/>
      <c r="L1" s="2288"/>
    </row>
    <row r="2" spans="1:14" ht="69.75" customHeight="1">
      <c r="A2" s="830" t="s">
        <v>1663</v>
      </c>
      <c r="B2" s="831" t="s">
        <v>378</v>
      </c>
      <c r="C2" s="832" t="s">
        <v>1936</v>
      </c>
      <c r="D2" s="832" t="s">
        <v>1937</v>
      </c>
      <c r="E2" s="832" t="s">
        <v>1938</v>
      </c>
      <c r="F2" s="832" t="s">
        <v>1939</v>
      </c>
      <c r="G2" s="832" t="s">
        <v>605</v>
      </c>
      <c r="H2" s="832" t="s">
        <v>1940</v>
      </c>
      <c r="I2" s="832" t="s">
        <v>1941</v>
      </c>
      <c r="J2" s="832" t="s">
        <v>1942</v>
      </c>
      <c r="K2" s="832" t="s">
        <v>1943</v>
      </c>
      <c r="L2" s="832" t="s">
        <v>1944</v>
      </c>
      <c r="M2" s="833"/>
      <c r="N2" s="833"/>
    </row>
    <row r="3" spans="1:14" ht="13.5" thickBot="1">
      <c r="A3" s="1561" t="s">
        <v>892</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v>4755000</v>
      </c>
      <c r="D5" s="840"/>
      <c r="E5" s="840"/>
      <c r="F5" s="1691">
        <f>(C5+D5)-E5</f>
        <v>4755000</v>
      </c>
      <c r="G5" s="836"/>
      <c r="H5" s="841"/>
      <c r="I5" s="841"/>
      <c r="J5" s="841"/>
      <c r="K5" s="792"/>
      <c r="L5" s="1700">
        <f>F5-K5</f>
        <v>4755000</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62294573</v>
      </c>
      <c r="D8" s="843"/>
      <c r="E8" s="843"/>
      <c r="F8" s="1691">
        <f>(C8+D8)-E8</f>
        <v>62294573</v>
      </c>
      <c r="G8" s="842">
        <v>50</v>
      </c>
      <c r="H8" s="764">
        <v>28754230</v>
      </c>
      <c r="I8" s="764">
        <v>1229337</v>
      </c>
      <c r="J8" s="764"/>
      <c r="K8" s="1700">
        <f>(H8+I8)-J8</f>
        <v>29983567</v>
      </c>
      <c r="L8" s="1700">
        <f>F8-K8</f>
        <v>32311006</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3199502</v>
      </c>
      <c r="D10" s="845"/>
      <c r="E10" s="845"/>
      <c r="F10" s="1695">
        <f>(C10+D10)-E10</f>
        <v>3199502</v>
      </c>
      <c r="G10" s="842">
        <v>20</v>
      </c>
      <c r="H10" s="846">
        <v>2332446</v>
      </c>
      <c r="I10" s="846">
        <v>87511</v>
      </c>
      <c r="J10" s="846"/>
      <c r="K10" s="1700">
        <f>(H10+I10)-J10</f>
        <v>2419957</v>
      </c>
      <c r="L10" s="1700">
        <f>F10-K10</f>
        <v>779545</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c r="D12" s="843"/>
      <c r="E12" s="843"/>
      <c r="F12" s="1691">
        <f>(C12+D12)-E12</f>
        <v>0</v>
      </c>
      <c r="G12" s="842">
        <v>10</v>
      </c>
      <c r="H12" s="764"/>
      <c r="I12" s="764"/>
      <c r="J12" s="764"/>
      <c r="K12" s="1700">
        <f>(H12+I12)-J12</f>
        <v>0</v>
      </c>
      <c r="L12" s="1700">
        <f>F12-K12</f>
        <v>0</v>
      </c>
    </row>
    <row r="13" spans="1:14" ht="14.25" thickTop="1" thickBot="1">
      <c r="A13" s="847" t="s">
        <v>1122</v>
      </c>
      <c r="B13" s="839">
        <v>252</v>
      </c>
      <c r="C13" s="843">
        <v>5694710</v>
      </c>
      <c r="D13" s="843">
        <v>132774</v>
      </c>
      <c r="E13" s="843"/>
      <c r="F13" s="1691">
        <f>(C13+D13)-E13</f>
        <v>5827484</v>
      </c>
      <c r="G13" s="842">
        <v>5</v>
      </c>
      <c r="H13" s="764">
        <v>3880042</v>
      </c>
      <c r="I13" s="764">
        <v>438782</v>
      </c>
      <c r="J13" s="764"/>
      <c r="K13" s="1700">
        <f>(H13+I13)-J13</f>
        <v>4318824</v>
      </c>
      <c r="L13" s="1700">
        <f>F13-K13</f>
        <v>1508660</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c r="D15" s="843"/>
      <c r="E15" s="843"/>
      <c r="F15" s="1691">
        <f>(C15+D15)-E15</f>
        <v>0</v>
      </c>
      <c r="G15" s="848" t="s">
        <v>862</v>
      </c>
      <c r="H15" s="780"/>
      <c r="I15" s="780"/>
      <c r="J15" s="780"/>
      <c r="K15" s="780"/>
      <c r="L15" s="1700">
        <f>F15-K15</f>
        <v>0</v>
      </c>
    </row>
    <row r="16" spans="1:14" ht="15" customHeight="1" thickTop="1" thickBot="1">
      <c r="A16" s="1696" t="s">
        <v>643</v>
      </c>
      <c r="B16" s="1697">
        <v>200</v>
      </c>
      <c r="C16" s="1691">
        <f>SUM(C3,C5:C6,C8:C10,C12:C15)</f>
        <v>75943785</v>
      </c>
      <c r="D16" s="1691">
        <f>SUM(D3,D5:D6,D8:D10,D12:D15)</f>
        <v>132774</v>
      </c>
      <c r="E16" s="1691">
        <f>SUM(E3,E5:E6,E8:E10,E12:E15)</f>
        <v>0</v>
      </c>
      <c r="F16" s="1691">
        <f>SUM(F3,F5:F6,F8:F10,F12:F15)</f>
        <v>76076559</v>
      </c>
      <c r="G16" s="842"/>
      <c r="H16" s="1691">
        <f>SUM(H3,H6,H8:H10,H12:H14,)</f>
        <v>34966718</v>
      </c>
      <c r="I16" s="1691">
        <f>SUM(I3,I6,I8:I10,I12:I14,)</f>
        <v>1755630</v>
      </c>
      <c r="J16" s="1691">
        <f>SUM(J3,J6,J8:J10,J12:J14,)</f>
        <v>0</v>
      </c>
      <c r="K16" s="1691">
        <f>(H16+I16)-J16</f>
        <v>36722348</v>
      </c>
      <c r="L16" s="1691">
        <f>F16-K16</f>
        <v>39354211</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69209</v>
      </c>
      <c r="G17" s="836">
        <v>10</v>
      </c>
      <c r="H17" s="768"/>
      <c r="I17" s="1700">
        <f>F17/G17</f>
        <v>6920.9</v>
      </c>
      <c r="J17" s="768"/>
      <c r="K17" s="794"/>
      <c r="L17" s="794"/>
    </row>
    <row r="18" spans="1:12" ht="14.25" thickTop="1" thickBot="1">
      <c r="A18" s="1698" t="s">
        <v>685</v>
      </c>
      <c r="B18" s="1699"/>
      <c r="C18" s="770"/>
      <c r="D18" s="770"/>
      <c r="E18" s="770"/>
      <c r="F18" s="849"/>
      <c r="G18" s="850"/>
      <c r="H18" s="772"/>
      <c r="I18" s="1691">
        <f>SUM(I16,I17)</f>
        <v>1762550.9</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topLeftCell="C1" colorId="8" zoomScale="110" zoomScaleNormal="110" workbookViewId="0">
      <pane ySplit="5" topLeftCell="A63" activePane="bottomLeft" state="frozen"/>
      <selection activeCell="A47" sqref="A47"/>
      <selection pane="bottomLeft" activeCell="D69" sqref="D69"/>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95" t="s">
        <v>1945</v>
      </c>
      <c r="B1" s="2296"/>
      <c r="C1" s="2296"/>
      <c r="D1" s="2296"/>
      <c r="E1" s="2296"/>
      <c r="F1" s="2297"/>
      <c r="G1" s="854"/>
    </row>
    <row r="2" spans="1:7" ht="15" customHeight="1" thickBot="1">
      <c r="A2" s="2298" t="s">
        <v>477</v>
      </c>
      <c r="B2" s="2299"/>
      <c r="C2" s="2299"/>
      <c r="D2" s="2299"/>
      <c r="E2" s="2299"/>
      <c r="F2" s="2300"/>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301"/>
      <c r="B5" s="2302"/>
      <c r="C5" s="2302"/>
      <c r="D5" s="2302"/>
      <c r="E5" s="2302"/>
      <c r="F5" s="2302"/>
    </row>
    <row r="6" spans="1:7" ht="13.5" customHeight="1" thickBot="1">
      <c r="A6" s="2292" t="s">
        <v>1104</v>
      </c>
      <c r="B6" s="2293"/>
      <c r="C6" s="2293"/>
      <c r="D6" s="2293"/>
      <c r="E6" s="2293"/>
      <c r="F6" s="2294"/>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34431799</v>
      </c>
      <c r="G8" s="864"/>
    </row>
    <row r="9" spans="1:7">
      <c r="A9" s="868" t="s">
        <v>460</v>
      </c>
      <c r="B9" s="869" t="s">
        <v>1848</v>
      </c>
      <c r="C9" s="870"/>
      <c r="D9" s="868" t="s">
        <v>501</v>
      </c>
      <c r="E9" s="867"/>
      <c r="F9" s="1840">
        <f>'Expenditures 15-22'!K151</f>
        <v>3316227</v>
      </c>
      <c r="G9" s="871"/>
    </row>
    <row r="10" spans="1:7">
      <c r="A10" s="868" t="s">
        <v>499</v>
      </c>
      <c r="B10" s="869" t="s">
        <v>1849</v>
      </c>
      <c r="C10" s="870"/>
      <c r="D10" s="868" t="s">
        <v>501</v>
      </c>
      <c r="E10" s="867"/>
      <c r="F10" s="1840">
        <f>'Expenditures 15-22'!K174</f>
        <v>6928319</v>
      </c>
      <c r="G10" s="871"/>
    </row>
    <row r="11" spans="1:7">
      <c r="A11" s="868" t="s">
        <v>461</v>
      </c>
      <c r="B11" s="869" t="s">
        <v>1850</v>
      </c>
      <c r="C11" s="870"/>
      <c r="D11" s="868" t="s">
        <v>501</v>
      </c>
      <c r="E11" s="867"/>
      <c r="F11" s="1840">
        <f>'Expenditures 15-22'!K210</f>
        <v>2061221</v>
      </c>
      <c r="G11" s="871"/>
    </row>
    <row r="12" spans="1:7">
      <c r="A12" s="868" t="s">
        <v>462</v>
      </c>
      <c r="B12" s="869" t="s">
        <v>1851</v>
      </c>
      <c r="C12" s="870"/>
      <c r="D12" s="868" t="s">
        <v>501</v>
      </c>
      <c r="E12" s="867"/>
      <c r="F12" s="1840">
        <f>'Expenditures 15-22'!K295</f>
        <v>1107472</v>
      </c>
      <c r="G12" s="871"/>
    </row>
    <row r="13" spans="1:7">
      <c r="A13" s="868" t="s">
        <v>106</v>
      </c>
      <c r="B13" s="869" t="s">
        <v>1852</v>
      </c>
      <c r="C13" s="870"/>
      <c r="D13" s="868" t="s">
        <v>501</v>
      </c>
      <c r="E13" s="867"/>
      <c r="F13" s="1840">
        <f>'Expenditures 15-22'!K342</f>
        <v>367179</v>
      </c>
      <c r="G13" s="872"/>
    </row>
    <row r="14" spans="1:7" ht="12" customHeight="1" thickBot="1">
      <c r="A14" s="1701"/>
      <c r="B14" s="1702"/>
      <c r="C14" s="1703"/>
      <c r="D14" s="1704" t="s">
        <v>501</v>
      </c>
      <c r="E14" s="1705" t="s">
        <v>958</v>
      </c>
      <c r="F14" s="1706">
        <f>SUM(F8:F13)</f>
        <v>48212217</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0</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16524</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1968</v>
      </c>
      <c r="C30" s="879">
        <f>'Revenues 9-14'!B150</f>
        <v>3499</v>
      </c>
      <c r="D30" s="880" t="str">
        <f>'Revenues 9-14'!A150</f>
        <v>Adult Ed - Other (Describe &amp; Itemize)</v>
      </c>
      <c r="E30" s="867"/>
      <c r="F30" s="1845">
        <f>('Revenues 9-14'!D150+'Revenues 9-14'!F150)</f>
        <v>0</v>
      </c>
      <c r="G30" s="864"/>
    </row>
    <row r="31" spans="1:7">
      <c r="A31" s="868" t="s">
        <v>1097</v>
      </c>
      <c r="B31" s="869" t="s">
        <v>1969</v>
      </c>
      <c r="C31" s="874">
        <f>'Revenues 9-14'!B211</f>
        <v>4600</v>
      </c>
      <c r="D31" s="882" t="str">
        <f>'Revenues 9-14'!A211</f>
        <v>Fed - Spec Education - Preschool Flow-Through</v>
      </c>
      <c r="E31" s="883"/>
      <c r="F31" s="1844">
        <f>SUM('Revenues 9-14'!D211,'Revenues 9-14'!F211)</f>
        <v>0</v>
      </c>
      <c r="G31" s="864"/>
    </row>
    <row r="32" spans="1:7">
      <c r="A32" s="868" t="s">
        <v>1097</v>
      </c>
      <c r="B32" s="869" t="s">
        <v>1970</v>
      </c>
      <c r="C32" s="874">
        <f>'Revenues 9-14'!B212</f>
        <v>4605</v>
      </c>
      <c r="D32" s="884" t="str">
        <f>'Revenues 9-14'!A212</f>
        <v>Fed - Spec Education - Preschool Discretionary</v>
      </c>
      <c r="E32" s="883"/>
      <c r="F32" s="1844">
        <f>SUM('Revenues 9-14'!D212,'Revenues 9-14'!F212)</f>
        <v>0</v>
      </c>
      <c r="G32" s="864"/>
    </row>
    <row r="33" spans="1:7">
      <c r="A33" s="868" t="s">
        <v>460</v>
      </c>
      <c r="B33" s="869" t="s">
        <v>1971</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0</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425501</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172441</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0</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97065</v>
      </c>
      <c r="G52" s="864"/>
    </row>
    <row r="53" spans="1:7">
      <c r="A53" s="868" t="s">
        <v>459</v>
      </c>
      <c r="B53" s="868" t="s">
        <v>1466</v>
      </c>
      <c r="C53" s="888">
        <f>'Expenditures 15-22'!B102</f>
        <v>4000</v>
      </c>
      <c r="D53" s="887" t="str">
        <f>'Expenditures 15-22'!A102</f>
        <v>Total Payments to Other Govt Units</v>
      </c>
      <c r="E53" s="867"/>
      <c r="F53" s="1844">
        <f>'Expenditures 15-22'!K102</f>
        <v>1628895</v>
      </c>
      <c r="G53" s="864"/>
    </row>
    <row r="54" spans="1:7">
      <c r="A54" s="868" t="s">
        <v>459</v>
      </c>
      <c r="B54" s="868" t="s">
        <v>1467</v>
      </c>
      <c r="C54" s="888" t="s">
        <v>982</v>
      </c>
      <c r="D54" s="884" t="s">
        <v>1095</v>
      </c>
      <c r="E54" s="867"/>
      <c r="F54" s="1844">
        <f>'Expenditures 15-22'!G114</f>
        <v>331312</v>
      </c>
      <c r="G54" s="864"/>
    </row>
    <row r="55" spans="1:7">
      <c r="A55" s="868" t="s">
        <v>459</v>
      </c>
      <c r="B55" s="868" t="s">
        <v>1468</v>
      </c>
      <c r="C55" s="888" t="s">
        <v>982</v>
      </c>
      <c r="D55" s="884" t="s">
        <v>291</v>
      </c>
      <c r="E55" s="867"/>
      <c r="F55" s="1844">
        <f>'Expenditures 15-22'!I114</f>
        <v>49777</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1853</v>
      </c>
      <c r="C57" s="888">
        <f>'Expenditures 15-22'!B139</f>
        <v>4000</v>
      </c>
      <c r="D57" s="886" t="str">
        <f>'Expenditures 15-22'!A139</f>
        <v>Total Payments to Other Govt Units</v>
      </c>
      <c r="E57" s="867"/>
      <c r="F57" s="1844">
        <f>'Expenditures 15-22'!K139</f>
        <v>0</v>
      </c>
      <c r="G57" s="864"/>
    </row>
    <row r="58" spans="1:7">
      <c r="A58" s="868" t="s">
        <v>460</v>
      </c>
      <c r="B58" s="868" t="s">
        <v>1854</v>
      </c>
      <c r="C58" s="885" t="s">
        <v>982</v>
      </c>
      <c r="D58" s="884" t="s">
        <v>1095</v>
      </c>
      <c r="E58" s="867"/>
      <c r="F58" s="1846">
        <f>'Expenditures 15-22'!G151</f>
        <v>31347</v>
      </c>
      <c r="G58" s="864"/>
    </row>
    <row r="59" spans="1:7">
      <c r="A59" s="892" t="s">
        <v>460</v>
      </c>
      <c r="B59" s="855" t="s">
        <v>1855</v>
      </c>
      <c r="C59" s="893" t="s">
        <v>982</v>
      </c>
      <c r="D59" s="855" t="s">
        <v>291</v>
      </c>
      <c r="F59" s="1847">
        <f>'Expenditures 15-22'!I151</f>
        <v>19432</v>
      </c>
      <c r="G59" s="864"/>
    </row>
    <row r="60" spans="1:7">
      <c r="A60" s="892" t="s">
        <v>499</v>
      </c>
      <c r="B60" s="855" t="s">
        <v>1856</v>
      </c>
      <c r="C60" s="893">
        <v>4000</v>
      </c>
      <c r="D60" s="855" t="s">
        <v>312</v>
      </c>
      <c r="F60" s="1845">
        <f>'Expenditures 15-22'!K160</f>
        <v>0</v>
      </c>
      <c r="G60" s="864"/>
    </row>
    <row r="61" spans="1:7">
      <c r="A61" s="894" t="s">
        <v>499</v>
      </c>
      <c r="B61" s="894" t="s">
        <v>1857</v>
      </c>
      <c r="C61" s="895" t="str">
        <f>'Expenditures 15-22'!B170</f>
        <v>5300</v>
      </c>
      <c r="D61" s="896" t="s">
        <v>311</v>
      </c>
      <c r="E61" s="878"/>
      <c r="F61" s="1844">
        <f>'Expenditures 15-22'!K170</f>
        <v>6568661</v>
      </c>
      <c r="G61" s="864"/>
    </row>
    <row r="62" spans="1:7">
      <c r="A62" s="868" t="s">
        <v>461</v>
      </c>
      <c r="B62" s="868" t="s">
        <v>1858</v>
      </c>
      <c r="C62" s="885">
        <f>'Expenditures 15-22'!B185</f>
        <v>3000</v>
      </c>
      <c r="D62" s="875" t="s">
        <v>449</v>
      </c>
      <c r="E62" s="867"/>
      <c r="F62" s="1844">
        <f>'Expenditures 15-22'!K185-SUM('Expenditures 15-22'!G185,'Expenditures 15-22'!I185)</f>
        <v>0</v>
      </c>
      <c r="G62" s="864"/>
    </row>
    <row r="63" spans="1:7">
      <c r="A63" s="868" t="s">
        <v>461</v>
      </c>
      <c r="B63" s="868" t="s">
        <v>1859</v>
      </c>
      <c r="C63" s="885" t="str">
        <f>'Expenditures 15-22'!B196</f>
        <v>4000</v>
      </c>
      <c r="D63" s="886" t="str">
        <f>'Expenditures 15-22'!A196</f>
        <v>Total Payments to Other Govt Units</v>
      </c>
      <c r="E63" s="867"/>
      <c r="F63" s="1844">
        <f>'Expenditures 15-22'!K196</f>
        <v>0</v>
      </c>
      <c r="G63" s="864"/>
    </row>
    <row r="64" spans="1:7">
      <c r="A64" s="894" t="s">
        <v>461</v>
      </c>
      <c r="B64" s="894" t="s">
        <v>1860</v>
      </c>
      <c r="C64" s="895" t="str">
        <f>'Expenditures 15-22'!B206</f>
        <v>5300</v>
      </c>
      <c r="D64" s="891" t="s">
        <v>311</v>
      </c>
      <c r="E64" s="867"/>
      <c r="F64" s="1844">
        <f>'Expenditures 15-22'!K206</f>
        <v>0</v>
      </c>
      <c r="G64" s="864"/>
    </row>
    <row r="65" spans="1:8">
      <c r="A65" s="868" t="s">
        <v>461</v>
      </c>
      <c r="B65" s="868" t="s">
        <v>1861</v>
      </c>
      <c r="C65" s="885" t="s">
        <v>982</v>
      </c>
      <c r="D65" s="884" t="s">
        <v>1095</v>
      </c>
      <c r="E65" s="867"/>
      <c r="F65" s="1844">
        <f>'Expenditures 15-22'!G210</f>
        <v>0</v>
      </c>
      <c r="G65" s="864"/>
    </row>
    <row r="66" spans="1:8">
      <c r="A66" s="868" t="s">
        <v>461</v>
      </c>
      <c r="B66" s="868" t="s">
        <v>1862</v>
      </c>
      <c r="C66" s="885" t="s">
        <v>982</v>
      </c>
      <c r="D66" s="884" t="s">
        <v>291</v>
      </c>
      <c r="E66" s="867"/>
      <c r="F66" s="1844">
        <f>'Expenditures 15-22'!I210</f>
        <v>0</v>
      </c>
      <c r="G66" s="864"/>
    </row>
    <row r="67" spans="1:8">
      <c r="A67" s="868" t="s">
        <v>462</v>
      </c>
      <c r="B67" s="868" t="s">
        <v>1863</v>
      </c>
      <c r="C67" s="885" t="str">
        <f>'Expenditures 15-22'!B216</f>
        <v>1125</v>
      </c>
      <c r="D67" s="891" t="str">
        <f>'Expenditures 15-22'!A216</f>
        <v>Pre-K Programs</v>
      </c>
      <c r="E67" s="867"/>
      <c r="F67" s="1844">
        <f>'Expenditures 15-22'!K216</f>
        <v>0</v>
      </c>
      <c r="G67" s="864"/>
    </row>
    <row r="68" spans="1:8">
      <c r="A68" s="868" t="s">
        <v>462</v>
      </c>
      <c r="B68" s="868" t="s">
        <v>1470</v>
      </c>
      <c r="C68" s="885" t="str">
        <f>'Expenditures 15-22'!B218</f>
        <v>1225</v>
      </c>
      <c r="D68" s="891" t="str">
        <f>'Expenditures 15-22'!A218</f>
        <v>Special Education Programs - Pre-K</v>
      </c>
      <c r="E68" s="867"/>
      <c r="F68" s="1844">
        <f>'Expenditures 15-22'!K218</f>
        <v>12448</v>
      </c>
      <c r="G68" s="864"/>
    </row>
    <row r="69" spans="1:8">
      <c r="A69" s="868" t="s">
        <v>462</v>
      </c>
      <c r="B69" s="868" t="s">
        <v>1864</v>
      </c>
      <c r="C69" s="885" t="str">
        <f>'Expenditures 15-22'!B220</f>
        <v>1275</v>
      </c>
      <c r="D69" s="891" t="str">
        <f>'Expenditures 15-22'!A220</f>
        <v>Remedial and Supplemental Programs - Pre-K</v>
      </c>
      <c r="E69" s="867"/>
      <c r="F69" s="1844">
        <f>'Expenditures 15-22'!K220</f>
        <v>0</v>
      </c>
      <c r="G69" s="864"/>
    </row>
    <row r="70" spans="1:8">
      <c r="A70" s="868" t="s">
        <v>462</v>
      </c>
      <c r="B70" s="868" t="s">
        <v>1865</v>
      </c>
      <c r="C70" s="885">
        <f>'Expenditures 15-22'!B221</f>
        <v>1300</v>
      </c>
      <c r="D70" s="886" t="str">
        <f>'Expenditures 15-22'!A221</f>
        <v>Adult/Continuing Education Programs</v>
      </c>
      <c r="E70" s="867"/>
      <c r="F70" s="1844">
        <f>'Expenditures 15-22'!K221</f>
        <v>0</v>
      </c>
      <c r="G70" s="864"/>
    </row>
    <row r="71" spans="1:8">
      <c r="A71" s="868" t="s">
        <v>462</v>
      </c>
      <c r="B71" s="868" t="s">
        <v>1866</v>
      </c>
      <c r="C71" s="885">
        <f>'Expenditures 15-22'!B224</f>
        <v>1600</v>
      </c>
      <c r="D71" s="886" t="str">
        <f>'Expenditures 15-22'!A224</f>
        <v>Summer School Programs</v>
      </c>
      <c r="E71" s="867"/>
      <c r="F71" s="1844">
        <f>'Expenditures 15-22'!K224</f>
        <v>7897</v>
      </c>
      <c r="G71" s="864"/>
    </row>
    <row r="72" spans="1:8">
      <c r="A72" s="868" t="s">
        <v>462</v>
      </c>
      <c r="B72" s="868" t="s">
        <v>1867</v>
      </c>
      <c r="C72" s="885">
        <f>'Expenditures 15-22'!B280</f>
        <v>3000</v>
      </c>
      <c r="D72" s="875" t="s">
        <v>449</v>
      </c>
      <c r="E72" s="867"/>
      <c r="F72" s="1844">
        <f>'Expenditures 15-22'!K280</f>
        <v>2522</v>
      </c>
      <c r="G72" s="864"/>
    </row>
    <row r="73" spans="1:8">
      <c r="A73" s="868" t="s">
        <v>462</v>
      </c>
      <c r="B73" s="868" t="s">
        <v>1868</v>
      </c>
      <c r="C73" s="885" t="str">
        <f>'Expenditures 15-22'!B285</f>
        <v>4000</v>
      </c>
      <c r="D73" s="886" t="str">
        <f>'Expenditures 15-22'!A285</f>
        <v>Total Payments to Other Govt Units</v>
      </c>
      <c r="E73" s="867"/>
      <c r="F73" s="1844">
        <f>'Expenditures 15-22'!K285</f>
        <v>0</v>
      </c>
      <c r="G73" s="864"/>
    </row>
    <row r="74" spans="1:8">
      <c r="A74" s="868" t="s">
        <v>436</v>
      </c>
      <c r="B74" s="868" t="s">
        <v>1869</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958</v>
      </c>
      <c r="F76" s="1709">
        <f>SUM(F18:F74)</f>
        <v>9363822</v>
      </c>
      <c r="G76" s="864"/>
    </row>
    <row r="77" spans="1:8" s="892" customFormat="1" ht="12" customHeight="1" thickTop="1" thickBot="1">
      <c r="A77" s="1710"/>
      <c r="B77" s="1707"/>
      <c r="C77" s="1703"/>
      <c r="D77" s="1708" t="s">
        <v>1871</v>
      </c>
      <c r="E77" s="1705"/>
      <c r="F77" s="1711">
        <f>(F14-F76)</f>
        <v>38848395</v>
      </c>
      <c r="G77" s="868"/>
    </row>
    <row r="78" spans="1:8" s="892" customFormat="1" ht="12" customHeight="1" thickTop="1">
      <c r="A78" s="1712"/>
      <c r="B78" s="1707"/>
      <c r="C78" s="1703"/>
      <c r="D78" s="1708" t="s">
        <v>2031</v>
      </c>
      <c r="E78" s="1705"/>
      <c r="F78" s="897">
        <v>2965.4</v>
      </c>
      <c r="G78" s="898"/>
      <c r="H78" s="868"/>
    </row>
    <row r="79" spans="1:8" s="892" customFormat="1" ht="12" customHeight="1" thickBot="1">
      <c r="A79" s="1713"/>
      <c r="B79" s="1707"/>
      <c r="C79" s="1703"/>
      <c r="D79" s="1708" t="s">
        <v>1872</v>
      </c>
      <c r="E79" s="1705" t="s">
        <v>958</v>
      </c>
      <c r="F79" s="1714">
        <f>IF(F78&gt;0,F77/F78," Complete Line 78")</f>
        <v>13100.558103459904</v>
      </c>
      <c r="G79" s="868"/>
    </row>
    <row r="80" spans="1:8" s="892" customFormat="1" ht="8.25" customHeight="1" thickTop="1">
      <c r="A80" s="899"/>
      <c r="B80" s="868"/>
      <c r="C80" s="870"/>
      <c r="D80" s="900"/>
      <c r="E80" s="867"/>
      <c r="F80" s="901"/>
      <c r="G80" s="868"/>
    </row>
    <row r="81" spans="1:7" s="892" customFormat="1" ht="12" thickBot="1">
      <c r="A81" s="2292" t="s">
        <v>1105</v>
      </c>
      <c r="B81" s="2293"/>
      <c r="C81" s="2293"/>
      <c r="D81" s="2293"/>
      <c r="E81" s="2293"/>
      <c r="F81" s="2294"/>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322048</v>
      </c>
      <c r="G94" s="911"/>
    </row>
    <row r="95" spans="1:7">
      <c r="A95" s="907" t="s">
        <v>140</v>
      </c>
      <c r="B95" s="907" t="s">
        <v>175</v>
      </c>
      <c r="C95" s="909">
        <v>1700</v>
      </c>
      <c r="D95" s="917" t="str">
        <f>'Revenues 9-14'!A82</f>
        <v>Total District/School Activity Income</v>
      </c>
      <c r="E95" s="905"/>
      <c r="F95" s="1720">
        <f>SUM('Revenues 9-14'!C82,'Revenues 9-14'!D82)</f>
        <v>79541</v>
      </c>
      <c r="G95" s="911"/>
    </row>
    <row r="96" spans="1:7">
      <c r="A96" s="907" t="s">
        <v>459</v>
      </c>
      <c r="B96" s="907" t="s">
        <v>176</v>
      </c>
      <c r="C96" s="909">
        <f>'Revenues 9-14'!B84</f>
        <v>1811</v>
      </c>
      <c r="D96" s="910" t="str">
        <f>'Revenues 9-14'!A84</f>
        <v>Rentals - Regular Textbooks</v>
      </c>
      <c r="E96" s="905"/>
      <c r="F96" s="1720">
        <f>'Revenues 9-14'!C84</f>
        <v>170138</v>
      </c>
      <c r="G96" s="911"/>
    </row>
    <row r="97" spans="1:7">
      <c r="A97" s="907" t="s">
        <v>459</v>
      </c>
      <c r="B97" s="907" t="s">
        <v>177</v>
      </c>
      <c r="C97" s="909">
        <f>'Revenues 9-14'!B87</f>
        <v>1819</v>
      </c>
      <c r="D97" s="910" t="str">
        <f>'Revenues 9-14'!A87</f>
        <v>Rentals - Other (Describe &amp; Itemize)</v>
      </c>
      <c r="E97" s="905"/>
      <c r="F97" s="1720">
        <f>'Revenues 9-14'!C87</f>
        <v>0</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933180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48991</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20">
        <f>('Revenues 9-14'!C106)</f>
        <v>0</v>
      </c>
      <c r="G104" s="911"/>
    </row>
    <row r="105" spans="1:7">
      <c r="A105" s="907" t="s">
        <v>503</v>
      </c>
      <c r="B105" s="907" t="s">
        <v>1972</v>
      </c>
      <c r="C105" s="912">
        <v>3100</v>
      </c>
      <c r="D105" s="918" t="str">
        <f>'Revenues 9-14'!A132</f>
        <v>Total Special Education</v>
      </c>
      <c r="E105" s="905"/>
      <c r="F105" s="1720">
        <f>SUM('Revenues 9-14'!C132:D132,'Revenues 9-14'!F132)</f>
        <v>518359</v>
      </c>
      <c r="G105" s="911"/>
    </row>
    <row r="106" spans="1:7">
      <c r="A106" s="907" t="s">
        <v>673</v>
      </c>
      <c r="B106" s="907" t="s">
        <v>1973</v>
      </c>
      <c r="C106" s="919">
        <v>3200</v>
      </c>
      <c r="D106" s="910" t="str">
        <f>'Revenues 9-14'!A141</f>
        <v>Total Career and Technical Education</v>
      </c>
      <c r="E106" s="905"/>
      <c r="F106" s="1720">
        <f>SUM('Revenues 9-14'!C141,'Revenues 9-14'!D141,'Revenues 9-14'!G141)</f>
        <v>3092</v>
      </c>
      <c r="G106" s="911"/>
    </row>
    <row r="107" spans="1:7">
      <c r="A107" s="920" t="s">
        <v>664</v>
      </c>
      <c r="B107" s="907" t="s">
        <v>1974</v>
      </c>
      <c r="C107" s="919">
        <v>3300</v>
      </c>
      <c r="D107" s="910" t="str">
        <f>'Revenues 9-14'!A145</f>
        <v>Total Bilingual Ed</v>
      </c>
      <c r="E107" s="905"/>
      <c r="F107" s="1720">
        <f>SUM('Revenues 9-14'!C145,'Revenues 9-14'!G145)</f>
        <v>0</v>
      </c>
      <c r="G107" s="911"/>
    </row>
    <row r="108" spans="1:7">
      <c r="A108" s="907" t="s">
        <v>459</v>
      </c>
      <c r="B108" s="907" t="s">
        <v>1975</v>
      </c>
      <c r="C108" s="919">
        <f>'Revenues 9-14'!B146</f>
        <v>3360</v>
      </c>
      <c r="D108" s="910" t="str">
        <f>'Revenues 9-14'!A146</f>
        <v>State Free Lunch &amp; Breakfast</v>
      </c>
      <c r="E108" s="905"/>
      <c r="F108" s="1720">
        <f>'Revenues 9-14'!C146</f>
        <v>9481</v>
      </c>
      <c r="G108" s="911"/>
    </row>
    <row r="109" spans="1:7">
      <c r="A109" s="907" t="s">
        <v>673</v>
      </c>
      <c r="B109" s="907" t="s">
        <v>1976</v>
      </c>
      <c r="C109" s="919">
        <f>'Revenues 9-14'!B147</f>
        <v>3365</v>
      </c>
      <c r="D109" s="910" t="str">
        <f>'Revenues 9-14'!A147</f>
        <v>School Breakfast Initiative</v>
      </c>
      <c r="E109" s="905"/>
      <c r="F109" s="1720">
        <f>SUM('Revenues 9-14'!C147,'Revenues 9-14'!D147,'Revenues 9-14'!G147)</f>
        <v>0</v>
      </c>
      <c r="G109" s="911"/>
    </row>
    <row r="110" spans="1:7">
      <c r="A110" s="907" t="s">
        <v>140</v>
      </c>
      <c r="B110" s="907" t="s">
        <v>1977</v>
      </c>
      <c r="C110" s="919">
        <f>'Revenues 9-14'!B148</f>
        <v>3370</v>
      </c>
      <c r="D110" s="910" t="str">
        <f>'Revenues 9-14'!A148</f>
        <v>Driver Education</v>
      </c>
      <c r="E110" s="905"/>
      <c r="F110" s="1720">
        <f>SUM('Revenues 9-14'!C148,'Revenues 9-14'!D148)</f>
        <v>0</v>
      </c>
      <c r="G110" s="911"/>
    </row>
    <row r="111" spans="1:7">
      <c r="A111" s="907" t="s">
        <v>668</v>
      </c>
      <c r="B111" s="907" t="s">
        <v>1978</v>
      </c>
      <c r="C111" s="921">
        <v>3500</v>
      </c>
      <c r="D111" s="910" t="str">
        <f>'Revenues 9-14'!A155</f>
        <v>Total Transportation</v>
      </c>
      <c r="E111" s="905"/>
      <c r="F111" s="1720">
        <f>SUM('Revenues 9-14'!C155,'Revenues 9-14'!D155,'Revenues 9-14'!F155,'Revenues 9-14'!G155)</f>
        <v>1372721</v>
      </c>
      <c r="G111" s="911"/>
    </row>
    <row r="112" spans="1:7">
      <c r="A112" s="907" t="s">
        <v>459</v>
      </c>
      <c r="B112" s="907" t="s">
        <v>1979</v>
      </c>
      <c r="C112" s="919">
        <f>'Revenues 9-14'!B156</f>
        <v>3610</v>
      </c>
      <c r="D112" s="910" t="str">
        <f>'Revenues 9-14'!A156</f>
        <v>Learning Improvement - Change Grants</v>
      </c>
      <c r="E112" s="905"/>
      <c r="F112" s="1720">
        <f>'Revenues 9-14'!C156</f>
        <v>0</v>
      </c>
      <c r="G112" s="911"/>
    </row>
    <row r="113" spans="1:7">
      <c r="A113" s="907" t="s">
        <v>668</v>
      </c>
      <c r="B113" s="907" t="s">
        <v>1980</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1981</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1982</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1983</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1984</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1985</v>
      </c>
      <c r="C118" s="923">
        <f>'Revenues 9-14'!B163</f>
        <v>3780</v>
      </c>
      <c r="D118" s="924" t="str">
        <f>'Revenues 9-14'!A163</f>
        <v>Technology - Technology for Success</v>
      </c>
      <c r="E118" s="905"/>
      <c r="F118" s="1838">
        <f>SUM('Revenues 9-14'!C163:G163)</f>
        <v>0</v>
      </c>
      <c r="G118" s="911"/>
    </row>
    <row r="119" spans="1:7">
      <c r="A119" s="922" t="s">
        <v>504</v>
      </c>
      <c r="B119" s="922" t="s">
        <v>1986</v>
      </c>
      <c r="C119" s="923">
        <f>'Revenues 9-14'!B164</f>
        <v>3815</v>
      </c>
      <c r="D119" s="924" t="str">
        <f>'Revenues 9-14'!A164</f>
        <v>State Charter Schools</v>
      </c>
      <c r="E119" s="905"/>
      <c r="F119" s="1838">
        <f>SUM('Revenues 9-14'!C164,'Revenues 9-14'!F164)</f>
        <v>0</v>
      </c>
      <c r="G119" s="911"/>
    </row>
    <row r="120" spans="1:7">
      <c r="A120" s="926" t="s">
        <v>460</v>
      </c>
      <c r="B120" s="926" t="s">
        <v>1987</v>
      </c>
      <c r="C120" s="927">
        <f>'Revenues 9-14'!B167</f>
        <v>3925</v>
      </c>
      <c r="D120" s="928" t="str">
        <f>'Revenues 9-14'!A167</f>
        <v>School Infrastructure - Maintenance Projects</v>
      </c>
      <c r="E120" s="905"/>
      <c r="F120" s="1720">
        <f>'Revenues 9-14'!D167</f>
        <v>0</v>
      </c>
      <c r="G120" s="929"/>
    </row>
    <row r="121" spans="1:7">
      <c r="A121" s="926" t="s">
        <v>500</v>
      </c>
      <c r="B121" s="926" t="s">
        <v>1988</v>
      </c>
      <c r="C121" s="927">
        <f>'Revenues 9-14'!B168</f>
        <v>3999</v>
      </c>
      <c r="D121" s="928" t="s">
        <v>543</v>
      </c>
      <c r="E121" s="930"/>
      <c r="F121" s="1720">
        <f>SUM('Revenues 9-14'!C168:G168,'Revenues 9-14'!J168)</f>
        <v>0</v>
      </c>
      <c r="G121" s="929"/>
    </row>
    <row r="122" spans="1:7">
      <c r="A122" s="926" t="s">
        <v>459</v>
      </c>
      <c r="B122" s="926" t="s">
        <v>1989</v>
      </c>
      <c r="C122" s="931">
        <f>'Revenues 9-14'!B177</f>
        <v>4045</v>
      </c>
      <c r="D122" s="928" t="str">
        <f>'Revenues 9-14'!A177 &amp; " (Subtract)"</f>
        <v>Head Start (Subtract)</v>
      </c>
      <c r="E122" s="905"/>
      <c r="F122" s="1720">
        <f>SUM(-'Revenues 9-14'!C177)</f>
        <v>0</v>
      </c>
      <c r="G122" s="929"/>
    </row>
    <row r="123" spans="1:7">
      <c r="A123" s="926" t="s">
        <v>668</v>
      </c>
      <c r="B123" s="926" t="s">
        <v>1990</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1991</v>
      </c>
      <c r="C124" s="931">
        <v>4100</v>
      </c>
      <c r="D124" s="932" t="str">
        <f>'Revenues 9-14'!A188</f>
        <v>Total Title V</v>
      </c>
      <c r="E124" s="905"/>
      <c r="F124" s="1720">
        <f>SUM('Revenues 9-14'!C188,'Revenues 9-14'!D188,'Revenues 9-14'!F188,'Revenues 9-14'!G188)</f>
        <v>0</v>
      </c>
      <c r="G124" s="929"/>
    </row>
    <row r="125" spans="1:7">
      <c r="A125" s="926" t="s">
        <v>664</v>
      </c>
      <c r="B125" s="926" t="s">
        <v>1992</v>
      </c>
      <c r="C125" s="931">
        <v>4200</v>
      </c>
      <c r="D125" s="928" t="str">
        <f>'Revenues 9-14'!A198</f>
        <v>Total Food Service</v>
      </c>
      <c r="E125" s="905"/>
      <c r="F125" s="1720">
        <f>SUM('Revenues 9-14'!C198,'Revenues 9-14'!G198)</f>
        <v>586951</v>
      </c>
      <c r="G125" s="929"/>
    </row>
    <row r="126" spans="1:7">
      <c r="A126" s="926" t="s">
        <v>668</v>
      </c>
      <c r="B126" s="926" t="s">
        <v>1993</v>
      </c>
      <c r="C126" s="931">
        <v>4300</v>
      </c>
      <c r="D126" s="932" t="str">
        <f>'Revenues 9-14'!A204</f>
        <v>Total Title I</v>
      </c>
      <c r="E126" s="905"/>
      <c r="F126" s="1720">
        <f>SUM('Revenues 9-14'!C204,'Revenues 9-14'!D204,'Revenues 9-14'!F204,'Revenues 9-14'!G204)</f>
        <v>631775</v>
      </c>
      <c r="G126" s="929"/>
    </row>
    <row r="127" spans="1:7">
      <c r="A127" s="926" t="s">
        <v>668</v>
      </c>
      <c r="B127" s="926" t="s">
        <v>1994</v>
      </c>
      <c r="C127" s="931">
        <v>4400</v>
      </c>
      <c r="D127" s="932" t="str">
        <f>'Revenues 9-14'!A209</f>
        <v>Total Title IV</v>
      </c>
      <c r="E127" s="905"/>
      <c r="F127" s="1720">
        <f>SUM('Revenues 9-14'!C209,'Revenues 9-14'!D209,'Revenues 9-14'!F209,'Revenues 9-14'!G209)</f>
        <v>0</v>
      </c>
      <c r="G127" s="929"/>
    </row>
    <row r="128" spans="1:7">
      <c r="A128" s="926" t="s">
        <v>668</v>
      </c>
      <c r="B128" s="926" t="s">
        <v>1995</v>
      </c>
      <c r="C128" s="931">
        <f>'Revenues 9-14'!B213</f>
        <v>4620</v>
      </c>
      <c r="D128" s="932" t="str">
        <f>'Revenues 9-14'!A213</f>
        <v>Fed - Spec Education - IDEA - Flow Through</v>
      </c>
      <c r="E128" s="905"/>
      <c r="F128" s="1720">
        <f>SUM('Revenues 9-14'!C213:D213,'Revenues 9-14'!F213:G213)</f>
        <v>928008</v>
      </c>
      <c r="G128" s="929"/>
    </row>
    <row r="129" spans="1:7">
      <c r="A129" s="926" t="s">
        <v>668</v>
      </c>
      <c r="B129" s="926" t="s">
        <v>1996</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668</v>
      </c>
      <c r="B130" s="926" t="s">
        <v>1997</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1998</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1999</v>
      </c>
      <c r="C133" s="934" t="s">
        <v>207</v>
      </c>
      <c r="D133" s="935" t="str">
        <f>'Revenues 9-14'!A224</f>
        <v>ARRA - Title I - Low Income</v>
      </c>
      <c r="E133" s="936"/>
      <c r="F133" s="1838">
        <f>SUM('Revenues 9-14'!$C$224:$D$224,'Revenues 9-14'!$F$224:$G$224)</f>
        <v>0</v>
      </c>
      <c r="G133" s="904"/>
    </row>
    <row r="134" spans="1:7" s="866" customFormat="1" hidden="1">
      <c r="A134" s="933" t="s">
        <v>206</v>
      </c>
      <c r="B134" s="933" t="s">
        <v>2000</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2001</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2002</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2003</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2004</v>
      </c>
      <c r="C138" s="934" t="s">
        <v>212</v>
      </c>
      <c r="D138" s="935" t="str">
        <f>'Revenues 9-14'!A229</f>
        <v>ARRA - IDEA - Part B - Preschool</v>
      </c>
      <c r="E138" s="936"/>
      <c r="F138" s="1720">
        <v>0</v>
      </c>
      <c r="G138" s="904"/>
    </row>
    <row r="139" spans="1:7" s="866" customFormat="1" hidden="1">
      <c r="A139" s="933" t="s">
        <v>206</v>
      </c>
      <c r="B139" s="933" t="s">
        <v>2005</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2006</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2007</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2008</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2009</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2010</v>
      </c>
      <c r="C147" s="934" t="s">
        <v>225</v>
      </c>
      <c r="D147" s="935" t="str">
        <f>'Revenues 9-14'!A242</f>
        <v>Other ARRA Funds - II</v>
      </c>
      <c r="E147" s="936"/>
      <c r="F147" s="1720">
        <f>SUM('Revenues 9-14'!C242:G242,'Revenues 9-14'!J242)</f>
        <v>0</v>
      </c>
      <c r="G147" s="904"/>
    </row>
    <row r="148" spans="1:7" s="866" customFormat="1" hidden="1">
      <c r="A148" s="933" t="s">
        <v>206</v>
      </c>
      <c r="B148" s="933" t="s">
        <v>2011</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2012</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2013</v>
      </c>
      <c r="C157" s="939" t="s">
        <v>841</v>
      </c>
      <c r="D157" s="940" t="s">
        <v>777</v>
      </c>
      <c r="E157" s="941"/>
      <c r="F157" s="1720">
        <f>SUM(F133:F156)</f>
        <v>0</v>
      </c>
      <c r="G157" s="904"/>
    </row>
    <row r="158" spans="1:7" s="866" customFormat="1">
      <c r="A158" s="937" t="s">
        <v>459</v>
      </c>
      <c r="B158" s="938" t="s">
        <v>2014</v>
      </c>
      <c r="C158" s="939" t="s">
        <v>1418</v>
      </c>
      <c r="D158" s="940" t="s">
        <v>1419</v>
      </c>
      <c r="E158" s="941"/>
      <c r="F158" s="1720">
        <f>SUM('Revenues 9-14'!C253)</f>
        <v>0</v>
      </c>
      <c r="G158" s="904"/>
    </row>
    <row r="159" spans="1:7" s="866" customFormat="1">
      <c r="A159" s="937" t="s">
        <v>500</v>
      </c>
      <c r="B159" s="938" t="s">
        <v>2015</v>
      </c>
      <c r="C159" s="939" t="s">
        <v>1457</v>
      </c>
      <c r="D159" s="940" t="s">
        <v>1458</v>
      </c>
      <c r="E159" s="941"/>
      <c r="F159" s="1720">
        <f>SUM('Revenues 9-14'!C254:H254,'Revenues 9-14'!J254:K254)</f>
        <v>0</v>
      </c>
      <c r="G159" s="904"/>
    </row>
    <row r="160" spans="1:7">
      <c r="A160" s="926" t="s">
        <v>5</v>
      </c>
      <c r="B160" s="926" t="s">
        <v>2016</v>
      </c>
      <c r="C160" s="931">
        <f>'Revenues 9-14'!B255</f>
        <v>4905</v>
      </c>
      <c r="D160" s="928" t="str">
        <f>'Revenues 9-14'!A255</f>
        <v>Title III - Immigrant Education Program (IEP)</v>
      </c>
      <c r="E160" s="905"/>
      <c r="F160" s="1720">
        <f>SUM('Revenues 9-14'!C255,'Revenues 9-14'!F255,'Revenues 9-14'!G255)</f>
        <v>229</v>
      </c>
      <c r="G160" s="942">
        <v>6306</v>
      </c>
    </row>
    <row r="161" spans="1:7">
      <c r="A161" s="926" t="s">
        <v>5</v>
      </c>
      <c r="B161" s="926" t="s">
        <v>2017</v>
      </c>
      <c r="C161" s="931">
        <f>'Revenues 9-14'!B256</f>
        <v>4909</v>
      </c>
      <c r="D161" s="928" t="str">
        <f>'Revenues 9-14'!A256</f>
        <v>Title III - Language Inst Program - Limited Eng (LIPLEP)</v>
      </c>
      <c r="E161" s="905"/>
      <c r="F161" s="1720">
        <f>SUM('Revenues 9-14'!C256,'Revenues 9-14'!F256,'Revenues 9-14'!G256)</f>
        <v>63263</v>
      </c>
      <c r="G161" s="942"/>
    </row>
    <row r="162" spans="1:7">
      <c r="A162" s="926" t="s">
        <v>668</v>
      </c>
      <c r="B162" s="926" t="s">
        <v>2018</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2019</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2020</v>
      </c>
      <c r="C164" s="931">
        <f>'Revenues 9-14'!B259</f>
        <v>4932</v>
      </c>
      <c r="D164" s="932" t="str">
        <f>'Revenues 9-14'!A259</f>
        <v>Title II - Teacher Quality</v>
      </c>
      <c r="E164" s="905"/>
      <c r="F164" s="1838">
        <f>SUM('Revenues 9-14'!C259,'Revenues 9-14'!D259,'Revenues 9-14'!F259,'Revenues 9-14'!G259)</f>
        <v>85398</v>
      </c>
      <c r="G164" s="929"/>
    </row>
    <row r="165" spans="1:7">
      <c r="A165" s="926" t="s">
        <v>668</v>
      </c>
      <c r="B165" s="926" t="s">
        <v>2021</v>
      </c>
      <c r="C165" s="931">
        <f>'Revenues 9-14'!B260</f>
        <v>4960</v>
      </c>
      <c r="D165" s="928" t="str">
        <f>'Revenues 9-14'!A260</f>
        <v>Federal Charter Schools</v>
      </c>
      <c r="E165" s="905"/>
      <c r="F165" s="1720">
        <f>SUM('Revenues 9-14'!C260:D260,'Revenues 9-14'!F260:G260)</f>
        <v>0</v>
      </c>
      <c r="G165" s="929"/>
    </row>
    <row r="166" spans="1:7">
      <c r="A166" s="926" t="s">
        <v>668</v>
      </c>
      <c r="B166" s="926" t="s">
        <v>1966</v>
      </c>
      <c r="C166" s="931">
        <f>'Revenues 9-14'!B261</f>
        <v>4981</v>
      </c>
      <c r="D166" s="928" t="str">
        <f>'Revenues 9-14'!A261</f>
        <v>State Assessment Grants</v>
      </c>
      <c r="E166" s="905"/>
      <c r="F166" s="1720">
        <f>SUM('Revenues 9-14'!C261:D261,'Revenues 9-14'!F261:G261)</f>
        <v>0</v>
      </c>
      <c r="G166" s="929"/>
    </row>
    <row r="167" spans="1:7">
      <c r="A167" s="926" t="s">
        <v>668</v>
      </c>
      <c r="B167" s="926" t="s">
        <v>1967</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2022</v>
      </c>
      <c r="C168" s="931">
        <f>'Revenues 9-14'!B263</f>
        <v>4991</v>
      </c>
      <c r="D168" s="932" t="str">
        <f>'Revenues 9-14'!A263</f>
        <v>Medicaid Matching Funds - Administrative Outreach</v>
      </c>
      <c r="E168" s="905"/>
      <c r="F168" s="1720">
        <f>SUM('Revenues 9-14'!C263:D263,'Revenues 9-14'!F263:G263)</f>
        <v>44188</v>
      </c>
      <c r="G168" s="946">
        <v>6320</v>
      </c>
    </row>
    <row r="169" spans="1:7">
      <c r="A169" s="926" t="s">
        <v>668</v>
      </c>
      <c r="B169" s="926" t="s">
        <v>2023</v>
      </c>
      <c r="C169" s="931">
        <f>'Revenues 9-14'!B264</f>
        <v>4992</v>
      </c>
      <c r="D169" s="932" t="str">
        <f>'Revenues 9-14'!A264</f>
        <v>Medicaid Matching Funds - Fee-for-Service Program</v>
      </c>
      <c r="E169" s="905"/>
      <c r="F169" s="1720">
        <f>SUM('Revenues 9-14'!C264:D264,'Revenues 9-14'!F264:G264)</f>
        <v>104735</v>
      </c>
      <c r="G169" s="946"/>
    </row>
    <row r="170" spans="1:7">
      <c r="A170" s="947" t="s">
        <v>668</v>
      </c>
      <c r="B170" s="943" t="s">
        <v>2024</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664</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2025</v>
      </c>
      <c r="E174" s="1718" t="s">
        <v>958</v>
      </c>
      <c r="F174" s="1719">
        <f>SUM(F84:F132,F157:F172)</f>
        <v>5902098</v>
      </c>
    </row>
    <row r="175" spans="1:7" ht="12" customHeight="1">
      <c r="A175" s="1701"/>
      <c r="B175" s="1715"/>
      <c r="C175" s="1716"/>
      <c r="D175" s="1717" t="s">
        <v>2026</v>
      </c>
      <c r="E175" s="1718"/>
      <c r="F175" s="1720">
        <f>'PCTC-OEPP 27-28'!F77-F174</f>
        <v>32946297</v>
      </c>
    </row>
    <row r="176" spans="1:7" ht="12" customHeight="1">
      <c r="A176" s="1701"/>
      <c r="B176" s="1715"/>
      <c r="C176" s="1716"/>
      <c r="D176" s="1717" t="s">
        <v>1791</v>
      </c>
      <c r="E176" s="1718"/>
      <c r="F176" s="1720">
        <f>'Cap Outlay Deprec 26'!I18</f>
        <v>1762550.9</v>
      </c>
    </row>
    <row r="177" spans="1:7" ht="12" customHeight="1">
      <c r="A177" s="1701"/>
      <c r="B177" s="1715"/>
      <c r="C177" s="1716"/>
      <c r="D177" s="1717" t="s">
        <v>2027</v>
      </c>
      <c r="E177" s="1718"/>
      <c r="F177" s="1720">
        <f>F175+F176</f>
        <v>34708847.899999999</v>
      </c>
    </row>
    <row r="178" spans="1:7" ht="12" customHeight="1">
      <c r="A178" s="1701"/>
      <c r="B178" s="1721"/>
      <c r="C178" s="1716"/>
      <c r="D178" s="1717" t="str">
        <f>D78</f>
        <v>9 Month ADA from District Average Daily Attendance/Prior General State Aid Inquiry 2018-2019</v>
      </c>
      <c r="E178" s="1718"/>
      <c r="F178" s="1722">
        <f>'PCTC-OEPP 27-28'!F78</f>
        <v>2965.4</v>
      </c>
      <c r="G178" s="929"/>
    </row>
    <row r="179" spans="1:7" ht="12" customHeight="1" thickBot="1">
      <c r="A179" s="1701"/>
      <c r="B179" s="1721"/>
      <c r="C179" s="1716"/>
      <c r="D179" s="1717" t="s">
        <v>2028</v>
      </c>
      <c r="E179" s="1718" t="s">
        <v>1536</v>
      </c>
      <c r="F179" s="1723">
        <f>F177/F178</f>
        <v>11704.609125244486</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1963</v>
      </c>
      <c r="B182" s="1854"/>
      <c r="C182" s="1855"/>
      <c r="D182" s="1854"/>
      <c r="E182" s="1855"/>
      <c r="F182" s="1854"/>
      <c r="G182" s="1854"/>
    </row>
    <row r="183" spans="1:7" s="1853" customFormat="1" ht="12.2" customHeight="1">
      <c r="A183" s="1856" t="s">
        <v>1965</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4" zoomScale="70" zoomScaleNormal="70" workbookViewId="0">
      <selection activeCell="A12" sqref="A12:G12"/>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16.42578125"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306" t="s">
        <v>1792</v>
      </c>
      <c r="B4" s="2307"/>
      <c r="C4" s="2307"/>
      <c r="D4" s="2307"/>
      <c r="E4" s="2307"/>
      <c r="F4" s="2307"/>
      <c r="G4" s="2308"/>
    </row>
    <row r="5" spans="1:7">
      <c r="A5" s="2309"/>
      <c r="B5" s="2310"/>
      <c r="C5" s="2310"/>
      <c r="D5" s="2310"/>
      <c r="E5" s="2310"/>
      <c r="F5" s="2310"/>
      <c r="G5" s="2311"/>
    </row>
    <row r="6" spans="1:7" ht="18.75">
      <c r="A6" s="1868" t="s">
        <v>2035</v>
      </c>
      <c r="B6" s="1869"/>
      <c r="C6" s="1869"/>
      <c r="D6" s="1869"/>
      <c r="E6" s="1869"/>
      <c r="F6" s="1869"/>
      <c r="G6" s="1870"/>
    </row>
    <row r="7" spans="1:7" ht="18.75">
      <c r="A7" s="1466" t="s">
        <v>1793</v>
      </c>
      <c r="B7" s="1467"/>
      <c r="C7" s="1467"/>
      <c r="D7" s="1467"/>
      <c r="E7" s="1467"/>
      <c r="F7" s="1467"/>
      <c r="G7" s="1468"/>
    </row>
    <row r="8" spans="1:7" ht="30.75" customHeight="1">
      <c r="A8" s="2312" t="s">
        <v>1903</v>
      </c>
      <c r="B8" s="2313"/>
      <c r="C8" s="2313"/>
      <c r="D8" s="2313"/>
      <c r="E8" s="2313"/>
      <c r="F8" s="2313"/>
      <c r="G8" s="2314"/>
    </row>
    <row r="9" spans="1:7" ht="15.75" customHeight="1">
      <c r="A9" s="2315" t="s">
        <v>1878</v>
      </c>
      <c r="B9" s="2316"/>
      <c r="C9" s="2316"/>
      <c r="D9" s="2316"/>
      <c r="E9" s="2316"/>
      <c r="F9" s="2316"/>
      <c r="G9" s="2317"/>
    </row>
    <row r="10" spans="1:7" ht="35.25" customHeight="1">
      <c r="A10" s="2312" t="s">
        <v>2034</v>
      </c>
      <c r="B10" s="2313"/>
      <c r="C10" s="2313"/>
      <c r="D10" s="2313"/>
      <c r="E10" s="2313"/>
      <c r="F10" s="2313"/>
      <c r="G10" s="2314"/>
    </row>
    <row r="11" spans="1:7" ht="15" customHeight="1">
      <c r="A11" s="1469" t="s">
        <v>1794</v>
      </c>
      <c r="B11" s="1470"/>
      <c r="C11" s="1470"/>
      <c r="D11" s="1470"/>
      <c r="E11" s="1470"/>
      <c r="F11" s="1470"/>
      <c r="G11" s="1471"/>
    </row>
    <row r="12" spans="1:7" ht="17.25" customHeight="1">
      <c r="A12" s="2312" t="s">
        <v>1905</v>
      </c>
      <c r="B12" s="2313"/>
      <c r="C12" s="2313"/>
      <c r="D12" s="2313"/>
      <c r="E12" s="2313"/>
      <c r="F12" s="2313"/>
      <c r="G12" s="2314"/>
    </row>
    <row r="13" spans="1:7" ht="15" customHeight="1">
      <c r="A13" s="1469" t="s">
        <v>1799</v>
      </c>
      <c r="B13" s="1470"/>
      <c r="C13" s="1470"/>
      <c r="D13" s="1470"/>
      <c r="E13" s="1470"/>
      <c r="F13" s="1470"/>
      <c r="G13" s="1471"/>
    </row>
    <row r="14" spans="1:7" ht="32.25" customHeight="1">
      <c r="A14" s="2303" t="s">
        <v>1946</v>
      </c>
      <c r="B14" s="2304"/>
      <c r="C14" s="2304"/>
      <c r="D14" s="2304"/>
      <c r="E14" s="2304"/>
      <c r="F14" s="2304"/>
      <c r="G14" s="2305"/>
    </row>
    <row r="15" spans="1:7">
      <c r="A15" s="1593" t="s">
        <v>1807</v>
      </c>
      <c r="B15" s="1594"/>
      <c r="C15" s="1594"/>
      <c r="D15" s="1594"/>
      <c r="E15" s="1594"/>
      <c r="F15" s="1594"/>
      <c r="G15" s="1595"/>
    </row>
    <row r="16" spans="1:7" ht="61.5" customHeight="1">
      <c r="A16" s="1478" t="s">
        <v>1800</v>
      </c>
      <c r="B16" s="1478" t="s">
        <v>1801</v>
      </c>
      <c r="C16" s="1478" t="s">
        <v>1802</v>
      </c>
      <c r="D16" s="1479" t="s">
        <v>1803</v>
      </c>
      <c r="E16" s="1479" t="s">
        <v>1795</v>
      </c>
      <c r="F16" s="1479" t="s">
        <v>1804</v>
      </c>
      <c r="G16" s="1479" t="s">
        <v>1805</v>
      </c>
    </row>
    <row r="17" spans="1:8">
      <c r="A17" s="1580" t="s">
        <v>1808</v>
      </c>
      <c r="B17" s="1581" t="s">
        <v>1798</v>
      </c>
      <c r="C17" s="1582" t="s">
        <v>1796</v>
      </c>
      <c r="D17" s="1583">
        <v>500000</v>
      </c>
      <c r="E17" s="1583">
        <f>IF(D17&lt;=25000,D17,IF(D17&gt;25000,25000,0))</f>
        <v>25000</v>
      </c>
      <c r="F17" s="1583">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4">
        <f>IF(F17=0,"0",D17-F17)</f>
        <v>475000</v>
      </c>
    </row>
    <row r="18" spans="1:8">
      <c r="A18" s="1953" t="s">
        <v>2171</v>
      </c>
      <c r="B18" s="1954" t="s">
        <v>2172</v>
      </c>
      <c r="C18" s="1955" t="s">
        <v>2173</v>
      </c>
      <c r="D18" s="1775">
        <v>45464</v>
      </c>
      <c r="E18" s="1472">
        <f t="shared" ref="E18:E142" si="0">IF(D18&lt;=25000,D18,IF(D18&gt;25000,25000,0))</f>
        <v>25000</v>
      </c>
      <c r="F18" s="186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24">
        <f>IF(F18=0,0,D18-F18)</f>
        <v>20464</v>
      </c>
      <c r="H18" s="1579"/>
    </row>
    <row r="19" spans="1:8">
      <c r="A19" s="1953" t="s">
        <v>2174</v>
      </c>
      <c r="B19" s="1954" t="s">
        <v>2175</v>
      </c>
      <c r="C19" s="1955" t="s">
        <v>2176</v>
      </c>
      <c r="D19" s="1775">
        <v>27400</v>
      </c>
      <c r="E19" s="1472">
        <f t="shared" ref="E19:E141" si="2">IF(D19&lt;=25000,D19,IF(D19&gt;25000,25000,0))</f>
        <v>25000</v>
      </c>
      <c r="F19" s="1867">
        <f t="shared" si="1"/>
        <v>25000</v>
      </c>
      <c r="G19" s="1724">
        <f t="shared" ref="G19:G141" si="3">IF(F19=0,0,D19-F19)</f>
        <v>2400</v>
      </c>
    </row>
    <row r="20" spans="1:8">
      <c r="A20" s="1585"/>
      <c r="B20" s="1864"/>
      <c r="C20" s="1588"/>
      <c r="D20" s="1775"/>
      <c r="E20" s="1472">
        <f t="shared" si="2"/>
        <v>0</v>
      </c>
      <c r="F20" s="1867">
        <f t="shared" si="1"/>
        <v>0</v>
      </c>
      <c r="G20" s="1724">
        <f t="shared" si="3"/>
        <v>0</v>
      </c>
    </row>
    <row r="21" spans="1:8">
      <c r="A21" s="1585"/>
      <c r="B21" s="1864"/>
      <c r="C21" s="1588"/>
      <c r="D21" s="1775"/>
      <c r="E21" s="1472">
        <f t="shared" si="2"/>
        <v>0</v>
      </c>
      <c r="F21" s="1867">
        <f t="shared" si="1"/>
        <v>0</v>
      </c>
      <c r="G21" s="1724">
        <f t="shared" si="3"/>
        <v>0</v>
      </c>
    </row>
    <row r="22" spans="1:8">
      <c r="A22" s="1585"/>
      <c r="B22" s="1864"/>
      <c r="C22" s="1588"/>
      <c r="D22" s="1775"/>
      <c r="E22" s="1472">
        <f t="shared" si="2"/>
        <v>0</v>
      </c>
      <c r="F22" s="1867">
        <f t="shared" si="1"/>
        <v>0</v>
      </c>
      <c r="G22" s="1724">
        <f t="shared" si="3"/>
        <v>0</v>
      </c>
    </row>
    <row r="23" spans="1:8">
      <c r="A23" s="1585"/>
      <c r="B23" s="1864"/>
      <c r="C23" s="1588"/>
      <c r="D23" s="1775"/>
      <c r="E23" s="1472">
        <f t="shared" si="2"/>
        <v>0</v>
      </c>
      <c r="F23" s="1867">
        <f t="shared" si="1"/>
        <v>0</v>
      </c>
      <c r="G23" s="1724">
        <f t="shared" si="3"/>
        <v>0</v>
      </c>
    </row>
    <row r="24" spans="1:8">
      <c r="A24" s="1585"/>
      <c r="B24" s="1864"/>
      <c r="C24" s="1588"/>
      <c r="D24" s="1775"/>
      <c r="E24" s="1472">
        <f t="shared" si="2"/>
        <v>0</v>
      </c>
      <c r="F24" s="1867">
        <f t="shared" si="1"/>
        <v>0</v>
      </c>
      <c r="G24" s="1724">
        <f t="shared" si="3"/>
        <v>0</v>
      </c>
    </row>
    <row r="25" spans="1:8">
      <c r="A25" s="1585"/>
      <c r="B25" s="1864"/>
      <c r="C25" s="1588"/>
      <c r="D25" s="1775"/>
      <c r="E25" s="1472">
        <f t="shared" si="2"/>
        <v>0</v>
      </c>
      <c r="F25" s="1867">
        <f t="shared" si="1"/>
        <v>0</v>
      </c>
      <c r="G25" s="1724">
        <f t="shared" si="3"/>
        <v>0</v>
      </c>
    </row>
    <row r="26" spans="1:8">
      <c r="A26" s="1585"/>
      <c r="B26" s="1864"/>
      <c r="C26" s="1588"/>
      <c r="D26" s="1775"/>
      <c r="E26" s="1472">
        <f t="shared" si="2"/>
        <v>0</v>
      </c>
      <c r="F26" s="1867">
        <f t="shared" si="1"/>
        <v>0</v>
      </c>
      <c r="G26" s="1724">
        <f t="shared" si="3"/>
        <v>0</v>
      </c>
    </row>
    <row r="27" spans="1:8">
      <c r="A27" s="1585"/>
      <c r="B27" s="1864"/>
      <c r="C27" s="1586"/>
      <c r="D27" s="1775"/>
      <c r="E27" s="1472">
        <f t="shared" si="2"/>
        <v>0</v>
      </c>
      <c r="F27" s="1867">
        <f t="shared" si="1"/>
        <v>0</v>
      </c>
      <c r="G27" s="1724">
        <f t="shared" si="3"/>
        <v>0</v>
      </c>
    </row>
    <row r="28" spans="1:8">
      <c r="A28" s="1585"/>
      <c r="B28" s="1864"/>
      <c r="C28" s="1586"/>
      <c r="D28" s="1775"/>
      <c r="E28" s="1472">
        <f t="shared" si="2"/>
        <v>0</v>
      </c>
      <c r="F28" s="1867">
        <f t="shared" si="1"/>
        <v>0</v>
      </c>
      <c r="G28" s="1724">
        <f t="shared" si="3"/>
        <v>0</v>
      </c>
    </row>
    <row r="29" spans="1:8">
      <c r="A29" s="1585"/>
      <c r="B29" s="1864"/>
      <c r="C29" s="1586"/>
      <c r="D29" s="1775"/>
      <c r="E29" s="1472">
        <f t="shared" si="2"/>
        <v>0</v>
      </c>
      <c r="F29" s="1867">
        <f t="shared" si="1"/>
        <v>0</v>
      </c>
      <c r="G29" s="1724">
        <f t="shared" si="3"/>
        <v>0</v>
      </c>
    </row>
    <row r="30" spans="1:8">
      <c r="A30" s="1585"/>
      <c r="B30" s="1864"/>
      <c r="C30" s="1586"/>
      <c r="D30" s="1775"/>
      <c r="E30" s="1472">
        <f t="shared" si="2"/>
        <v>0</v>
      </c>
      <c r="F30" s="1867">
        <f t="shared" si="1"/>
        <v>0</v>
      </c>
      <c r="G30" s="1724">
        <f t="shared" si="3"/>
        <v>0</v>
      </c>
    </row>
    <row r="31" spans="1:8">
      <c r="A31" s="1585"/>
      <c r="B31" s="1864"/>
      <c r="C31" s="1586"/>
      <c r="D31" s="1775"/>
      <c r="E31" s="1472">
        <f t="shared" si="2"/>
        <v>0</v>
      </c>
      <c r="F31" s="1867">
        <f t="shared" si="1"/>
        <v>0</v>
      </c>
      <c r="G31" s="1724">
        <f t="shared" si="3"/>
        <v>0</v>
      </c>
    </row>
    <row r="32" spans="1:8">
      <c r="A32" s="1585"/>
      <c r="B32" s="1864"/>
      <c r="C32" s="1586"/>
      <c r="D32" s="1775"/>
      <c r="E32" s="1472">
        <f t="shared" si="2"/>
        <v>0</v>
      </c>
      <c r="F32" s="1867">
        <f t="shared" si="1"/>
        <v>0</v>
      </c>
      <c r="G32" s="1724">
        <f t="shared" si="3"/>
        <v>0</v>
      </c>
    </row>
    <row r="33" spans="1:7">
      <c r="A33" s="1585"/>
      <c r="B33" s="1864"/>
      <c r="C33" s="1586"/>
      <c r="D33" s="1775"/>
      <c r="E33" s="1472">
        <f t="shared" si="2"/>
        <v>0</v>
      </c>
      <c r="F33" s="1867">
        <f t="shared" si="1"/>
        <v>0</v>
      </c>
      <c r="G33" s="1724">
        <f t="shared" si="3"/>
        <v>0</v>
      </c>
    </row>
    <row r="34" spans="1:7">
      <c r="A34" s="1585"/>
      <c r="B34" s="1864"/>
      <c r="C34" s="1586"/>
      <c r="D34" s="1775"/>
      <c r="E34" s="1472">
        <f t="shared" si="2"/>
        <v>0</v>
      </c>
      <c r="F34" s="1867">
        <f t="shared" si="1"/>
        <v>0</v>
      </c>
      <c r="G34" s="1724">
        <f t="shared" si="3"/>
        <v>0</v>
      </c>
    </row>
    <row r="35" spans="1:7">
      <c r="A35" s="1585"/>
      <c r="B35" s="1864"/>
      <c r="C35" s="1586"/>
      <c r="D35" s="1775"/>
      <c r="E35" s="1472">
        <f t="shared" si="2"/>
        <v>0</v>
      </c>
      <c r="F35" s="1867">
        <f t="shared" si="1"/>
        <v>0</v>
      </c>
      <c r="G35" s="1724">
        <f t="shared" si="3"/>
        <v>0</v>
      </c>
    </row>
    <row r="36" spans="1:7">
      <c r="A36" s="1585"/>
      <c r="B36" s="1864"/>
      <c r="C36" s="1586"/>
      <c r="D36" s="1775"/>
      <c r="E36" s="1472">
        <f t="shared" si="2"/>
        <v>0</v>
      </c>
      <c r="F36" s="1867">
        <f t="shared" si="1"/>
        <v>0</v>
      </c>
      <c r="G36" s="1724">
        <f t="shared" si="3"/>
        <v>0</v>
      </c>
    </row>
    <row r="37" spans="1:7">
      <c r="A37" s="1585"/>
      <c r="B37" s="1864"/>
      <c r="C37" s="1586"/>
      <c r="D37" s="1775"/>
      <c r="E37" s="1472">
        <f t="shared" si="2"/>
        <v>0</v>
      </c>
      <c r="F37" s="1867">
        <f t="shared" si="1"/>
        <v>0</v>
      </c>
      <c r="G37" s="1724">
        <f t="shared" si="3"/>
        <v>0</v>
      </c>
    </row>
    <row r="38" spans="1:7">
      <c r="A38" s="1585"/>
      <c r="B38" s="1864"/>
      <c r="C38" s="1586"/>
      <c r="D38" s="1775"/>
      <c r="E38" s="1472">
        <f t="shared" si="2"/>
        <v>0</v>
      </c>
      <c r="F38" s="1867">
        <f t="shared" si="1"/>
        <v>0</v>
      </c>
      <c r="G38" s="1724">
        <f t="shared" si="3"/>
        <v>0</v>
      </c>
    </row>
    <row r="39" spans="1:7">
      <c r="A39" s="1585"/>
      <c r="B39" s="1865"/>
      <c r="C39" s="1586"/>
      <c r="D39" s="1775"/>
      <c r="E39" s="1472">
        <f t="shared" si="2"/>
        <v>0</v>
      </c>
      <c r="F39" s="1867">
        <f t="shared" si="1"/>
        <v>0</v>
      </c>
      <c r="G39" s="1724">
        <f t="shared" si="3"/>
        <v>0</v>
      </c>
    </row>
    <row r="40" spans="1:7">
      <c r="A40" s="1585"/>
      <c r="B40" s="1865"/>
      <c r="C40" s="1586"/>
      <c r="D40" s="1775"/>
      <c r="E40" s="1472">
        <f t="shared" si="2"/>
        <v>0</v>
      </c>
      <c r="F40" s="1867">
        <f t="shared" si="1"/>
        <v>0</v>
      </c>
      <c r="G40" s="1724">
        <f t="shared" si="3"/>
        <v>0</v>
      </c>
    </row>
    <row r="41" spans="1:7">
      <c r="A41" s="1585"/>
      <c r="B41" s="1865"/>
      <c r="C41" s="1586"/>
      <c r="D41" s="1775"/>
      <c r="E41" s="1472">
        <f t="shared" si="2"/>
        <v>0</v>
      </c>
      <c r="F41" s="1867">
        <f t="shared" si="1"/>
        <v>0</v>
      </c>
      <c r="G41" s="1724">
        <f t="shared" si="3"/>
        <v>0</v>
      </c>
    </row>
    <row r="42" spans="1:7">
      <c r="A42" s="1585"/>
      <c r="B42" s="1865"/>
      <c r="C42" s="1586"/>
      <c r="D42" s="1775"/>
      <c r="E42" s="1472">
        <f t="shared" si="2"/>
        <v>0</v>
      </c>
      <c r="F42" s="1867">
        <f t="shared" si="1"/>
        <v>0</v>
      </c>
      <c r="G42" s="1724">
        <f t="shared" si="3"/>
        <v>0</v>
      </c>
    </row>
    <row r="43" spans="1:7">
      <c r="A43" s="1585"/>
      <c r="B43" s="1865"/>
      <c r="C43" s="1586"/>
      <c r="D43" s="1775"/>
      <c r="E43" s="1472">
        <f t="shared" si="2"/>
        <v>0</v>
      </c>
      <c r="F43" s="1867">
        <f t="shared" si="1"/>
        <v>0</v>
      </c>
      <c r="G43" s="1724">
        <f t="shared" si="3"/>
        <v>0</v>
      </c>
    </row>
    <row r="44" spans="1:7">
      <c r="A44" s="1585"/>
      <c r="B44" s="1865"/>
      <c r="C44" s="1586"/>
      <c r="D44" s="1775"/>
      <c r="E44" s="1472">
        <f t="shared" si="2"/>
        <v>0</v>
      </c>
      <c r="F44" s="1867">
        <f t="shared" si="1"/>
        <v>0</v>
      </c>
      <c r="G44" s="1724">
        <f t="shared" si="3"/>
        <v>0</v>
      </c>
    </row>
    <row r="45" spans="1:7">
      <c r="A45" s="1585"/>
      <c r="B45" s="1865"/>
      <c r="C45" s="1586"/>
      <c r="D45" s="1775"/>
      <c r="E45" s="1472">
        <f t="shared" si="2"/>
        <v>0</v>
      </c>
      <c r="F45" s="1867">
        <f t="shared" si="1"/>
        <v>0</v>
      </c>
      <c r="G45" s="1724">
        <f t="shared" si="3"/>
        <v>0</v>
      </c>
    </row>
    <row r="46" spans="1:7">
      <c r="A46" s="1585"/>
      <c r="B46" s="1865"/>
      <c r="C46" s="1586"/>
      <c r="D46" s="1775"/>
      <c r="E46" s="1472">
        <f t="shared" si="2"/>
        <v>0</v>
      </c>
      <c r="F46" s="1867">
        <f t="shared" si="1"/>
        <v>0</v>
      </c>
      <c r="G46" s="1724">
        <f t="shared" si="3"/>
        <v>0</v>
      </c>
    </row>
    <row r="47" spans="1:7">
      <c r="A47" s="1585"/>
      <c r="B47" s="1598"/>
      <c r="C47" s="1586"/>
      <c r="D47" s="1775"/>
      <c r="E47" s="1472">
        <f t="shared" si="2"/>
        <v>0</v>
      </c>
      <c r="F47" s="1867">
        <f t="shared" si="1"/>
        <v>0</v>
      </c>
      <c r="G47" s="1724">
        <f t="shared" si="3"/>
        <v>0</v>
      </c>
    </row>
    <row r="48" spans="1:7">
      <c r="A48" s="1585"/>
      <c r="B48" s="1598"/>
      <c r="C48" s="1586"/>
      <c r="D48" s="1775"/>
      <c r="E48" s="1472">
        <f t="shared" si="2"/>
        <v>0</v>
      </c>
      <c r="F48" s="1867">
        <f t="shared" si="1"/>
        <v>0</v>
      </c>
      <c r="G48" s="1724">
        <f t="shared" si="3"/>
        <v>0</v>
      </c>
    </row>
    <row r="49" spans="1:7">
      <c r="A49" s="1585"/>
      <c r="B49" s="1598"/>
      <c r="C49" s="1586"/>
      <c r="D49" s="1775"/>
      <c r="E49" s="1472">
        <f t="shared" si="2"/>
        <v>0</v>
      </c>
      <c r="F49" s="1867">
        <f t="shared" si="1"/>
        <v>0</v>
      </c>
      <c r="G49" s="1724">
        <f t="shared" si="3"/>
        <v>0</v>
      </c>
    </row>
    <row r="50" spans="1:7">
      <c r="A50" s="1585"/>
      <c r="B50" s="1598"/>
      <c r="C50" s="1586"/>
      <c r="D50" s="1775"/>
      <c r="E50" s="1472">
        <f t="shared" si="2"/>
        <v>0</v>
      </c>
      <c r="F50" s="1867">
        <f t="shared" si="1"/>
        <v>0</v>
      </c>
      <c r="G50" s="1724">
        <f t="shared" si="3"/>
        <v>0</v>
      </c>
    </row>
    <row r="51" spans="1:7">
      <c r="A51" s="1585"/>
      <c r="B51" s="1598"/>
      <c r="C51" s="1586"/>
      <c r="D51" s="1775"/>
      <c r="E51" s="1472">
        <f t="shared" si="2"/>
        <v>0</v>
      </c>
      <c r="F51" s="1867">
        <f t="shared" si="1"/>
        <v>0</v>
      </c>
      <c r="G51" s="1724">
        <f t="shared" si="3"/>
        <v>0</v>
      </c>
    </row>
    <row r="52" spans="1:7">
      <c r="A52" s="1585"/>
      <c r="B52" s="1598"/>
      <c r="C52" s="1586"/>
      <c r="D52" s="1775"/>
      <c r="E52" s="1472">
        <f t="shared" si="2"/>
        <v>0</v>
      </c>
      <c r="F52" s="1867">
        <f t="shared" si="1"/>
        <v>0</v>
      </c>
      <c r="G52" s="1724">
        <f t="shared" si="3"/>
        <v>0</v>
      </c>
    </row>
    <row r="53" spans="1:7">
      <c r="A53" s="1585"/>
      <c r="B53" s="1598"/>
      <c r="C53" s="1586"/>
      <c r="D53" s="1775"/>
      <c r="E53" s="1472">
        <f t="shared" si="2"/>
        <v>0</v>
      </c>
      <c r="F53" s="1867">
        <f t="shared" si="1"/>
        <v>0</v>
      </c>
      <c r="G53" s="1724">
        <f t="shared" si="3"/>
        <v>0</v>
      </c>
    </row>
    <row r="54" spans="1:7">
      <c r="A54" s="1585"/>
      <c r="B54" s="1598"/>
      <c r="C54" s="1586"/>
      <c r="D54" s="1775"/>
      <c r="E54" s="1472">
        <f t="shared" si="2"/>
        <v>0</v>
      </c>
      <c r="F54" s="1867">
        <f t="shared" si="1"/>
        <v>0</v>
      </c>
      <c r="G54" s="1724">
        <f t="shared" si="3"/>
        <v>0</v>
      </c>
    </row>
    <row r="55" spans="1:7">
      <c r="A55" s="1585"/>
      <c r="B55" s="1598"/>
      <c r="C55" s="1586"/>
      <c r="D55" s="1775"/>
      <c r="E55" s="1472">
        <f t="shared" si="2"/>
        <v>0</v>
      </c>
      <c r="F55" s="1867">
        <f t="shared" si="1"/>
        <v>0</v>
      </c>
      <c r="G55" s="1724">
        <f t="shared" si="3"/>
        <v>0</v>
      </c>
    </row>
    <row r="56" spans="1:7">
      <c r="A56" s="1585"/>
      <c r="B56" s="1598"/>
      <c r="C56" s="1586"/>
      <c r="D56" s="1775"/>
      <c r="E56" s="1472">
        <f t="shared" si="2"/>
        <v>0</v>
      </c>
      <c r="F56" s="1867">
        <f t="shared" si="1"/>
        <v>0</v>
      </c>
      <c r="G56" s="1724">
        <f t="shared" si="3"/>
        <v>0</v>
      </c>
    </row>
    <row r="57" spans="1:7">
      <c r="A57" s="1585"/>
      <c r="B57" s="1598"/>
      <c r="C57" s="1586"/>
      <c r="D57" s="1775"/>
      <c r="E57" s="1472">
        <f t="shared" si="2"/>
        <v>0</v>
      </c>
      <c r="F57" s="1867">
        <f t="shared" si="1"/>
        <v>0</v>
      </c>
      <c r="G57" s="1724">
        <f t="shared" si="3"/>
        <v>0</v>
      </c>
    </row>
    <row r="58" spans="1:7">
      <c r="A58" s="1585"/>
      <c r="B58" s="1598"/>
      <c r="C58" s="1586"/>
      <c r="D58" s="1775"/>
      <c r="E58" s="1472">
        <f t="shared" si="2"/>
        <v>0</v>
      </c>
      <c r="F58" s="1867">
        <f t="shared" si="1"/>
        <v>0</v>
      </c>
      <c r="G58" s="1724">
        <f t="shared" si="3"/>
        <v>0</v>
      </c>
    </row>
    <row r="59" spans="1:7">
      <c r="A59" s="1585"/>
      <c r="B59" s="1598"/>
      <c r="C59" s="1586"/>
      <c r="D59" s="1775"/>
      <c r="E59" s="1472">
        <f t="shared" si="2"/>
        <v>0</v>
      </c>
      <c r="F59" s="1867">
        <f t="shared" si="1"/>
        <v>0</v>
      </c>
      <c r="G59" s="1724">
        <f t="shared" si="3"/>
        <v>0</v>
      </c>
    </row>
    <row r="60" spans="1:7">
      <c r="A60" s="1585"/>
      <c r="B60" s="1598"/>
      <c r="C60" s="1586"/>
      <c r="D60" s="1775"/>
      <c r="E60" s="1472">
        <f t="shared" si="2"/>
        <v>0</v>
      </c>
      <c r="F60" s="1867">
        <f t="shared" si="1"/>
        <v>0</v>
      </c>
      <c r="G60" s="1724">
        <f t="shared" si="3"/>
        <v>0</v>
      </c>
    </row>
    <row r="61" spans="1:7">
      <c r="A61" s="1585"/>
      <c r="B61" s="1598"/>
      <c r="C61" s="1586"/>
      <c r="D61" s="1775"/>
      <c r="E61" s="1472">
        <f t="shared" si="2"/>
        <v>0</v>
      </c>
      <c r="F61" s="1867">
        <f t="shared" si="1"/>
        <v>0</v>
      </c>
      <c r="G61" s="1724">
        <f t="shared" si="3"/>
        <v>0</v>
      </c>
    </row>
    <row r="62" spans="1:7">
      <c r="A62" s="1585"/>
      <c r="B62" s="1598"/>
      <c r="C62" s="1586"/>
      <c r="D62" s="1775"/>
      <c r="E62" s="1472">
        <f t="shared" si="2"/>
        <v>0</v>
      </c>
      <c r="F62" s="1867">
        <f t="shared" si="1"/>
        <v>0</v>
      </c>
      <c r="G62" s="1724">
        <f t="shared" si="3"/>
        <v>0</v>
      </c>
    </row>
    <row r="63" spans="1:7">
      <c r="A63" s="1585"/>
      <c r="B63" s="1598"/>
      <c r="C63" s="1586"/>
      <c r="D63" s="1775"/>
      <c r="E63" s="1472">
        <f t="shared" si="2"/>
        <v>0</v>
      </c>
      <c r="F63" s="1867">
        <f t="shared" si="1"/>
        <v>0</v>
      </c>
      <c r="G63" s="1724">
        <f t="shared" si="3"/>
        <v>0</v>
      </c>
    </row>
    <row r="64" spans="1:7">
      <c r="A64" s="1585"/>
      <c r="B64" s="1598"/>
      <c r="C64" s="1586"/>
      <c r="D64" s="1775"/>
      <c r="E64" s="1472">
        <f t="shared" si="2"/>
        <v>0</v>
      </c>
      <c r="F64" s="1867">
        <f t="shared" si="1"/>
        <v>0</v>
      </c>
      <c r="G64" s="1724">
        <f t="shared" si="3"/>
        <v>0</v>
      </c>
    </row>
    <row r="65" spans="1:7">
      <c r="A65" s="1587"/>
      <c r="B65" s="1598"/>
      <c r="C65" s="1588"/>
      <c r="D65" s="1775"/>
      <c r="E65" s="1472">
        <f t="shared" si="2"/>
        <v>0</v>
      </c>
      <c r="F65" s="1867">
        <f t="shared" si="1"/>
        <v>0</v>
      </c>
      <c r="G65" s="1724">
        <f t="shared" si="3"/>
        <v>0</v>
      </c>
    </row>
    <row r="66" spans="1:7">
      <c r="A66" s="1585"/>
      <c r="B66" s="1598"/>
      <c r="C66" s="1586"/>
      <c r="D66" s="1775"/>
      <c r="E66" s="1472">
        <f t="shared" si="2"/>
        <v>0</v>
      </c>
      <c r="F66" s="1867">
        <f t="shared" si="1"/>
        <v>0</v>
      </c>
      <c r="G66" s="1724">
        <f t="shared" si="3"/>
        <v>0</v>
      </c>
    </row>
    <row r="67" spans="1:7">
      <c r="A67" s="1585"/>
      <c r="B67" s="1598"/>
      <c r="C67" s="1586"/>
      <c r="D67" s="1775"/>
      <c r="E67" s="1472">
        <f t="shared" si="2"/>
        <v>0</v>
      </c>
      <c r="F67" s="1867">
        <f t="shared" si="1"/>
        <v>0</v>
      </c>
      <c r="G67" s="1724">
        <f t="shared" si="3"/>
        <v>0</v>
      </c>
    </row>
    <row r="68" spans="1:7">
      <c r="A68" s="1585"/>
      <c r="B68" s="1598"/>
      <c r="C68" s="1586"/>
      <c r="D68" s="1775"/>
      <c r="E68" s="1472">
        <f t="shared" si="2"/>
        <v>0</v>
      </c>
      <c r="F68" s="1867">
        <f t="shared" si="1"/>
        <v>0</v>
      </c>
      <c r="G68" s="1724">
        <f t="shared" si="3"/>
        <v>0</v>
      </c>
    </row>
    <row r="69" spans="1:7">
      <c r="A69" s="1585"/>
      <c r="B69" s="1598"/>
      <c r="C69" s="1586"/>
      <c r="D69" s="1775"/>
      <c r="E69" s="1472">
        <f t="shared" si="2"/>
        <v>0</v>
      </c>
      <c r="F69" s="1867">
        <f t="shared" si="1"/>
        <v>0</v>
      </c>
      <c r="G69" s="1724">
        <f t="shared" si="3"/>
        <v>0</v>
      </c>
    </row>
    <row r="70" spans="1:7">
      <c r="A70" s="1585"/>
      <c r="B70" s="1598"/>
      <c r="C70" s="1586"/>
      <c r="D70" s="1775"/>
      <c r="E70" s="1472">
        <f t="shared" si="2"/>
        <v>0</v>
      </c>
      <c r="F70" s="1867">
        <f t="shared" si="1"/>
        <v>0</v>
      </c>
      <c r="G70" s="1724">
        <f t="shared" si="3"/>
        <v>0</v>
      </c>
    </row>
    <row r="71" spans="1:7">
      <c r="A71" s="1585"/>
      <c r="B71" s="1598"/>
      <c r="C71" s="1586"/>
      <c r="D71" s="1775"/>
      <c r="E71" s="1472">
        <f t="shared" si="2"/>
        <v>0</v>
      </c>
      <c r="F71" s="1867">
        <f t="shared" si="1"/>
        <v>0</v>
      </c>
      <c r="G71" s="1724">
        <f t="shared" si="3"/>
        <v>0</v>
      </c>
    </row>
    <row r="72" spans="1:7">
      <c r="A72" s="1585"/>
      <c r="B72" s="1598"/>
      <c r="C72" s="1586"/>
      <c r="D72" s="1775"/>
      <c r="E72" s="1472">
        <f t="shared" si="2"/>
        <v>0</v>
      </c>
      <c r="F72" s="1867">
        <f t="shared" si="1"/>
        <v>0</v>
      </c>
      <c r="G72" s="1724">
        <f t="shared" si="3"/>
        <v>0</v>
      </c>
    </row>
    <row r="73" spans="1:7">
      <c r="A73" s="1585"/>
      <c r="B73" s="1598"/>
      <c r="C73" s="1586"/>
      <c r="D73" s="1775"/>
      <c r="E73" s="1472">
        <f t="shared" si="2"/>
        <v>0</v>
      </c>
      <c r="F73" s="1867">
        <f t="shared" si="1"/>
        <v>0</v>
      </c>
      <c r="G73" s="1724">
        <f t="shared" si="3"/>
        <v>0</v>
      </c>
    </row>
    <row r="74" spans="1:7">
      <c r="A74" s="1585"/>
      <c r="B74" s="1598"/>
      <c r="C74" s="1586"/>
      <c r="D74" s="1775"/>
      <c r="E74" s="1472">
        <f t="shared" ref="E74:E85" si="4">IF(D74&lt;=25000,D74,IF(D74&gt;25000,25000,0))</f>
        <v>0</v>
      </c>
      <c r="F74" s="1867">
        <f t="shared" si="1"/>
        <v>0</v>
      </c>
      <c r="G74" s="1724">
        <f t="shared" ref="G74:G85" si="5">IF(F74=0,0,D74-F74)</f>
        <v>0</v>
      </c>
    </row>
    <row r="75" spans="1:7">
      <c r="A75" s="1585"/>
      <c r="B75" s="1598"/>
      <c r="C75" s="1586"/>
      <c r="D75" s="1775"/>
      <c r="E75" s="1472">
        <f t="shared" si="4"/>
        <v>0</v>
      </c>
      <c r="F75" s="1867">
        <f t="shared" si="1"/>
        <v>0</v>
      </c>
      <c r="G75" s="1724">
        <f t="shared" si="5"/>
        <v>0</v>
      </c>
    </row>
    <row r="76" spans="1:7">
      <c r="A76" s="1585"/>
      <c r="B76" s="1598"/>
      <c r="C76" s="1586"/>
      <c r="D76" s="1775"/>
      <c r="E76" s="1472">
        <f t="shared" si="4"/>
        <v>0</v>
      </c>
      <c r="F76" s="1867">
        <f t="shared" si="1"/>
        <v>0</v>
      </c>
      <c r="G76" s="1724">
        <f t="shared" si="5"/>
        <v>0</v>
      </c>
    </row>
    <row r="77" spans="1:7">
      <c r="A77" s="1585"/>
      <c r="B77" s="1598"/>
      <c r="C77" s="1586"/>
      <c r="D77" s="1775"/>
      <c r="E77" s="1472">
        <f t="shared" si="4"/>
        <v>0</v>
      </c>
      <c r="F77" s="1867">
        <f t="shared" si="1"/>
        <v>0</v>
      </c>
      <c r="G77" s="1724">
        <f t="shared" si="5"/>
        <v>0</v>
      </c>
    </row>
    <row r="78" spans="1:7">
      <c r="A78" s="1585"/>
      <c r="B78" s="1598"/>
      <c r="C78" s="1586"/>
      <c r="D78" s="1775"/>
      <c r="E78" s="1472">
        <f t="shared" si="4"/>
        <v>0</v>
      </c>
      <c r="F78" s="1867">
        <f t="shared" si="1"/>
        <v>0</v>
      </c>
      <c r="G78" s="1724">
        <f t="shared" si="5"/>
        <v>0</v>
      </c>
    </row>
    <row r="79" spans="1:7">
      <c r="A79" s="1585"/>
      <c r="B79" s="1598"/>
      <c r="C79" s="1586"/>
      <c r="D79" s="1775"/>
      <c r="E79" s="1472">
        <f t="shared" si="4"/>
        <v>0</v>
      </c>
      <c r="F79" s="1867">
        <f t="shared" si="1"/>
        <v>0</v>
      </c>
      <c r="G79" s="1724">
        <f t="shared" si="5"/>
        <v>0</v>
      </c>
    </row>
    <row r="80" spans="1:7">
      <c r="A80" s="1585"/>
      <c r="B80" s="1598"/>
      <c r="C80" s="1586"/>
      <c r="D80" s="1775"/>
      <c r="E80" s="1472">
        <f t="shared" si="4"/>
        <v>0</v>
      </c>
      <c r="F80" s="1867">
        <f t="shared" si="1"/>
        <v>0</v>
      </c>
      <c r="G80" s="1724">
        <f t="shared" si="5"/>
        <v>0</v>
      </c>
    </row>
    <row r="81" spans="1:7">
      <c r="A81" s="1585"/>
      <c r="B81" s="1598"/>
      <c r="C81" s="1586"/>
      <c r="D81" s="1775"/>
      <c r="E81" s="1472">
        <f t="shared" si="4"/>
        <v>0</v>
      </c>
      <c r="F81" s="1867">
        <f t="shared" si="1"/>
        <v>0</v>
      </c>
      <c r="G81" s="1724">
        <f t="shared" si="5"/>
        <v>0</v>
      </c>
    </row>
    <row r="82" spans="1:7">
      <c r="A82" s="1585"/>
      <c r="B82" s="1598"/>
      <c r="C82" s="1586"/>
      <c r="D82" s="1775"/>
      <c r="E82" s="1472">
        <f t="shared" si="4"/>
        <v>0</v>
      </c>
      <c r="F82" s="186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24">
        <f t="shared" si="5"/>
        <v>0</v>
      </c>
    </row>
    <row r="83" spans="1:7">
      <c r="A83" s="1585"/>
      <c r="B83" s="1598"/>
      <c r="C83" s="1586"/>
      <c r="D83" s="1775"/>
      <c r="E83" s="1472">
        <f t="shared" si="4"/>
        <v>0</v>
      </c>
      <c r="F83" s="1867">
        <f t="shared" si="6"/>
        <v>0</v>
      </c>
      <c r="G83" s="1724">
        <f t="shared" si="5"/>
        <v>0</v>
      </c>
    </row>
    <row r="84" spans="1:7">
      <c r="A84" s="1585"/>
      <c r="B84" s="1598"/>
      <c r="C84" s="1586"/>
      <c r="D84" s="1775"/>
      <c r="E84" s="1472">
        <f t="shared" si="4"/>
        <v>0</v>
      </c>
      <c r="F84" s="1867">
        <f t="shared" si="6"/>
        <v>0</v>
      </c>
      <c r="G84" s="1724">
        <f t="shared" si="5"/>
        <v>0</v>
      </c>
    </row>
    <row r="85" spans="1:7">
      <c r="A85" s="1585"/>
      <c r="B85" s="1598"/>
      <c r="C85" s="1586"/>
      <c r="D85" s="1775"/>
      <c r="E85" s="1472">
        <f t="shared" si="4"/>
        <v>0</v>
      </c>
      <c r="F85" s="1867">
        <f t="shared" si="6"/>
        <v>0</v>
      </c>
      <c r="G85" s="1724">
        <f t="shared" si="5"/>
        <v>0</v>
      </c>
    </row>
    <row r="86" spans="1:7">
      <c r="A86" s="1585"/>
      <c r="B86" s="1598"/>
      <c r="C86" s="1586"/>
      <c r="D86" s="1775"/>
      <c r="E86" s="1472">
        <f t="shared" si="2"/>
        <v>0</v>
      </c>
      <c r="F86" s="1867">
        <f t="shared" si="6"/>
        <v>0</v>
      </c>
      <c r="G86" s="1724">
        <f t="shared" si="3"/>
        <v>0</v>
      </c>
    </row>
    <row r="87" spans="1:7">
      <c r="A87" s="1585"/>
      <c r="B87" s="1598"/>
      <c r="C87" s="1586"/>
      <c r="D87" s="1775"/>
      <c r="E87" s="1472">
        <f t="shared" si="2"/>
        <v>0</v>
      </c>
      <c r="F87" s="1867">
        <f t="shared" si="6"/>
        <v>0</v>
      </c>
      <c r="G87" s="1724">
        <f t="shared" si="3"/>
        <v>0</v>
      </c>
    </row>
    <row r="88" spans="1:7">
      <c r="A88" s="1585"/>
      <c r="B88" s="1598"/>
      <c r="C88" s="1586"/>
      <c r="D88" s="1775"/>
      <c r="E88" s="1472">
        <f t="shared" si="2"/>
        <v>0</v>
      </c>
      <c r="F88" s="1867">
        <f t="shared" si="6"/>
        <v>0</v>
      </c>
      <c r="G88" s="1724">
        <f t="shared" si="3"/>
        <v>0</v>
      </c>
    </row>
    <row r="89" spans="1:7">
      <c r="A89" s="1585"/>
      <c r="B89" s="1598"/>
      <c r="C89" s="1586"/>
      <c r="D89" s="1775"/>
      <c r="E89" s="1472">
        <f t="shared" si="2"/>
        <v>0</v>
      </c>
      <c r="F89" s="1867">
        <f t="shared" si="6"/>
        <v>0</v>
      </c>
      <c r="G89" s="1724">
        <f t="shared" si="3"/>
        <v>0</v>
      </c>
    </row>
    <row r="90" spans="1:7">
      <c r="A90" s="1585"/>
      <c r="B90" s="1598"/>
      <c r="C90" s="1586"/>
      <c r="D90" s="1775"/>
      <c r="E90" s="1472">
        <f t="shared" si="2"/>
        <v>0</v>
      </c>
      <c r="F90" s="1867">
        <f t="shared" si="6"/>
        <v>0</v>
      </c>
      <c r="G90" s="1724">
        <f t="shared" si="3"/>
        <v>0</v>
      </c>
    </row>
    <row r="91" spans="1:7">
      <c r="A91" s="1585"/>
      <c r="B91" s="1598"/>
      <c r="C91" s="1586"/>
      <c r="D91" s="1775"/>
      <c r="E91" s="1472">
        <f t="shared" si="2"/>
        <v>0</v>
      </c>
      <c r="F91" s="1867">
        <f t="shared" si="6"/>
        <v>0</v>
      </c>
      <c r="G91" s="1724">
        <f t="shared" si="3"/>
        <v>0</v>
      </c>
    </row>
    <row r="92" spans="1:7">
      <c r="A92" s="1585"/>
      <c r="B92" s="1598"/>
      <c r="C92" s="1586"/>
      <c r="D92" s="1775"/>
      <c r="E92" s="1472">
        <f t="shared" si="2"/>
        <v>0</v>
      </c>
      <c r="F92" s="1867">
        <f t="shared" si="6"/>
        <v>0</v>
      </c>
      <c r="G92" s="1724">
        <f t="shared" si="3"/>
        <v>0</v>
      </c>
    </row>
    <row r="93" spans="1:7">
      <c r="A93" s="1585"/>
      <c r="B93" s="1598"/>
      <c r="C93" s="1586"/>
      <c r="D93" s="1775"/>
      <c r="E93" s="1472">
        <f t="shared" si="2"/>
        <v>0</v>
      </c>
      <c r="F93" s="1867">
        <f t="shared" si="6"/>
        <v>0</v>
      </c>
      <c r="G93" s="1724">
        <f t="shared" si="3"/>
        <v>0</v>
      </c>
    </row>
    <row r="94" spans="1:7">
      <c r="A94" s="1585"/>
      <c r="B94" s="1598"/>
      <c r="C94" s="1586"/>
      <c r="D94" s="1775"/>
      <c r="E94" s="1472">
        <f t="shared" ref="E94" si="7">IF(D94&lt;=25000,D94,IF(D94&gt;25000,25000,0))</f>
        <v>0</v>
      </c>
      <c r="F94" s="1867">
        <f t="shared" si="6"/>
        <v>0</v>
      </c>
      <c r="G94" s="1724">
        <f t="shared" ref="G94" si="8">IF(F94=0,0,D94-F94)</f>
        <v>0</v>
      </c>
    </row>
    <row r="95" spans="1:7">
      <c r="A95" s="1585"/>
      <c r="B95" s="1598"/>
      <c r="C95" s="1586"/>
      <c r="D95" s="1775"/>
      <c r="E95" s="1472">
        <f t="shared" si="2"/>
        <v>0</v>
      </c>
      <c r="F95" s="1867">
        <f t="shared" si="6"/>
        <v>0</v>
      </c>
      <c r="G95" s="1724">
        <f t="shared" si="3"/>
        <v>0</v>
      </c>
    </row>
    <row r="96" spans="1:7">
      <c r="A96" s="1585"/>
      <c r="B96" s="1598"/>
      <c r="C96" s="1586"/>
      <c r="D96" s="1775"/>
      <c r="E96" s="1472">
        <f t="shared" ref="E96:E99" si="9">IF(D96&lt;=25000,D96,IF(D96&gt;25000,25000,0))</f>
        <v>0</v>
      </c>
      <c r="F96" s="1867">
        <f t="shared" si="6"/>
        <v>0</v>
      </c>
      <c r="G96" s="1724">
        <f t="shared" ref="G96:G99" si="10">IF(F96=0,0,D96-F96)</f>
        <v>0</v>
      </c>
    </row>
    <row r="97" spans="1:7">
      <c r="A97" s="1585"/>
      <c r="B97" s="1598"/>
      <c r="C97" s="1586"/>
      <c r="D97" s="1775"/>
      <c r="E97" s="1472">
        <f t="shared" si="9"/>
        <v>0</v>
      </c>
      <c r="F97" s="1867">
        <f t="shared" si="6"/>
        <v>0</v>
      </c>
      <c r="G97" s="1724">
        <f t="shared" si="10"/>
        <v>0</v>
      </c>
    </row>
    <row r="98" spans="1:7">
      <c r="A98" s="1585"/>
      <c r="B98" s="1598"/>
      <c r="C98" s="1586"/>
      <c r="D98" s="1775"/>
      <c r="E98" s="1472">
        <f t="shared" si="9"/>
        <v>0</v>
      </c>
      <c r="F98" s="1867">
        <f t="shared" si="6"/>
        <v>0</v>
      </c>
      <c r="G98" s="1724">
        <f t="shared" si="10"/>
        <v>0</v>
      </c>
    </row>
    <row r="99" spans="1:7">
      <c r="A99" s="1585"/>
      <c r="B99" s="1598"/>
      <c r="C99" s="1586"/>
      <c r="D99" s="1775"/>
      <c r="E99" s="1472">
        <f t="shared" si="9"/>
        <v>0</v>
      </c>
      <c r="F99" s="1867">
        <f t="shared" si="6"/>
        <v>0</v>
      </c>
      <c r="G99" s="1724">
        <f t="shared" si="10"/>
        <v>0</v>
      </c>
    </row>
    <row r="100" spans="1:7">
      <c r="A100" s="1585"/>
      <c r="B100" s="1598"/>
      <c r="C100" s="1586"/>
      <c r="D100" s="1775"/>
      <c r="E100" s="1472">
        <f t="shared" ref="E100" si="11">IF(D100&lt;=25000,D100,IF(D100&gt;25000,25000,0))</f>
        <v>0</v>
      </c>
      <c r="F100" s="1867">
        <f t="shared" si="6"/>
        <v>0</v>
      </c>
      <c r="G100" s="1724">
        <f t="shared" ref="G100" si="12">IF(F100=0,0,D100-F100)</f>
        <v>0</v>
      </c>
    </row>
    <row r="101" spans="1:7">
      <c r="A101" s="1585"/>
      <c r="B101" s="1598"/>
      <c r="C101" s="1586"/>
      <c r="D101" s="1775"/>
      <c r="E101" s="1472">
        <f t="shared" ref="E101:E113" si="13">IF(D101&lt;=25000,D101,IF(D101&gt;25000,25000,0))</f>
        <v>0</v>
      </c>
      <c r="F101" s="1867">
        <f t="shared" si="6"/>
        <v>0</v>
      </c>
      <c r="G101" s="1724">
        <f t="shared" ref="G101:G113" si="14">IF(F101=0,0,D101-F101)</f>
        <v>0</v>
      </c>
    </row>
    <row r="102" spans="1:7">
      <c r="A102" s="1585"/>
      <c r="B102" s="1598"/>
      <c r="C102" s="1586"/>
      <c r="D102" s="1775"/>
      <c r="E102" s="1472">
        <f t="shared" si="13"/>
        <v>0</v>
      </c>
      <c r="F102" s="1867">
        <f t="shared" si="6"/>
        <v>0</v>
      </c>
      <c r="G102" s="1724">
        <f t="shared" si="14"/>
        <v>0</v>
      </c>
    </row>
    <row r="103" spans="1:7">
      <c r="A103" s="1585"/>
      <c r="B103" s="1598"/>
      <c r="C103" s="1586"/>
      <c r="D103" s="1775"/>
      <c r="E103" s="1472">
        <f t="shared" si="13"/>
        <v>0</v>
      </c>
      <c r="F103" s="1867">
        <f t="shared" si="6"/>
        <v>0</v>
      </c>
      <c r="G103" s="1724">
        <f t="shared" si="14"/>
        <v>0</v>
      </c>
    </row>
    <row r="104" spans="1:7">
      <c r="A104" s="1585"/>
      <c r="B104" s="1598"/>
      <c r="C104" s="1586"/>
      <c r="D104" s="1775"/>
      <c r="E104" s="1472">
        <f t="shared" si="13"/>
        <v>0</v>
      </c>
      <c r="F104" s="1867">
        <f t="shared" si="6"/>
        <v>0</v>
      </c>
      <c r="G104" s="1724">
        <f t="shared" si="14"/>
        <v>0</v>
      </c>
    </row>
    <row r="105" spans="1:7">
      <c r="A105" s="1585"/>
      <c r="B105" s="1598"/>
      <c r="C105" s="1586"/>
      <c r="D105" s="1775"/>
      <c r="E105" s="1472">
        <f t="shared" si="13"/>
        <v>0</v>
      </c>
      <c r="F105" s="1867">
        <f t="shared" si="6"/>
        <v>0</v>
      </c>
      <c r="G105" s="1724">
        <f t="shared" si="14"/>
        <v>0</v>
      </c>
    </row>
    <row r="106" spans="1:7">
      <c r="A106" s="1585"/>
      <c r="B106" s="1598"/>
      <c r="C106" s="1586"/>
      <c r="D106" s="1775"/>
      <c r="E106" s="1472">
        <f t="shared" si="13"/>
        <v>0</v>
      </c>
      <c r="F106" s="1867">
        <f t="shared" si="6"/>
        <v>0</v>
      </c>
      <c r="G106" s="1724">
        <f t="shared" si="14"/>
        <v>0</v>
      </c>
    </row>
    <row r="107" spans="1:7">
      <c r="A107" s="1585"/>
      <c r="B107" s="1598"/>
      <c r="C107" s="1586"/>
      <c r="D107" s="1775"/>
      <c r="E107" s="1472">
        <f t="shared" si="13"/>
        <v>0</v>
      </c>
      <c r="F107" s="1867">
        <f t="shared" si="6"/>
        <v>0</v>
      </c>
      <c r="G107" s="1724">
        <f t="shared" si="14"/>
        <v>0</v>
      </c>
    </row>
    <row r="108" spans="1:7">
      <c r="A108" s="1585"/>
      <c r="B108" s="1598"/>
      <c r="C108" s="1586"/>
      <c r="D108" s="1775"/>
      <c r="E108" s="1472">
        <f t="shared" si="13"/>
        <v>0</v>
      </c>
      <c r="F108" s="1867">
        <f t="shared" si="6"/>
        <v>0</v>
      </c>
      <c r="G108" s="1724">
        <f t="shared" si="14"/>
        <v>0</v>
      </c>
    </row>
    <row r="109" spans="1:7">
      <c r="A109" s="1585"/>
      <c r="B109" s="1598"/>
      <c r="C109" s="1586"/>
      <c r="D109" s="1775"/>
      <c r="E109" s="1472">
        <f t="shared" si="13"/>
        <v>0</v>
      </c>
      <c r="F109" s="1867">
        <f t="shared" si="6"/>
        <v>0</v>
      </c>
      <c r="G109" s="1724">
        <f t="shared" si="14"/>
        <v>0</v>
      </c>
    </row>
    <row r="110" spans="1:7">
      <c r="A110" s="1585"/>
      <c r="B110" s="1598"/>
      <c r="C110" s="1586"/>
      <c r="D110" s="1775"/>
      <c r="E110" s="1472">
        <f t="shared" si="13"/>
        <v>0</v>
      </c>
      <c r="F110" s="1867">
        <f t="shared" si="6"/>
        <v>0</v>
      </c>
      <c r="G110" s="1724">
        <f t="shared" si="14"/>
        <v>0</v>
      </c>
    </row>
    <row r="111" spans="1:7">
      <c r="A111" s="1585"/>
      <c r="B111" s="1598"/>
      <c r="C111" s="1586"/>
      <c r="D111" s="1775"/>
      <c r="E111" s="1472">
        <f t="shared" si="13"/>
        <v>0</v>
      </c>
      <c r="F111" s="1867">
        <f t="shared" si="6"/>
        <v>0</v>
      </c>
      <c r="G111" s="1724">
        <f t="shared" si="14"/>
        <v>0</v>
      </c>
    </row>
    <row r="112" spans="1:7">
      <c r="A112" s="1585"/>
      <c r="B112" s="1598"/>
      <c r="C112" s="1586"/>
      <c r="D112" s="1775"/>
      <c r="E112" s="1472">
        <f t="shared" si="13"/>
        <v>0</v>
      </c>
      <c r="F112" s="1867">
        <f t="shared" si="6"/>
        <v>0</v>
      </c>
      <c r="G112" s="1724">
        <f t="shared" si="14"/>
        <v>0</v>
      </c>
    </row>
    <row r="113" spans="1:7">
      <c r="A113" s="1585"/>
      <c r="B113" s="1598"/>
      <c r="C113" s="1586"/>
      <c r="D113" s="1775"/>
      <c r="E113" s="1472">
        <f t="shared" si="13"/>
        <v>0</v>
      </c>
      <c r="F113" s="1867">
        <f t="shared" si="6"/>
        <v>0</v>
      </c>
      <c r="G113" s="1724">
        <f t="shared" si="14"/>
        <v>0</v>
      </c>
    </row>
    <row r="114" spans="1:7">
      <c r="A114" s="1585"/>
      <c r="B114" s="1598"/>
      <c r="C114" s="1586"/>
      <c r="D114" s="1775"/>
      <c r="E114" s="1472">
        <f t="shared" ref="E114:E126" si="15">IF(D114&lt;=25000,D114,IF(D114&gt;25000,25000,0))</f>
        <v>0</v>
      </c>
      <c r="F114" s="1867">
        <f t="shared" si="6"/>
        <v>0</v>
      </c>
      <c r="G114" s="1724">
        <f t="shared" ref="G114:G126" si="16">IF(F114=0,0,D114-F114)</f>
        <v>0</v>
      </c>
    </row>
    <row r="115" spans="1:7">
      <c r="A115" s="1585"/>
      <c r="B115" s="1598"/>
      <c r="C115" s="1586"/>
      <c r="D115" s="1775"/>
      <c r="E115" s="1472">
        <f t="shared" si="15"/>
        <v>0</v>
      </c>
      <c r="F115" s="1867">
        <f t="shared" si="6"/>
        <v>0</v>
      </c>
      <c r="G115" s="1724">
        <f t="shared" si="16"/>
        <v>0</v>
      </c>
    </row>
    <row r="116" spans="1:7">
      <c r="A116" s="1585"/>
      <c r="B116" s="1598"/>
      <c r="C116" s="1586"/>
      <c r="D116" s="1775"/>
      <c r="E116" s="1472">
        <f t="shared" si="15"/>
        <v>0</v>
      </c>
      <c r="F116" s="1867">
        <f t="shared" si="6"/>
        <v>0</v>
      </c>
      <c r="G116" s="1724">
        <f t="shared" si="16"/>
        <v>0</v>
      </c>
    </row>
    <row r="117" spans="1:7">
      <c r="A117" s="1585"/>
      <c r="B117" s="1598"/>
      <c r="C117" s="1586"/>
      <c r="D117" s="1775"/>
      <c r="E117" s="1472">
        <f t="shared" si="15"/>
        <v>0</v>
      </c>
      <c r="F117" s="1867">
        <f t="shared" si="6"/>
        <v>0</v>
      </c>
      <c r="G117" s="1724">
        <f t="shared" si="16"/>
        <v>0</v>
      </c>
    </row>
    <row r="118" spans="1:7">
      <c r="A118" s="1585"/>
      <c r="B118" s="1598"/>
      <c r="C118" s="1586"/>
      <c r="D118" s="1775"/>
      <c r="E118" s="1472">
        <f t="shared" si="15"/>
        <v>0</v>
      </c>
      <c r="F118" s="1867">
        <f t="shared" si="6"/>
        <v>0</v>
      </c>
      <c r="G118" s="1724">
        <f t="shared" si="16"/>
        <v>0</v>
      </c>
    </row>
    <row r="119" spans="1:7">
      <c r="A119" s="1585"/>
      <c r="B119" s="1598"/>
      <c r="C119" s="1586"/>
      <c r="D119" s="1775"/>
      <c r="E119" s="1472">
        <f t="shared" si="15"/>
        <v>0</v>
      </c>
      <c r="F119" s="1867">
        <f t="shared" si="6"/>
        <v>0</v>
      </c>
      <c r="G119" s="1724">
        <f t="shared" si="16"/>
        <v>0</v>
      </c>
    </row>
    <row r="120" spans="1:7">
      <c r="A120" s="1585"/>
      <c r="B120" s="1598"/>
      <c r="C120" s="1586"/>
      <c r="D120" s="1775"/>
      <c r="E120" s="1472">
        <f t="shared" si="15"/>
        <v>0</v>
      </c>
      <c r="F120" s="1867">
        <f t="shared" si="6"/>
        <v>0</v>
      </c>
      <c r="G120" s="1724">
        <f t="shared" si="16"/>
        <v>0</v>
      </c>
    </row>
    <row r="121" spans="1:7">
      <c r="A121" s="1585"/>
      <c r="B121" s="1598"/>
      <c r="C121" s="1586"/>
      <c r="D121" s="1775"/>
      <c r="E121" s="1472">
        <f t="shared" si="15"/>
        <v>0</v>
      </c>
      <c r="F121" s="1867">
        <f t="shared" si="6"/>
        <v>0</v>
      </c>
      <c r="G121" s="1724">
        <f t="shared" si="16"/>
        <v>0</v>
      </c>
    </row>
    <row r="122" spans="1:7">
      <c r="A122" s="1585"/>
      <c r="B122" s="1598"/>
      <c r="C122" s="1586"/>
      <c r="D122" s="1775"/>
      <c r="E122" s="1472">
        <f t="shared" si="15"/>
        <v>0</v>
      </c>
      <c r="F122" s="1867">
        <f t="shared" si="6"/>
        <v>0</v>
      </c>
      <c r="G122" s="1724">
        <f t="shared" si="16"/>
        <v>0</v>
      </c>
    </row>
    <row r="123" spans="1:7">
      <c r="A123" s="1585"/>
      <c r="B123" s="1598"/>
      <c r="C123" s="1586"/>
      <c r="D123" s="1775"/>
      <c r="E123" s="1472">
        <f t="shared" si="15"/>
        <v>0</v>
      </c>
      <c r="F123" s="1867">
        <f t="shared" si="6"/>
        <v>0</v>
      </c>
      <c r="G123" s="1724">
        <f t="shared" si="16"/>
        <v>0</v>
      </c>
    </row>
    <row r="124" spans="1:7">
      <c r="A124" s="1585"/>
      <c r="B124" s="1598"/>
      <c r="C124" s="1586"/>
      <c r="D124" s="1775"/>
      <c r="E124" s="1472">
        <f t="shared" si="15"/>
        <v>0</v>
      </c>
      <c r="F124" s="1867">
        <f t="shared" si="6"/>
        <v>0</v>
      </c>
      <c r="G124" s="1724">
        <f t="shared" si="16"/>
        <v>0</v>
      </c>
    </row>
    <row r="125" spans="1:7">
      <c r="A125" s="1585"/>
      <c r="B125" s="1598"/>
      <c r="C125" s="1586"/>
      <c r="D125" s="1775"/>
      <c r="E125" s="1472">
        <f t="shared" si="15"/>
        <v>0</v>
      </c>
      <c r="F125" s="1867">
        <f t="shared" si="6"/>
        <v>0</v>
      </c>
      <c r="G125" s="1724">
        <f t="shared" si="16"/>
        <v>0</v>
      </c>
    </row>
    <row r="126" spans="1:7">
      <c r="A126" s="1585"/>
      <c r="B126" s="1598"/>
      <c r="C126" s="1586"/>
      <c r="D126" s="1775"/>
      <c r="E126" s="1472">
        <f t="shared" si="15"/>
        <v>0</v>
      </c>
      <c r="F126" s="1867">
        <f t="shared" si="6"/>
        <v>0</v>
      </c>
      <c r="G126" s="1724">
        <f t="shared" si="16"/>
        <v>0</v>
      </c>
    </row>
    <row r="127" spans="1:7">
      <c r="A127" s="1585"/>
      <c r="B127" s="1598"/>
      <c r="C127" s="1586"/>
      <c r="D127" s="1775"/>
      <c r="E127" s="1472">
        <f t="shared" ref="E127:E135" si="17">IF(D127&lt;=25000,D127,IF(D127&gt;25000,25000,0))</f>
        <v>0</v>
      </c>
      <c r="F127" s="1867">
        <f t="shared" si="6"/>
        <v>0</v>
      </c>
      <c r="G127" s="1724">
        <f t="shared" ref="G127:G135" si="18">IF(F127=0,0,D127-F127)</f>
        <v>0</v>
      </c>
    </row>
    <row r="128" spans="1:7">
      <c r="A128" s="1585"/>
      <c r="B128" s="1598"/>
      <c r="C128" s="1586"/>
      <c r="D128" s="1775"/>
      <c r="E128" s="1472">
        <f t="shared" si="17"/>
        <v>0</v>
      </c>
      <c r="F128" s="1867">
        <f t="shared" si="6"/>
        <v>0</v>
      </c>
      <c r="G128" s="1724">
        <f t="shared" si="18"/>
        <v>0</v>
      </c>
    </row>
    <row r="129" spans="1:7">
      <c r="A129" s="1585"/>
      <c r="B129" s="1598"/>
      <c r="C129" s="1586"/>
      <c r="D129" s="1775"/>
      <c r="E129" s="1472">
        <f t="shared" si="17"/>
        <v>0</v>
      </c>
      <c r="F129" s="1867">
        <f t="shared" si="6"/>
        <v>0</v>
      </c>
      <c r="G129" s="1724">
        <f t="shared" si="18"/>
        <v>0</v>
      </c>
    </row>
    <row r="130" spans="1:7">
      <c r="A130" s="1585"/>
      <c r="B130" s="1598"/>
      <c r="C130" s="1586"/>
      <c r="D130" s="1775"/>
      <c r="E130" s="1472">
        <f t="shared" si="17"/>
        <v>0</v>
      </c>
      <c r="F130" s="1867">
        <f t="shared" si="6"/>
        <v>0</v>
      </c>
      <c r="G130" s="1724">
        <f t="shared" si="18"/>
        <v>0</v>
      </c>
    </row>
    <row r="131" spans="1:7">
      <c r="A131" s="1585"/>
      <c r="B131" s="1598"/>
      <c r="C131" s="1586"/>
      <c r="D131" s="1775"/>
      <c r="E131" s="1472">
        <f t="shared" si="17"/>
        <v>0</v>
      </c>
      <c r="F131" s="1867">
        <f t="shared" si="6"/>
        <v>0</v>
      </c>
      <c r="G131" s="1724">
        <f t="shared" si="18"/>
        <v>0</v>
      </c>
    </row>
    <row r="132" spans="1:7">
      <c r="A132" s="1585"/>
      <c r="B132" s="1768"/>
      <c r="C132" s="1586"/>
      <c r="D132" s="1775"/>
      <c r="E132" s="1472">
        <f t="shared" si="17"/>
        <v>0</v>
      </c>
      <c r="F132" s="1867">
        <f t="shared" si="6"/>
        <v>0</v>
      </c>
      <c r="G132" s="1724">
        <f t="shared" si="18"/>
        <v>0</v>
      </c>
    </row>
    <row r="133" spans="1:7">
      <c r="A133" s="1585"/>
      <c r="B133" s="1768"/>
      <c r="C133" s="1586"/>
      <c r="D133" s="1775"/>
      <c r="E133" s="1472">
        <f t="shared" si="17"/>
        <v>0</v>
      </c>
      <c r="F133" s="1867">
        <f t="shared" si="6"/>
        <v>0</v>
      </c>
      <c r="G133" s="1724">
        <f t="shared" si="18"/>
        <v>0</v>
      </c>
    </row>
    <row r="134" spans="1:7">
      <c r="A134" s="1585"/>
      <c r="B134" s="1598"/>
      <c r="C134" s="1586"/>
      <c r="D134" s="1775"/>
      <c r="E134" s="1472">
        <f t="shared" si="17"/>
        <v>0</v>
      </c>
      <c r="F134" s="1867">
        <f t="shared" si="6"/>
        <v>0</v>
      </c>
      <c r="G134" s="1724">
        <f t="shared" si="18"/>
        <v>0</v>
      </c>
    </row>
    <row r="135" spans="1:7">
      <c r="A135" s="1585"/>
      <c r="B135" s="1598"/>
      <c r="C135" s="1586"/>
      <c r="D135" s="1775"/>
      <c r="E135" s="1472">
        <f t="shared" si="17"/>
        <v>0</v>
      </c>
      <c r="F135" s="1867">
        <f t="shared" si="6"/>
        <v>0</v>
      </c>
      <c r="G135" s="1724">
        <f t="shared" si="18"/>
        <v>0</v>
      </c>
    </row>
    <row r="136" spans="1:7">
      <c r="A136" s="1585"/>
      <c r="B136" s="1598"/>
      <c r="C136" s="1586"/>
      <c r="D136" s="1775"/>
      <c r="E136" s="1472">
        <f t="shared" ref="E136:E140" si="19">IF(D136&lt;=25000,D136,IF(D136&gt;25000,25000,0))</f>
        <v>0</v>
      </c>
      <c r="F136" s="1867">
        <f t="shared" si="6"/>
        <v>0</v>
      </c>
      <c r="G136" s="1724">
        <f t="shared" ref="G136:G140" si="20">IF(F136=0,0,D136-F136)</f>
        <v>0</v>
      </c>
    </row>
    <row r="137" spans="1:7">
      <c r="A137" s="1585"/>
      <c r="B137" s="1598"/>
      <c r="C137" s="1586"/>
      <c r="D137" s="1775"/>
      <c r="E137" s="1472">
        <f t="shared" si="19"/>
        <v>0</v>
      </c>
      <c r="F137" s="1867">
        <f t="shared" si="6"/>
        <v>0</v>
      </c>
      <c r="G137" s="1724">
        <f t="shared" si="20"/>
        <v>0</v>
      </c>
    </row>
    <row r="138" spans="1:7">
      <c r="A138" s="1585"/>
      <c r="B138" s="1598"/>
      <c r="C138" s="1586"/>
      <c r="D138" s="1775"/>
      <c r="E138" s="1472">
        <f t="shared" si="19"/>
        <v>0</v>
      </c>
      <c r="F138" s="1867">
        <f t="shared" si="6"/>
        <v>0</v>
      </c>
      <c r="G138" s="1724">
        <f t="shared" si="20"/>
        <v>0</v>
      </c>
    </row>
    <row r="139" spans="1:7">
      <c r="A139" s="1585"/>
      <c r="B139" s="1598"/>
      <c r="C139" s="1586"/>
      <c r="D139" s="1775"/>
      <c r="E139" s="1472">
        <f t="shared" si="19"/>
        <v>0</v>
      </c>
      <c r="F139" s="1867">
        <f t="shared" si="6"/>
        <v>0</v>
      </c>
      <c r="G139" s="1724">
        <f t="shared" si="20"/>
        <v>0</v>
      </c>
    </row>
    <row r="140" spans="1:7">
      <c r="A140" s="1585"/>
      <c r="B140" s="1598"/>
      <c r="C140" s="1586"/>
      <c r="D140" s="1775"/>
      <c r="E140" s="1472">
        <f t="shared" si="19"/>
        <v>0</v>
      </c>
      <c r="F140" s="1867">
        <f t="shared" si="6"/>
        <v>0</v>
      </c>
      <c r="G140" s="1724">
        <f t="shared" si="20"/>
        <v>0</v>
      </c>
    </row>
    <row r="141" spans="1:7">
      <c r="A141" s="1585"/>
      <c r="B141" s="1597"/>
      <c r="C141" s="1586"/>
      <c r="D141" s="1775"/>
      <c r="E141" s="1472">
        <f t="shared" si="2"/>
        <v>0</v>
      </c>
      <c r="F141" s="1867">
        <f t="shared" si="6"/>
        <v>0</v>
      </c>
      <c r="G141" s="1724">
        <f t="shared" si="3"/>
        <v>0</v>
      </c>
    </row>
    <row r="142" spans="1:7">
      <c r="A142" s="1727" t="s">
        <v>156</v>
      </c>
      <c r="B142" s="1728"/>
      <c r="C142" s="1729"/>
      <c r="D142" s="1725">
        <f>SUM(D18:D141)</f>
        <v>72864</v>
      </c>
      <c r="E142" s="1473">
        <f t="shared" si="0"/>
        <v>25000</v>
      </c>
      <c r="F142" s="1863">
        <f>SUM(F18:F141)</f>
        <v>50000</v>
      </c>
      <c r="G142" s="1726">
        <f>SUM(G18:G141)</f>
        <v>22864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CCCFF"/>
  </sheetPr>
  <dimension ref="A1:I46"/>
  <sheetViews>
    <sheetView showGridLines="0" defaultGridColor="0" colorId="8" zoomScale="110" zoomScaleNormal="110" workbookViewId="0">
      <selection activeCell="A5" sqref="A5:G5"/>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318" t="s">
        <v>1664</v>
      </c>
      <c r="B5" s="2319"/>
      <c r="C5" s="2319"/>
      <c r="D5" s="2319"/>
      <c r="E5" s="2319"/>
      <c r="F5" s="2319"/>
      <c r="G5" s="2320"/>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23" t="s">
        <v>1947</v>
      </c>
      <c r="B11" s="2324"/>
      <c r="C11" s="2324"/>
      <c r="D11" s="2325"/>
      <c r="E11" s="976">
        <v>79850</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23984475</v>
      </c>
      <c r="F19" s="1730"/>
      <c r="G19" s="1732">
        <f>'Expenditures 15-22'!K33-SUM('Expenditures 15-22'!G33,'Expenditures 15-22'!I33)+'Expenditures 15-22'!D229</f>
        <v>23984475</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3144425</v>
      </c>
      <c r="F21" s="1733"/>
      <c r="G21" s="1736">
        <f>'Expenditures 15-22'!K42-SUM('Expenditures 15-22'!G42,'Expenditures 15-22'!I42)+'Expenditures 15-22'!K120-SUM('Expenditures 15-22'!G120,'Expenditures 15-22'!I120)+'Expenditures 15-22'!K180-SUM('Expenditures 15-22'!G180,'Expenditures 15-22'!I180)+'Expenditures 15-22'!D238</f>
        <v>3144425</v>
      </c>
      <c r="H21" s="986"/>
      <c r="I21" s="161"/>
    </row>
    <row r="22" spans="1:9" s="667" customFormat="1" ht="12" customHeight="1">
      <c r="A22" s="993" t="s">
        <v>564</v>
      </c>
      <c r="B22" s="994"/>
      <c r="C22" s="992">
        <v>2200</v>
      </c>
      <c r="D22" s="1733"/>
      <c r="E22" s="1735">
        <f>'Expenditures 15-22'!K47-SUM('Expenditures 15-22'!G47,'Expenditures 15-22'!I47)+'Expenditures 15-22'!D243</f>
        <v>1822406</v>
      </c>
      <c r="F22" s="1733"/>
      <c r="G22" s="1736">
        <f>'Expenditures 15-22'!K47-SUM('Expenditures 15-22'!G47,'Expenditures 15-22'!I47)+'Expenditures 15-22'!D243</f>
        <v>1822406</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1075210</v>
      </c>
      <c r="F23" s="1733"/>
      <c r="G23" s="1735">
        <f>'Expenditures 15-22'!K53-SUM('Expenditures 15-22'!G53,'Expenditures 15-22'!I53)+'Expenditures 15-22'!D257+'Expenditures 15-22'!K330-SUM('Expenditures 15-22'!G330,'Expenditures 15-22'!I330)</f>
        <v>1075210</v>
      </c>
      <c r="H23" s="986"/>
      <c r="I23" s="161"/>
    </row>
    <row r="24" spans="1:9" s="667" customFormat="1" ht="12" customHeight="1">
      <c r="A24" s="993" t="s">
        <v>566</v>
      </c>
      <c r="B24" s="994"/>
      <c r="C24" s="992">
        <v>2400</v>
      </c>
      <c r="D24" s="1733"/>
      <c r="E24" s="1735">
        <f>'Expenditures 15-22'!K57-SUM('Expenditures 15-22'!G57,'Expenditures 15-22'!I57)+'Expenditures 15-22'!D261</f>
        <v>1729682</v>
      </c>
      <c r="F24" s="1733"/>
      <c r="G24" s="1736">
        <f>'Expenditures 15-22'!K57-SUM('Expenditures 15-22'!G57,'Expenditures 15-22'!I57)+'Expenditures 15-22'!D261</f>
        <v>1729682</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324613</v>
      </c>
      <c r="E26" s="1735">
        <f>'Expenditures 15-22'!K122-SUM('Expenditures 15-22'!G122,'Expenditures 15-22'!I122)+E7</f>
        <v>178925</v>
      </c>
      <c r="F26" s="1735">
        <f>'Expenditures 15-22'!K59-SUM('Expenditures 15-22'!G59,'Expenditures 15-22'!I59)+'Expenditures 15-22'!D263-E7</f>
        <v>324613</v>
      </c>
      <c r="G26" s="1736">
        <f>'Expenditures 15-22'!K122-SUM('Expenditures 15-22'!G122,'Expenditures 15-22'!I122)+E7</f>
        <v>178925</v>
      </c>
      <c r="H26" s="986"/>
      <c r="I26" s="161"/>
    </row>
    <row r="27" spans="1:9" s="667" customFormat="1" ht="12" customHeight="1">
      <c r="A27" s="993" t="s">
        <v>463</v>
      </c>
      <c r="B27" s="996"/>
      <c r="C27" s="992">
        <v>2520</v>
      </c>
      <c r="D27" s="1735">
        <f>'Expenditures 15-22'!K60-SUM('Expenditures 15-22'!G60,'Expenditures 15-22'!I60)+'Expenditures 15-22'!D264-E8</f>
        <v>472014</v>
      </c>
      <c r="E27" s="1735">
        <f>E8</f>
        <v>0</v>
      </c>
      <c r="F27" s="1735">
        <f>'Expenditures 15-22'!K60-SUM('Expenditures 15-22'!G60,'Expenditures 15-22'!I60)+'Expenditures 15-22'!D264-E8</f>
        <v>472014</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3166024</v>
      </c>
      <c r="F28" s="1737">
        <f>'Expenditures 15-22'!K61-SUM('Expenditures 15-22'!G61,'Expenditures 15-22'!I61)+'Expenditures 15-22'!K124-SUM('Expenditures 15-22'!G124,'Expenditures 15-22'!I124)+'Expenditures 15-22'!D266-E9</f>
        <v>3166024</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2071465</v>
      </c>
      <c r="F29" s="1733"/>
      <c r="G29" s="1736">
        <f>'Expenditures 15-22'!K62-SUM('Expenditures 15-22'!G62,'Expenditures 15-22'!I62)+'Expenditures 15-22'!K125-SUM('Expenditures 15-22'!G125,'Expenditures 15-22'!I125)+'Expenditures 15-22'!K182-SUM('Expenditures 15-22'!G182,'Expenditures 15-22'!I182)+'Expenditures 15-22'!D267</f>
        <v>2071465</v>
      </c>
      <c r="H29" s="984"/>
    </row>
    <row r="30" spans="1:9" ht="12" customHeight="1">
      <c r="A30" s="993" t="s">
        <v>100</v>
      </c>
      <c r="B30" s="996"/>
      <c r="C30" s="992">
        <v>2560</v>
      </c>
      <c r="D30" s="1733"/>
      <c r="E30" s="1735">
        <f>'Expenditures 15-22'!K63-SUM('Expenditures 15-22'!G63,'Expenditures 15-22'!I63)+'Expenditures 15-22'!D268-E10</f>
        <v>748088</v>
      </c>
      <c r="F30" s="1733"/>
      <c r="G30" s="1735">
        <f>'Expenditures 15-22'!K63-SUM('Expenditures 15-22'!G63,'Expenditures 15-22'!I63)+'Expenditures 15-22'!D268-E10</f>
        <v>748088</v>
      </c>
    </row>
    <row r="31" spans="1:9" ht="12" customHeight="1">
      <c r="A31" s="993" t="s">
        <v>101</v>
      </c>
      <c r="B31" s="996"/>
      <c r="C31" s="992">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97028</v>
      </c>
      <c r="F35" s="1733"/>
      <c r="G35" s="1735">
        <f>'Expenditures 15-22'!K69-SUM('Expenditures 15-22'!G69,'Expenditures 15-22'!I69)+'Expenditures 15-22'!D274</f>
        <v>97028</v>
      </c>
    </row>
    <row r="36" spans="1:7" ht="12" customHeight="1">
      <c r="A36" s="993" t="s">
        <v>403</v>
      </c>
      <c r="B36" s="996"/>
      <c r="C36" s="992">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93" t="s">
        <v>404</v>
      </c>
      <c r="B37" s="996"/>
      <c r="C37" s="992">
        <v>2660</v>
      </c>
      <c r="D37" s="1735">
        <f>'Expenditures 15-22'!K71-SUM('Expenditures 15-22'!G71,'Expenditures 15-22'!I71)+'Expenditures 15-22'!D276-E14</f>
        <v>10281</v>
      </c>
      <c r="E37" s="1735">
        <f>E14</f>
        <v>0</v>
      </c>
      <c r="F37" s="1735">
        <f>'Expenditures 15-22'!K71-SUM('Expenditures 15-22'!G71,'Expenditures 15-22'!I71)+'Expenditures 15-22'!D276-E14</f>
        <v>10281</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-1305</v>
      </c>
      <c r="F38" s="1733"/>
      <c r="G38" s="1735">
        <f>'Expenditures 15-22'!K73-SUM('Expenditures 15-22'!G73,'Expenditures 15-22'!I73)+'Expenditures 15-22'!K128-SUM('Expenditures 15-22'!G128,'Expenditures 15-22'!I128)+'Expenditures 15-22'!K183-SUM('Expenditures 15-22'!G183,'Expenditures 15-22'!I183)+'Expenditures 15-22'!D278</f>
        <v>-1305</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99587</v>
      </c>
      <c r="F39" s="1733"/>
      <c r="G39" s="1735">
        <f>'Expenditures 15-22'!K75-SUM('Expenditures 15-22'!G75,'Expenditures 15-22'!I75)+'Expenditures 15-22'!K130-SUM('Expenditures 15-22'!G130,'Expenditures 15-22'!I130)+'Expenditures 15-22'!K185-SUM('Expenditures 15-22'!G185,'Expenditures 15-22'!I185)+'Expenditures 15-22'!D280</f>
        <v>99587</v>
      </c>
    </row>
    <row r="40" spans="1:7" ht="12" customHeight="1">
      <c r="A40" s="989" t="s">
        <v>1797</v>
      </c>
      <c r="B40" s="990"/>
      <c r="C40" s="992"/>
      <c r="D40" s="1733"/>
      <c r="E40" s="1737">
        <f>-'Contracts Paid in CY 29'!G142</f>
        <v>-22864</v>
      </c>
      <c r="F40" s="1733"/>
      <c r="G40" s="1737">
        <f>-'Contracts Paid in CY 29'!G142</f>
        <v>-22864</v>
      </c>
    </row>
    <row r="41" spans="1:7" ht="12" customHeight="1">
      <c r="A41" s="997" t="s">
        <v>156</v>
      </c>
      <c r="B41" s="998"/>
      <c r="C41" s="999"/>
      <c r="D41" s="1737">
        <f>SUM(D19:D39)</f>
        <v>806908</v>
      </c>
      <c r="E41" s="1737">
        <f>SUM(E19:E40)</f>
        <v>38093146</v>
      </c>
      <c r="F41" s="1737">
        <f>SUM(F19:F39)</f>
        <v>3972932</v>
      </c>
      <c r="G41" s="1737">
        <f>SUM(G19:G40)</f>
        <v>34927122</v>
      </c>
    </row>
    <row r="42" spans="1:7">
      <c r="A42" s="986"/>
      <c r="B42" s="161"/>
      <c r="C42" s="1000"/>
      <c r="D42" s="2321" t="s">
        <v>522</v>
      </c>
      <c r="E42" s="2322"/>
      <c r="F42" s="1001" t="s">
        <v>523</v>
      </c>
      <c r="G42" s="1002"/>
    </row>
    <row r="43" spans="1:7" ht="12" customHeight="1">
      <c r="A43" s="986"/>
      <c r="B43" s="161"/>
      <c r="C43" s="1000"/>
      <c r="D43" s="1738" t="s">
        <v>473</v>
      </c>
      <c r="E43" s="1739">
        <f>D41</f>
        <v>806908</v>
      </c>
      <c r="F43" s="1738" t="s">
        <v>473</v>
      </c>
      <c r="G43" s="1739">
        <f>F41</f>
        <v>3972932</v>
      </c>
    </row>
    <row r="44" spans="1:7" ht="12" customHeight="1">
      <c r="A44" s="986"/>
      <c r="B44" s="161"/>
      <c r="C44" s="1000"/>
      <c r="D44" s="1738" t="s">
        <v>474</v>
      </c>
      <c r="E44" s="1739">
        <f>E41</f>
        <v>38093146</v>
      </c>
      <c r="F44" s="1738" t="s">
        <v>474</v>
      </c>
      <c r="G44" s="1739">
        <f>G41</f>
        <v>34927122</v>
      </c>
    </row>
    <row r="45" spans="1:7" ht="12" customHeight="1">
      <c r="A45" s="986"/>
      <c r="B45" s="161"/>
      <c r="C45" s="161"/>
      <c r="D45" s="1740" t="s">
        <v>1006</v>
      </c>
      <c r="E45" s="1741">
        <f>(E43/E44)</f>
        <v>2.1182498289849833E-2</v>
      </c>
      <c r="F45" s="1740" t="s">
        <v>1006</v>
      </c>
      <c r="G45" s="1741">
        <f>(G43/G44)</f>
        <v>0.11374919468028313</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19" sqref="A19"/>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29" t="s">
        <v>1370</v>
      </c>
      <c r="B1" s="2329"/>
      <c r="C1" s="2329"/>
      <c r="D1" s="2329"/>
      <c r="E1" s="2329"/>
      <c r="F1" s="2329"/>
    </row>
    <row r="2" spans="1:10">
      <c r="A2" s="1818" t="s">
        <v>1883</v>
      </c>
      <c r="B2" s="1779"/>
      <c r="C2" s="1818"/>
      <c r="D2" s="1779"/>
      <c r="E2" s="1779"/>
      <c r="F2" s="1780"/>
    </row>
    <row r="3" spans="1:10">
      <c r="A3" s="1818" t="s">
        <v>1948</v>
      </c>
      <c r="B3" s="1779"/>
      <c r="C3" s="1818"/>
      <c r="D3" s="1779"/>
      <c r="E3" s="1779"/>
      <c r="F3" s="1780"/>
    </row>
    <row r="4" spans="1:10" ht="3.75" customHeight="1">
      <c r="A4" s="1779"/>
      <c r="B4" s="1779"/>
      <c r="C4" s="1779"/>
      <c r="D4" s="1779"/>
      <c r="E4" s="1779"/>
      <c r="F4" s="1780"/>
    </row>
    <row r="5" spans="1:10" ht="15">
      <c r="A5" s="2330" t="s">
        <v>1537</v>
      </c>
      <c r="B5" s="2331"/>
      <c r="C5" s="2332"/>
      <c r="D5" s="2332"/>
      <c r="E5" s="2332"/>
      <c r="F5" s="2332"/>
    </row>
    <row r="6" spans="1:10" ht="12" customHeight="1">
      <c r="A6" s="1781"/>
      <c r="B6" s="1782"/>
      <c r="C6" s="2333" t="str">
        <f>COVER!A17</f>
        <v>Oak Lawn - Hometown SD 123</v>
      </c>
      <c r="D6" s="2333"/>
      <c r="E6" s="2333"/>
      <c r="F6" s="1783"/>
    </row>
    <row r="7" spans="1:10" ht="11.25" customHeight="1" thickBot="1">
      <c r="A7" s="1781"/>
      <c r="B7" s="1782"/>
      <c r="C7" s="2334">
        <f>COVER!A13</f>
        <v>7016123002</v>
      </c>
      <c r="D7" s="2334"/>
      <c r="E7" s="2334"/>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2036</v>
      </c>
      <c r="D14" s="1796" t="s">
        <v>2036</v>
      </c>
      <c r="E14" s="1799" t="s">
        <v>2162</v>
      </c>
      <c r="F14" s="1798" t="s">
        <v>2165</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t="s">
        <v>2036</v>
      </c>
      <c r="D16" s="1796" t="s">
        <v>2036</v>
      </c>
      <c r="E16" s="1799" t="s">
        <v>2162</v>
      </c>
      <c r="F16" s="1798" t="s">
        <v>2163</v>
      </c>
      <c r="H16" s="1809">
        <f t="shared" si="0"/>
        <v>5</v>
      </c>
      <c r="I16" s="1809">
        <f t="shared" si="1"/>
        <v>5</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2036</v>
      </c>
      <c r="D19" s="1796" t="s">
        <v>2036</v>
      </c>
      <c r="E19" s="1799"/>
      <c r="F19" s="1798" t="s">
        <v>2166</v>
      </c>
      <c r="H19" s="1809">
        <f t="shared" si="0"/>
        <v>5</v>
      </c>
      <c r="I19" s="1809">
        <f t="shared" si="1"/>
        <v>5</v>
      </c>
      <c r="J19" s="1809">
        <f t="shared" si="2"/>
        <v>0</v>
      </c>
    </row>
    <row r="20" spans="1:12" ht="12" customHeight="1">
      <c r="A20" s="1794" t="s">
        <v>1519</v>
      </c>
      <c r="B20" s="1795"/>
      <c r="C20" s="1796" t="s">
        <v>2036</v>
      </c>
      <c r="D20" s="1796" t="s">
        <v>2036</v>
      </c>
      <c r="E20" s="1799"/>
      <c r="F20" s="1798" t="s">
        <v>2164</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t="s">
        <v>2036</v>
      </c>
      <c r="D26" s="1796" t="s">
        <v>2036</v>
      </c>
      <c r="E26" s="1799" t="s">
        <v>2162</v>
      </c>
      <c r="F26" s="1798" t="s">
        <v>2167</v>
      </c>
      <c r="H26" s="1809">
        <f t="shared" si="0"/>
        <v>5</v>
      </c>
      <c r="I26" s="1809">
        <f t="shared" si="1"/>
        <v>5</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t="s">
        <v>2036</v>
      </c>
      <c r="D28" s="1796" t="s">
        <v>2036</v>
      </c>
      <c r="E28" s="1799" t="s">
        <v>2162</v>
      </c>
      <c r="F28" s="1798" t="s">
        <v>2168</v>
      </c>
      <c r="H28" s="1809">
        <f t="shared" si="0"/>
        <v>5</v>
      </c>
      <c r="I28" s="1809">
        <f t="shared" si="1"/>
        <v>5</v>
      </c>
      <c r="J28" s="1809">
        <f t="shared" si="2"/>
        <v>0</v>
      </c>
    </row>
    <row r="29" spans="1:12" ht="12" customHeight="1">
      <c r="A29" s="1794" t="s">
        <v>1528</v>
      </c>
      <c r="B29" s="1795"/>
      <c r="C29" s="1796" t="s">
        <v>2036</v>
      </c>
      <c r="D29" s="1796" t="s">
        <v>2036</v>
      </c>
      <c r="E29" s="1799" t="s">
        <v>2162</v>
      </c>
      <c r="F29" s="1798" t="s">
        <v>2169</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t="s">
        <v>2036</v>
      </c>
      <c r="D32" s="1796" t="s">
        <v>2036</v>
      </c>
      <c r="E32" s="1799" t="s">
        <v>2162</v>
      </c>
      <c r="F32" s="1798" t="s">
        <v>2170</v>
      </c>
      <c r="H32" s="1809">
        <f t="shared" si="0"/>
        <v>5</v>
      </c>
      <c r="I32" s="1809">
        <f t="shared" si="1"/>
        <v>5</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40</v>
      </c>
      <c r="I34" s="1809">
        <f>SUM(I11:I32)</f>
        <v>40</v>
      </c>
      <c r="J34" s="1809">
        <f>SUM(J11:J32)</f>
        <v>0</v>
      </c>
      <c r="K34" s="1809">
        <f>SUM(H34:J34)</f>
        <v>80</v>
      </c>
    </row>
    <row r="35" spans="1:11" ht="12" customHeight="1">
      <c r="A35" s="1802" t="s">
        <v>1383</v>
      </c>
      <c r="B35" s="1803"/>
      <c r="C35" s="2335"/>
      <c r="D35" s="2335"/>
      <c r="E35" s="2335"/>
      <c r="F35" s="2336"/>
    </row>
    <row r="36" spans="1:11" ht="12" customHeight="1">
      <c r="A36" s="2326"/>
      <c r="B36" s="2327"/>
      <c r="C36" s="2327"/>
      <c r="D36" s="2327"/>
      <c r="E36" s="2327"/>
      <c r="F36" s="2328"/>
    </row>
    <row r="37" spans="1:11" ht="12" customHeight="1">
      <c r="A37" s="2326"/>
      <c r="B37" s="2327"/>
      <c r="C37" s="2327"/>
      <c r="D37" s="2327"/>
      <c r="E37" s="2327"/>
      <c r="F37" s="2328"/>
    </row>
    <row r="38" spans="1:11" ht="12" customHeight="1">
      <c r="A38" s="2340"/>
      <c r="B38" s="2341"/>
      <c r="C38" s="2341"/>
      <c r="D38" s="2341"/>
      <c r="E38" s="2341"/>
      <c r="F38" s="2342"/>
    </row>
    <row r="39" spans="1:11" ht="4.5" hidden="1" customHeight="1">
      <c r="A39" s="1804"/>
      <c r="B39" s="1804"/>
      <c r="C39" s="1804"/>
      <c r="D39" s="1804"/>
      <c r="E39" s="1804"/>
      <c r="F39" s="1804"/>
    </row>
    <row r="40" spans="1:11" s="1801" customFormat="1" ht="12" customHeight="1">
      <c r="A40" s="1805" t="s">
        <v>1382</v>
      </c>
      <c r="B40" s="1806"/>
      <c r="C40" s="2343"/>
      <c r="D40" s="2343"/>
      <c r="E40" s="2343"/>
      <c r="F40" s="2344"/>
      <c r="H40" s="1810"/>
      <c r="I40" s="1810"/>
      <c r="J40" s="1810"/>
      <c r="K40" s="1810"/>
    </row>
    <row r="41" spans="1:11" s="1801" customFormat="1" ht="12" customHeight="1">
      <c r="A41" s="2345"/>
      <c r="B41" s="2346"/>
      <c r="C41" s="2346"/>
      <c r="D41" s="2346"/>
      <c r="E41" s="2346"/>
      <c r="F41" s="2347"/>
      <c r="H41" s="1810"/>
      <c r="I41" s="1810"/>
      <c r="J41" s="1810"/>
      <c r="K41" s="1810"/>
    </row>
    <row r="42" spans="1:11" s="1801" customFormat="1" ht="12" customHeight="1">
      <c r="A42" s="2345"/>
      <c r="B42" s="2346"/>
      <c r="C42" s="2346"/>
      <c r="D42" s="2346"/>
      <c r="E42" s="2346"/>
      <c r="F42" s="2347"/>
      <c r="H42" s="1810"/>
      <c r="I42" s="1810"/>
      <c r="J42" s="1810"/>
      <c r="K42" s="1810"/>
    </row>
    <row r="43" spans="1:11" s="1801" customFormat="1" ht="15">
      <c r="A43" s="2337"/>
      <c r="B43" s="2338"/>
      <c r="C43" s="2338"/>
      <c r="D43" s="2338"/>
      <c r="E43" s="2338"/>
      <c r="F43" s="2339"/>
      <c r="H43" s="1810"/>
      <c r="I43" s="1810"/>
      <c r="J43" s="1810"/>
      <c r="K43" s="1810"/>
    </row>
    <row r="44" spans="1:11" s="1801" customFormat="1" ht="12" hidden="1" customHeight="1">
      <c r="A44" s="2337"/>
      <c r="B44" s="2338"/>
      <c r="C44" s="2338"/>
      <c r="D44" s="2338"/>
      <c r="E44" s="2338"/>
      <c r="F44" s="2339"/>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C1" colorId="8" zoomScale="110" zoomScaleNormal="110" workbookViewId="0">
      <selection activeCell="G21" sqref="G21"/>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53" t="str">
        <f>COVER!A17</f>
        <v>Oak Lawn - Hometown SD 123</v>
      </c>
      <c r="J6" s="2354"/>
      <c r="Q6" s="1596"/>
    </row>
    <row r="7" spans="1:17">
      <c r="A7" s="2355" t="s">
        <v>869</v>
      </c>
      <c r="B7" s="2356"/>
      <c r="C7" s="2356"/>
      <c r="D7" s="2356"/>
      <c r="E7" s="2357"/>
      <c r="F7" s="1016"/>
      <c r="G7" s="1008"/>
      <c r="H7" s="1015" t="s">
        <v>372</v>
      </c>
      <c r="I7" s="2358">
        <f>COVER!A13</f>
        <v>7016123002</v>
      </c>
      <c r="J7" s="2358"/>
    </row>
    <row r="8" spans="1:17" ht="8.25" customHeight="1">
      <c r="A8" s="1576"/>
      <c r="B8" s="1577"/>
      <c r="C8" s="1577"/>
      <c r="D8" s="1577"/>
      <c r="E8" s="1578"/>
      <c r="F8" s="1017"/>
      <c r="G8" s="1018"/>
      <c r="H8" s="1018"/>
      <c r="I8" s="1018"/>
      <c r="J8" s="1018"/>
    </row>
    <row r="9" spans="1:17" ht="13.5" customHeight="1">
      <c r="A9" s="1019"/>
      <c r="B9" s="1020"/>
      <c r="C9" s="1020"/>
      <c r="D9" s="1021"/>
      <c r="E9" s="1826" t="s">
        <v>1949</v>
      </c>
      <c r="F9" s="1022"/>
      <c r="G9" s="1022"/>
      <c r="H9" s="1827" t="s">
        <v>1950</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59" t="s">
        <v>481</v>
      </c>
      <c r="B11" s="2360"/>
      <c r="C11" s="2361"/>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421260</v>
      </c>
      <c r="F12" s="1038"/>
      <c r="G12" s="1742">
        <f t="shared" ref="G12:G18" si="0">SUM(E12:F12)</f>
        <v>421260</v>
      </c>
      <c r="H12" s="1039">
        <v>417800</v>
      </c>
      <c r="I12" s="1038"/>
      <c r="J12" s="1742">
        <f t="shared" ref="J12:J18" si="1">SUM(H12:I12)</f>
        <v>417800</v>
      </c>
    </row>
    <row r="13" spans="1:17" ht="15" customHeight="1">
      <c r="A13" s="1034">
        <v>2</v>
      </c>
      <c r="B13" s="1035" t="s">
        <v>42</v>
      </c>
      <c r="C13" s="1036"/>
      <c r="D13" s="1037">
        <v>2330</v>
      </c>
      <c r="E13" s="1742">
        <f>'Expenditures 15-22'!K51</f>
        <v>105284</v>
      </c>
      <c r="F13" s="1038"/>
      <c r="G13" s="1742">
        <f t="shared" si="0"/>
        <v>105284</v>
      </c>
      <c r="H13" s="1039">
        <v>113500</v>
      </c>
      <c r="I13" s="1038"/>
      <c r="J13" s="1742">
        <f t="shared" si="1"/>
        <v>113500</v>
      </c>
    </row>
    <row r="14" spans="1:17" ht="15" customHeight="1">
      <c r="A14" s="1034">
        <v>3</v>
      </c>
      <c r="B14" s="1035" t="s">
        <v>43</v>
      </c>
      <c r="C14" s="1036"/>
      <c r="D14" s="1040">
        <v>2490</v>
      </c>
      <c r="E14" s="1742">
        <f>'Expenditures 15-22'!K56</f>
        <v>0</v>
      </c>
      <c r="F14" s="1038"/>
      <c r="G14" s="1742">
        <f t="shared" si="0"/>
        <v>0</v>
      </c>
      <c r="H14" s="1039">
        <v>0</v>
      </c>
      <c r="I14" s="1038"/>
      <c r="J14" s="1742">
        <f t="shared" si="1"/>
        <v>0</v>
      </c>
    </row>
    <row r="15" spans="1:17" ht="15" customHeight="1">
      <c r="A15" s="1034">
        <v>4</v>
      </c>
      <c r="B15" s="1035" t="s">
        <v>1068</v>
      </c>
      <c r="C15" s="1036"/>
      <c r="D15" s="1037">
        <v>2510</v>
      </c>
      <c r="E15" s="1742">
        <f>'Expenditures 15-22'!K59</f>
        <v>276915</v>
      </c>
      <c r="F15" s="1742">
        <f>'Expenditures 15-22'!K122</f>
        <v>178925</v>
      </c>
      <c r="G15" s="1742">
        <f t="shared" si="0"/>
        <v>455840</v>
      </c>
      <c r="H15" s="1039">
        <v>387000</v>
      </c>
      <c r="I15" s="1039">
        <v>108000</v>
      </c>
      <c r="J15" s="1742">
        <f t="shared" si="1"/>
        <v>495000</v>
      </c>
    </row>
    <row r="16" spans="1:17" ht="15" customHeight="1">
      <c r="A16" s="1034">
        <v>5</v>
      </c>
      <c r="B16" s="1035" t="s">
        <v>101</v>
      </c>
      <c r="C16" s="1036"/>
      <c r="D16" s="1037">
        <v>2570</v>
      </c>
      <c r="E16" s="1742">
        <f>'Expenditures 15-22'!K64</f>
        <v>0</v>
      </c>
      <c r="F16" s="1038"/>
      <c r="G16" s="1742">
        <f t="shared" si="0"/>
        <v>0</v>
      </c>
      <c r="H16" s="1039">
        <v>0</v>
      </c>
      <c r="I16" s="1038"/>
      <c r="J16" s="1742">
        <f t="shared" si="1"/>
        <v>0</v>
      </c>
    </row>
    <row r="17" spans="1:10" ht="15" customHeight="1">
      <c r="A17" s="1034">
        <v>6</v>
      </c>
      <c r="B17" s="1035" t="s">
        <v>1060</v>
      </c>
      <c r="C17" s="1036"/>
      <c r="D17" s="1037">
        <v>2610</v>
      </c>
      <c r="E17" s="1742">
        <f>'Expenditures 15-22'!K67</f>
        <v>0</v>
      </c>
      <c r="F17" s="1038"/>
      <c r="G17" s="1742">
        <f t="shared" si="0"/>
        <v>0</v>
      </c>
      <c r="H17" s="1039">
        <v>0</v>
      </c>
      <c r="I17" s="1038"/>
      <c r="J17" s="1742">
        <f t="shared" si="1"/>
        <v>0</v>
      </c>
    </row>
    <row r="18" spans="1:10" ht="22.5" customHeight="1">
      <c r="A18" s="1041">
        <v>7</v>
      </c>
      <c r="B18" s="2362" t="s">
        <v>7</v>
      </c>
      <c r="C18" s="2363"/>
      <c r="D18" s="2364"/>
      <c r="E18" s="1042"/>
      <c r="F18" s="1042"/>
      <c r="G18" s="1743">
        <f t="shared" si="0"/>
        <v>0</v>
      </c>
      <c r="H18" s="1039">
        <v>0</v>
      </c>
      <c r="I18" s="1039">
        <v>0</v>
      </c>
      <c r="J18" s="1742">
        <f t="shared" si="1"/>
        <v>0</v>
      </c>
    </row>
    <row r="19" spans="1:10" ht="12.75" customHeight="1" thickBot="1">
      <c r="A19" s="1034">
        <v>8</v>
      </c>
      <c r="B19" s="1043" t="s">
        <v>1161</v>
      </c>
      <c r="D19" s="1044"/>
      <c r="E19" s="1744">
        <f t="shared" ref="E19:J19" si="2">SUM(E12:E17)-E18</f>
        <v>803459</v>
      </c>
      <c r="F19" s="1744">
        <f t="shared" si="2"/>
        <v>178925</v>
      </c>
      <c r="G19" s="1744">
        <f t="shared" si="2"/>
        <v>982384</v>
      </c>
      <c r="H19" s="1744">
        <f t="shared" si="2"/>
        <v>918300</v>
      </c>
      <c r="I19" s="1744">
        <f t="shared" si="2"/>
        <v>108000</v>
      </c>
      <c r="J19" s="1744">
        <f t="shared" si="2"/>
        <v>1026300</v>
      </c>
    </row>
    <row r="20" spans="1:10" ht="13.5" thickTop="1">
      <c r="A20" s="1034">
        <v>9</v>
      </c>
      <c r="B20" s="2365" t="s">
        <v>1951</v>
      </c>
      <c r="C20" s="2365"/>
      <c r="D20" s="2366"/>
      <c r="E20" s="1045"/>
      <c r="F20" s="1045"/>
      <c r="G20" s="1045"/>
      <c r="H20" s="1045"/>
      <c r="I20" s="1045"/>
      <c r="J20" s="1745">
        <f>IF(AND(G19&gt;0,J19&gt;0),(((J19-G19)/G19)),"Enter Budget Data")</f>
        <v>4.4703496799622142E-2</v>
      </c>
    </row>
    <row r="21" spans="1:10" ht="9" customHeight="1">
      <c r="B21" s="1046"/>
    </row>
    <row r="22" spans="1:10">
      <c r="A22" s="1047" t="s">
        <v>133</v>
      </c>
      <c r="B22" s="1046"/>
    </row>
    <row r="23" spans="1:10">
      <c r="A23" s="1010" t="s">
        <v>1952</v>
      </c>
      <c r="B23" s="1046"/>
    </row>
    <row r="24" spans="1:10">
      <c r="A24" s="1010" t="s">
        <v>1964</v>
      </c>
      <c r="B24" s="1046"/>
    </row>
    <row r="25" spans="1:10">
      <c r="A25" s="1048"/>
      <c r="B25" s="1046"/>
    </row>
    <row r="26" spans="1:10" ht="20.100000000000001" customHeight="1">
      <c r="B26" s="1046"/>
      <c r="C26" s="2371"/>
      <c r="D26" s="2371"/>
      <c r="E26" s="1049"/>
      <c r="F26" s="2370"/>
      <c r="G26" s="2370"/>
    </row>
    <row r="27" spans="1:10">
      <c r="B27" s="1046"/>
      <c r="C27" s="1050" t="s">
        <v>1033</v>
      </c>
      <c r="D27" s="1051"/>
      <c r="E27" s="1052"/>
      <c r="F27" s="2367" t="s">
        <v>1500</v>
      </c>
      <c r="G27" s="2367"/>
    </row>
    <row r="28" spans="1:10" ht="28.5" customHeight="1">
      <c r="B28" s="1046"/>
      <c r="C28" s="2369"/>
      <c r="D28" s="2369"/>
      <c r="E28" s="1053"/>
      <c r="F28" s="2369"/>
      <c r="G28" s="2369"/>
    </row>
    <row r="29" spans="1:10">
      <c r="B29" s="1046"/>
      <c r="C29" s="1054" t="s">
        <v>1552</v>
      </c>
      <c r="E29" s="1055"/>
      <c r="F29" s="2368" t="s">
        <v>1501</v>
      </c>
      <c r="G29" s="2368"/>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50" t="s">
        <v>132</v>
      </c>
      <c r="D33" s="2351"/>
      <c r="E33" s="2351"/>
      <c r="F33" s="2351"/>
      <c r="G33" s="2351"/>
      <c r="H33" s="2351"/>
      <c r="I33" s="2351"/>
    </row>
    <row r="34" spans="1:10" ht="10.35" customHeight="1">
      <c r="C34" s="2351"/>
      <c r="D34" s="2351"/>
      <c r="E34" s="2351"/>
      <c r="F34" s="2351"/>
      <c r="G34" s="2351"/>
      <c r="H34" s="2351"/>
      <c r="I34" s="2351"/>
    </row>
    <row r="35" spans="1:10" ht="7.5" customHeight="1">
      <c r="C35" s="1061"/>
    </row>
    <row r="36" spans="1:10" ht="13.5" customHeight="1">
      <c r="B36" s="1060"/>
      <c r="C36" s="2352" t="s">
        <v>1953</v>
      </c>
      <c r="D36" s="2351"/>
      <c r="E36" s="2351"/>
      <c r="F36" s="2351"/>
      <c r="G36" s="2351"/>
      <c r="H36" s="2351"/>
      <c r="I36" s="2351"/>
      <c r="J36" s="1062"/>
    </row>
    <row r="37" spans="1:10" ht="22.5" customHeight="1">
      <c r="C37" s="2351"/>
      <c r="D37" s="2351"/>
      <c r="E37" s="2351"/>
      <c r="F37" s="2351"/>
      <c r="G37" s="2351"/>
      <c r="H37" s="2351"/>
      <c r="I37" s="2351"/>
      <c r="J37" s="1062"/>
    </row>
    <row r="38" spans="1:10" ht="7.5" customHeight="1">
      <c r="C38" s="1061"/>
      <c r="D38" s="1063"/>
      <c r="E38" s="1064"/>
      <c r="F38" s="1065"/>
      <c r="G38" s="1064"/>
    </row>
    <row r="39" spans="1:10" ht="13.5" customHeight="1">
      <c r="B39" s="1060"/>
      <c r="C39" s="2348" t="s">
        <v>882</v>
      </c>
      <c r="D39" s="2349"/>
      <c r="E39" s="2349"/>
      <c r="F39" s="2349"/>
      <c r="G39" s="2349"/>
      <c r="H39" s="2349"/>
      <c r="I39" s="2349"/>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Oak Lawn - Hometown SD 123</v>
      </c>
    </row>
    <row r="65" spans="2:2">
      <c r="B65" s="1069">
        <f>COVER!A13</f>
        <v>7016123002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G58" sqref="G58"/>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1830</v>
      </c>
      <c r="C4" s="161" t="s">
        <v>1169</v>
      </c>
      <c r="D4" s="168" t="s">
        <v>10</v>
      </c>
      <c r="E4" s="169" t="s">
        <v>22</v>
      </c>
    </row>
    <row r="5" spans="1:5">
      <c r="A5" s="167" t="s">
        <v>1832</v>
      </c>
      <c r="C5" s="161" t="s">
        <v>1169</v>
      </c>
      <c r="D5" s="168" t="s">
        <v>10</v>
      </c>
      <c r="E5" s="169" t="s">
        <v>22</v>
      </c>
    </row>
    <row r="6" spans="1:5">
      <c r="A6" s="167" t="s">
        <v>1831</v>
      </c>
      <c r="C6" s="161" t="s">
        <v>1169</v>
      </c>
      <c r="D6" s="166" t="s">
        <v>11</v>
      </c>
      <c r="E6" s="169" t="s">
        <v>941</v>
      </c>
    </row>
    <row r="7" spans="1:5">
      <c r="A7" s="167" t="s">
        <v>1833</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1834</v>
      </c>
      <c r="C11" s="161" t="s">
        <v>1169</v>
      </c>
      <c r="D11" s="168" t="s">
        <v>14</v>
      </c>
      <c r="E11" s="169" t="s">
        <v>1156</v>
      </c>
    </row>
    <row r="12" spans="1:5">
      <c r="B12" s="168" t="s">
        <v>1835</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1836</v>
      </c>
      <c r="C15" s="161" t="s">
        <v>1169</v>
      </c>
      <c r="D15" s="168" t="s">
        <v>17</v>
      </c>
      <c r="E15" s="169" t="s">
        <v>636</v>
      </c>
    </row>
    <row r="16" spans="1:5">
      <c r="A16" s="171"/>
      <c r="B16" s="161" t="s">
        <v>1837</v>
      </c>
      <c r="C16" s="161" t="s">
        <v>1169</v>
      </c>
      <c r="D16" s="168" t="s">
        <v>681</v>
      </c>
      <c r="E16" s="169" t="s">
        <v>1040</v>
      </c>
    </row>
    <row r="17" spans="1:5">
      <c r="B17" s="166" t="s">
        <v>988</v>
      </c>
      <c r="C17" s="161" t="s">
        <v>1169</v>
      </c>
    </row>
    <row r="18" spans="1:5">
      <c r="B18" s="166" t="s">
        <v>1843</v>
      </c>
      <c r="D18" s="168" t="s">
        <v>18</v>
      </c>
      <c r="E18" s="169" t="s">
        <v>1041</v>
      </c>
    </row>
    <row r="19" spans="1:5">
      <c r="A19" s="167" t="s">
        <v>1099</v>
      </c>
      <c r="C19" s="161" t="s">
        <v>1169</v>
      </c>
      <c r="D19" s="168"/>
      <c r="E19" s="170"/>
    </row>
    <row r="20" spans="1:5">
      <c r="B20" s="166" t="s">
        <v>1838</v>
      </c>
      <c r="C20" s="161" t="s">
        <v>1169</v>
      </c>
      <c r="D20" s="168" t="s">
        <v>19</v>
      </c>
      <c r="E20" s="169" t="s">
        <v>51</v>
      </c>
    </row>
    <row r="21" spans="1:5">
      <c r="B21" s="166" t="s">
        <v>1839</v>
      </c>
      <c r="C21" s="161" t="s">
        <v>1169</v>
      </c>
      <c r="D21" s="168" t="s">
        <v>20</v>
      </c>
      <c r="E21" s="169" t="s">
        <v>1595</v>
      </c>
    </row>
    <row r="22" spans="1:5">
      <c r="A22" s="167"/>
      <c r="B22" s="161" t="s">
        <v>1827</v>
      </c>
      <c r="C22" s="161" t="s">
        <v>1169</v>
      </c>
      <c r="D22" s="166" t="s">
        <v>1829</v>
      </c>
      <c r="E22" s="1767" t="s">
        <v>1596</v>
      </c>
    </row>
    <row r="23" spans="1:5">
      <c r="A23" s="167"/>
      <c r="B23" s="161" t="s">
        <v>1828</v>
      </c>
      <c r="D23" s="166" t="s">
        <v>637</v>
      </c>
      <c r="E23" s="1767" t="s">
        <v>959</v>
      </c>
    </row>
    <row r="24" spans="1:5">
      <c r="A24" s="167" t="s">
        <v>1594</v>
      </c>
      <c r="C24" s="161" t="s">
        <v>1169</v>
      </c>
      <c r="D24" s="166" t="s">
        <v>1384</v>
      </c>
      <c r="E24" s="169" t="s">
        <v>960</v>
      </c>
    </row>
    <row r="25" spans="1:5">
      <c r="A25" s="167" t="s">
        <v>1840</v>
      </c>
      <c r="C25" s="161" t="s">
        <v>1169</v>
      </c>
      <c r="D25" s="168" t="s">
        <v>21</v>
      </c>
      <c r="E25" s="169" t="s">
        <v>1042</v>
      </c>
    </row>
    <row r="26" spans="1:5">
      <c r="A26" s="167" t="s">
        <v>1841</v>
      </c>
      <c r="C26" s="161" t="s">
        <v>1169</v>
      </c>
      <c r="D26" s="168" t="s">
        <v>563</v>
      </c>
      <c r="E26" s="169" t="s">
        <v>1043</v>
      </c>
    </row>
    <row r="27" spans="1:5">
      <c r="A27" s="167" t="s">
        <v>1842</v>
      </c>
      <c r="C27" s="161" t="s">
        <v>1169</v>
      </c>
      <c r="D27" s="168" t="s">
        <v>557</v>
      </c>
      <c r="E27" s="169" t="s">
        <v>683</v>
      </c>
    </row>
    <row r="28" spans="1:5">
      <c r="A28" s="167" t="s">
        <v>1844</v>
      </c>
      <c r="D28" s="168" t="s">
        <v>684</v>
      </c>
      <c r="E28" s="169" t="s">
        <v>1357</v>
      </c>
    </row>
    <row r="29" spans="1:5">
      <c r="A29" s="167" t="s">
        <v>1845</v>
      </c>
      <c r="D29" s="168" t="s">
        <v>1385</v>
      </c>
      <c r="E29" s="169" t="s">
        <v>1366</v>
      </c>
    </row>
    <row r="30" spans="1:5">
      <c r="A30" s="172" t="s">
        <v>1846</v>
      </c>
      <c r="C30" s="161" t="s">
        <v>1169</v>
      </c>
      <c r="D30" s="168" t="s">
        <v>40</v>
      </c>
      <c r="E30" s="169" t="s">
        <v>982</v>
      </c>
    </row>
    <row r="31" spans="1:5">
      <c r="A31" s="167" t="s">
        <v>1512</v>
      </c>
      <c r="C31" s="161" t="s">
        <v>1169</v>
      </c>
      <c r="D31" s="166"/>
      <c r="E31" s="170"/>
    </row>
    <row r="32" spans="1:5">
      <c r="B32" s="166" t="s">
        <v>1847</v>
      </c>
      <c r="C32" s="161" t="s">
        <v>1169</v>
      </c>
      <c r="D32" s="168" t="s">
        <v>1513</v>
      </c>
      <c r="E32" s="169" t="s">
        <v>1386</v>
      </c>
    </row>
    <row r="33" spans="1:5">
      <c r="A33" s="171"/>
      <c r="D33" s="168"/>
      <c r="E33" s="170"/>
    </row>
    <row r="34" spans="1:5">
      <c r="A34" s="171"/>
      <c r="D34" s="168"/>
      <c r="E34" s="170"/>
    </row>
    <row r="35" spans="1:5" ht="15.75" customHeight="1" thickBot="1">
      <c r="A35" s="2089" t="s">
        <v>1065</v>
      </c>
      <c r="B35" s="2089"/>
      <c r="C35" s="2089"/>
      <c r="D35" s="2089"/>
      <c r="E35" s="2089"/>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86" t="s">
        <v>691</v>
      </c>
      <c r="B40" s="2086"/>
      <c r="C40" s="2086"/>
      <c r="D40" s="2086"/>
      <c r="E40" s="2086"/>
    </row>
    <row r="41" spans="1:5">
      <c r="A41" s="2087" t="s">
        <v>1593</v>
      </c>
      <c r="B41" s="2087"/>
      <c r="C41" s="2087"/>
      <c r="D41" s="2087"/>
      <c r="E41" s="2087"/>
    </row>
    <row r="42" spans="1:5" ht="12.75" customHeight="1">
      <c r="A42" s="2088" t="s">
        <v>1022</v>
      </c>
      <c r="B42" s="2088"/>
      <c r="C42" s="2088"/>
      <c r="D42" s="2088"/>
      <c r="E42" s="2088"/>
    </row>
    <row r="43" spans="1:5" ht="6.75" customHeight="1">
      <c r="A43" s="166"/>
      <c r="B43" s="175"/>
    </row>
    <row r="44" spans="1:5">
      <c r="A44" s="184" t="s">
        <v>983</v>
      </c>
      <c r="B44" s="185" t="s">
        <v>1873</v>
      </c>
    </row>
    <row r="45" spans="1:5" ht="6.75" customHeight="1">
      <c r="A45" s="186"/>
      <c r="B45" s="185"/>
    </row>
    <row r="46" spans="1:5">
      <c r="A46" s="184" t="s">
        <v>984</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J8" sqref="J8"/>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CCCCFF"/>
  </sheetPr>
  <dimension ref="A11:F18"/>
  <sheetViews>
    <sheetView showGridLines="0" zoomScale="110" zoomScaleNormal="110" workbookViewId="0">
      <selection activeCell="B26" sqref="B26"/>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1669</v>
      </c>
    </row>
    <row r="17" spans="1:2" ht="6" customHeight="1"/>
    <row r="18" spans="1:2" ht="24.75" customHeight="1">
      <c r="A18" s="2372" t="s">
        <v>1670</v>
      </c>
      <c r="B18" s="237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r:id="rId5">
            <anchor moveWithCells="1">
              <from>
                <xdr:col>1</xdr:col>
                <xdr:colOff>0</xdr:colOff>
                <xdr:row>4</xdr:row>
                <xdr:rowOff>0</xdr:rowOff>
              </from>
              <to>
                <xdr:col>1</xdr:col>
                <xdr:colOff>914400</xdr:colOff>
                <xdr:row>8</xdr:row>
                <xdr:rowOff>142875</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1257300</xdr:colOff>
                <xdr:row>4</xdr:row>
                <xdr:rowOff>9525</xdr:rowOff>
              </from>
              <to>
                <xdr:col>1</xdr:col>
                <xdr:colOff>2171700</xdr:colOff>
                <xdr:row>8</xdr:row>
                <xdr:rowOff>133350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3" zoomScale="110" zoomScaleNormal="110" workbookViewId="0">
      <selection activeCell="A13" sqref="A13"/>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73" t="s">
        <v>1675</v>
      </c>
      <c r="B1" s="2374"/>
      <c r="C1" s="2374"/>
      <c r="D1" s="2374"/>
      <c r="E1" s="2374"/>
      <c r="F1" s="2375"/>
    </row>
    <row r="2" spans="1:8" ht="45" customHeight="1">
      <c r="A2" s="2383" t="s">
        <v>1957</v>
      </c>
      <c r="B2" s="2384"/>
      <c r="C2" s="2384"/>
      <c r="D2" s="2384"/>
      <c r="E2" s="2384"/>
      <c r="F2" s="2385"/>
      <c r="G2" s="1073"/>
      <c r="H2" s="1073"/>
    </row>
    <row r="3" spans="1:8" ht="57" customHeight="1">
      <c r="A3" s="2386" t="s">
        <v>1671</v>
      </c>
      <c r="B3" s="2387"/>
      <c r="C3" s="2387"/>
      <c r="D3" s="2387"/>
      <c r="E3" s="2387"/>
      <c r="F3" s="2388"/>
      <c r="G3" s="1073"/>
      <c r="H3" s="1073"/>
    </row>
    <row r="4" spans="1:8" ht="14.25" customHeight="1">
      <c r="A4" s="2392" t="s">
        <v>1958</v>
      </c>
      <c r="B4" s="2393"/>
      <c r="C4" s="2393"/>
      <c r="D4" s="2393"/>
      <c r="E4" s="2393"/>
      <c r="F4" s="2394"/>
      <c r="G4" s="1073"/>
      <c r="H4" s="1073"/>
    </row>
    <row r="5" spans="1:8" ht="14.25" customHeight="1">
      <c r="A5" s="2395" t="s">
        <v>1954</v>
      </c>
      <c r="B5" s="2396"/>
      <c r="C5" s="2396"/>
      <c r="D5" s="2396"/>
      <c r="E5" s="2396"/>
      <c r="F5" s="2397"/>
      <c r="G5" s="1073"/>
      <c r="H5" s="1073"/>
    </row>
    <row r="6" spans="1:8" s="1074" customFormat="1" ht="41.25" customHeight="1">
      <c r="A6" s="2389" t="s">
        <v>1676</v>
      </c>
      <c r="B6" s="2390"/>
      <c r="C6" s="2390"/>
      <c r="D6" s="2390"/>
      <c r="E6" s="2390"/>
      <c r="F6" s="2391"/>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36960898</v>
      </c>
      <c r="C8" s="1746">
        <f>'Acct Summary 7-8'!D8</f>
        <v>2176474</v>
      </c>
      <c r="D8" s="1746">
        <f>'Acct Summary 7-8'!F8</f>
        <v>1412168</v>
      </c>
      <c r="E8" s="1746">
        <f>'Acct Summary 7-8'!I8</f>
        <v>350136</v>
      </c>
      <c r="F8" s="1746">
        <f>SUM(B8:E8)</f>
        <v>40899676</v>
      </c>
    </row>
    <row r="9" spans="1:8" s="1078" customFormat="1" ht="14.25" customHeight="1" thickBot="1">
      <c r="A9" s="1077" t="s">
        <v>1360</v>
      </c>
      <c r="B9" s="1747">
        <f>'Acct Summary 7-8'!C17</f>
        <v>34431799</v>
      </c>
      <c r="C9" s="1747">
        <f>'Acct Summary 7-8'!D17</f>
        <v>3316227</v>
      </c>
      <c r="D9" s="1747">
        <f>'Acct Summary 7-8'!F17</f>
        <v>2061221</v>
      </c>
      <c r="E9" s="1746"/>
      <c r="F9" s="1746">
        <f>SUM(B9:E9)</f>
        <v>39809247</v>
      </c>
    </row>
    <row r="10" spans="1:8" s="1078" customFormat="1" ht="14.25" thickTop="1" thickBot="1">
      <c r="A10" s="1079" t="s">
        <v>1361</v>
      </c>
      <c r="B10" s="1748">
        <f>(B8-B9)</f>
        <v>2529099</v>
      </c>
      <c r="C10" s="1748">
        <f>(C8-C9)</f>
        <v>-1139753</v>
      </c>
      <c r="D10" s="1748">
        <f>(D8-D9)</f>
        <v>-649053</v>
      </c>
      <c r="E10" s="1747">
        <f>(E8-E9)</f>
        <v>350136</v>
      </c>
      <c r="F10" s="1749">
        <f>SUM(F8-F9)</f>
        <v>1090429</v>
      </c>
    </row>
    <row r="11" spans="1:8" s="1078" customFormat="1" ht="14.25" thickTop="1" thickBot="1">
      <c r="A11" s="1080" t="s">
        <v>1955</v>
      </c>
      <c r="B11" s="1750">
        <f>'Acct Summary 7-8'!C81</f>
        <v>1880955</v>
      </c>
      <c r="C11" s="1750">
        <f>'Acct Summary 7-8'!D81</f>
        <v>717355</v>
      </c>
      <c r="D11" s="1750">
        <f>'Acct Summary 7-8'!F81</f>
        <v>2507928</v>
      </c>
      <c r="E11" s="1750">
        <f>'Acct Summary 7-8'!I81</f>
        <v>10301344</v>
      </c>
      <c r="F11" s="1751">
        <f>SUM(B11:E11)</f>
        <v>15407582</v>
      </c>
    </row>
    <row r="12" spans="1:8" ht="16.5" customHeight="1" thickTop="1">
      <c r="A12" s="1081"/>
      <c r="B12" s="1082"/>
      <c r="C12" s="2377" t="str">
        <f>IF(AND(F10&lt;0,F11&gt;=0,ABS(F10*3)&gt;ABS(F11)),A16,IF(AND(F10&lt;0,F11&gt;0,ABS(F10*3)&lt;=ABS(F11)),A17,IF(AND(F10&lt;0,F11&lt;0),A16,IF(F11=0,A19,A18))))</f>
        <v>Balanced - no deficit reduction plan is required.</v>
      </c>
      <c r="D12" s="2378"/>
      <c r="E12" s="2378"/>
      <c r="F12" s="2379"/>
    </row>
    <row r="13" spans="1:8" ht="19.5" customHeight="1">
      <c r="A13" s="1083"/>
      <c r="B13" s="1084"/>
      <c r="C13" s="2377"/>
      <c r="D13" s="2378"/>
      <c r="E13" s="2378"/>
      <c r="F13" s="2379"/>
      <c r="H13" s="1073"/>
    </row>
    <row r="14" spans="1:8" ht="19.5" customHeight="1">
      <c r="A14" s="1083"/>
      <c r="B14" s="1084"/>
      <c r="C14" s="2377"/>
      <c r="D14" s="2378"/>
      <c r="E14" s="2378"/>
      <c r="F14" s="2379"/>
      <c r="H14" s="1073"/>
    </row>
    <row r="15" spans="1:8" ht="17.25" customHeight="1">
      <c r="A15" s="1083"/>
      <c r="B15" s="1084"/>
      <c r="C15" s="2380"/>
      <c r="D15" s="2381"/>
      <c r="E15" s="2381"/>
      <c r="F15" s="2382"/>
      <c r="H15" s="1073"/>
    </row>
    <row r="16" spans="1:8" s="309" customFormat="1" ht="51.75" hidden="1" customHeight="1">
      <c r="A16" s="2376" t="s">
        <v>1672</v>
      </c>
      <c r="B16" s="2376"/>
      <c r="C16" s="2376"/>
      <c r="D16" s="2376"/>
      <c r="E16" s="2376"/>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C1" colorId="8" zoomScale="110" zoomScaleNormal="110" workbookViewId="0">
      <selection activeCell="C7" sqref="C7:D7"/>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98" t="s">
        <v>665</v>
      </c>
      <c r="B3" s="2399"/>
      <c r="C3" s="2399"/>
      <c r="D3" s="2400"/>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864</v>
      </c>
      <c r="D6" s="1094"/>
    </row>
    <row r="7" spans="1:4" s="667" customFormat="1" ht="12.75">
      <c r="A7" s="1137"/>
      <c r="B7" s="1092">
        <f t="shared" si="0"/>
        <v>3</v>
      </c>
      <c r="C7" s="2409" t="s">
        <v>1495</v>
      </c>
      <c r="D7" s="2410"/>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401" t="s">
        <v>1008</v>
      </c>
      <c r="B15" s="2402"/>
      <c r="C15" s="2402"/>
      <c r="D15" s="2403"/>
    </row>
    <row r="16" spans="1:4" s="667" customFormat="1" ht="24" customHeight="1">
      <c r="A16" s="2404" t="s">
        <v>663</v>
      </c>
      <c r="B16" s="2405"/>
      <c r="C16" s="2405"/>
      <c r="D16" s="2406"/>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710</v>
      </c>
    </row>
    <row r="21" spans="1:10">
      <c r="A21" s="1097"/>
      <c r="B21" s="1098">
        <v>1</v>
      </c>
      <c r="C21" s="2413" t="s">
        <v>314</v>
      </c>
      <c r="D21" s="2414"/>
    </row>
    <row r="22" spans="1:10" ht="12.75">
      <c r="A22" s="1138"/>
      <c r="B22" s="1139">
        <v>2</v>
      </c>
      <c r="C22" s="2411" t="s">
        <v>1515</v>
      </c>
      <c r="D22" s="2412"/>
    </row>
    <row r="23" spans="1:10" ht="12.2" customHeight="1">
      <c r="A23" s="1138"/>
      <c r="B23" s="1139"/>
      <c r="C23" s="1140" t="s">
        <v>954</v>
      </c>
      <c r="D23" s="1141" t="str">
        <f>IF(COVER!O11="X","CASH",IF(COVER!O12="X","ACCRUAL ","PLEASE CHECK AN ACCOUNTING BASIS."))</f>
        <v xml:space="preserve">ACCRUAL </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15" t="s">
        <v>536</v>
      </c>
      <c r="D43" s="2416"/>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407" t="s">
        <v>784</v>
      </c>
      <c r="D56" s="2408"/>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1021</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407" t="s">
        <v>1681</v>
      </c>
      <c r="D70" s="2408"/>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29'!D142&gt;0,"OK","PLEASE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7016123002</v>
      </c>
    </row>
    <row r="3" spans="1:2">
      <c r="A3" t="s">
        <v>956</v>
      </c>
      <c r="B3" s="137" t="str">
        <f>COVER!A15</f>
        <v>Cook</v>
      </c>
    </row>
    <row r="4" spans="1:2">
      <c r="A4" t="s">
        <v>1007</v>
      </c>
      <c r="B4" s="137" t="str">
        <f>COVER!A17</f>
        <v>Oak Lawn - Hometown SD 123</v>
      </c>
    </row>
    <row r="5" spans="1:2">
      <c r="A5" t="s">
        <v>704</v>
      </c>
      <c r="B5" s="137" t="str">
        <f>COVER!A38</f>
        <v>Paul Enderle</v>
      </c>
    </row>
    <row r="6" spans="1:2">
      <c r="A6" t="s">
        <v>709</v>
      </c>
      <c r="B6" s="137" t="str">
        <f>COVER!P35</f>
        <v>Worth</v>
      </c>
    </row>
    <row r="7" spans="1:2">
      <c r="A7" t="s">
        <v>705</v>
      </c>
      <c r="B7" s="137" t="str">
        <f>COVER!I38</f>
        <v>Terry La Bella</v>
      </c>
    </row>
    <row r="8" spans="1:2">
      <c r="A8" t="s">
        <v>706</v>
      </c>
      <c r="B8" s="137" t="str">
        <f>COVER!T38</f>
        <v>Dr. Vanessa Kinder</v>
      </c>
    </row>
    <row r="9" spans="1:2">
      <c r="A9" s="3" t="s">
        <v>957</v>
      </c>
      <c r="B9" s="157" t="str">
        <f>AUDITCHECK!D23</f>
        <v xml:space="preserve">ACCRUAL </v>
      </c>
    </row>
    <row r="10" spans="1:2">
      <c r="A10" t="s">
        <v>976</v>
      </c>
      <c r="B10" s="137" t="str">
        <f>COVER!B5</f>
        <v>X</v>
      </c>
    </row>
    <row r="11" spans="1:2">
      <c r="A11" t="s">
        <v>977</v>
      </c>
      <c r="B11" s="137">
        <f>COVER!B6</f>
        <v>0</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No</v>
      </c>
    </row>
    <row r="15" spans="1:2">
      <c r="A15" t="s">
        <v>577</v>
      </c>
      <c r="B15" s="137" t="str">
        <f>COVER!T23</f>
        <v>066-003346</v>
      </c>
    </row>
    <row r="16" spans="1:2">
      <c r="A16" t="s">
        <v>422</v>
      </c>
      <c r="B16" s="137" t="str">
        <f>COVER!T13</f>
        <v>RSM US LLP</v>
      </c>
    </row>
    <row r="17" spans="1:2">
      <c r="A17" t="s">
        <v>884</v>
      </c>
      <c r="B17" s="137" t="str">
        <f>COVER!T15</f>
        <v>Kelly Kirkman</v>
      </c>
    </row>
    <row r="18" spans="1:2">
      <c r="A18" t="s">
        <v>1150</v>
      </c>
      <c r="B18" s="137" t="str">
        <f>COVER!T17</f>
        <v>1 South Wacker,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312-634-4407</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12786425</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18113252</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13022316</v>
      </c>
      <c r="D88" s="2" t="str">
        <f t="shared" si="0"/>
        <v>Error?</v>
      </c>
    </row>
    <row r="89" spans="1:4">
      <c r="A89" s="10">
        <v>28</v>
      </c>
      <c r="D89" s="2" t="str">
        <f t="shared" si="0"/>
        <v>OK</v>
      </c>
    </row>
    <row r="90" spans="1:4">
      <c r="A90" s="10">
        <v>29</v>
      </c>
      <c r="D90" s="2" t="str">
        <f t="shared" si="0"/>
        <v>OK</v>
      </c>
    </row>
    <row r="91" spans="1:4">
      <c r="A91" s="5">
        <v>30</v>
      </c>
      <c r="B91" s="137">
        <f>'Assets-Liab 5-6'!C34</f>
        <v>16232297</v>
      </c>
      <c r="C91" s="2" t="s">
        <v>573</v>
      </c>
      <c r="D91" s="2" t="str">
        <f t="shared" si="0"/>
        <v>Error?</v>
      </c>
    </row>
    <row r="92" spans="1:4">
      <c r="A92" s="5">
        <v>31</v>
      </c>
      <c r="B92" s="137">
        <f>'Assets-Liab 5-6'!C39</f>
        <v>1880955</v>
      </c>
      <c r="D92" s="2" t="str">
        <f t="shared" si="0"/>
        <v>Error?</v>
      </c>
    </row>
    <row r="93" spans="1:4">
      <c r="A93" s="5">
        <v>32</v>
      </c>
      <c r="B93" s="137">
        <f>'Assets-Liab 5-6'!C41</f>
        <v>18113252</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330411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1118094</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335382</v>
      </c>
      <c r="D119" s="2" t="str">
        <f t="shared" si="0"/>
        <v>Error?</v>
      </c>
    </row>
    <row r="120" spans="1:4">
      <c r="A120" s="10">
        <v>59</v>
      </c>
      <c r="D120" s="2" t="str">
        <f t="shared" si="0"/>
        <v>OK</v>
      </c>
    </row>
    <row r="121" spans="1:4">
      <c r="A121" s="10">
        <v>60</v>
      </c>
      <c r="D121" s="2" t="str">
        <f t="shared" si="0"/>
        <v>OK</v>
      </c>
    </row>
    <row r="122" spans="1:4">
      <c r="A122" s="5">
        <v>61</v>
      </c>
      <c r="B122" s="137">
        <f>'Assets-Liab 5-6'!D34</f>
        <v>400739</v>
      </c>
      <c r="C122" s="2" t="s">
        <v>573</v>
      </c>
      <c r="D122" s="2" t="str">
        <f t="shared" si="0"/>
        <v>Error?</v>
      </c>
    </row>
    <row r="123" spans="1:4">
      <c r="A123" s="5">
        <v>62</v>
      </c>
      <c r="B123" s="137">
        <f>'Assets-Liab 5-6'!D39</f>
        <v>717355</v>
      </c>
      <c r="D123" s="2" t="str">
        <f t="shared" si="0"/>
        <v>Error?</v>
      </c>
    </row>
    <row r="124" spans="1:4">
      <c r="A124" s="5">
        <v>63</v>
      </c>
      <c r="B124" s="137">
        <f>'Assets-Liab 5-6'!D41</f>
        <v>1118094</v>
      </c>
      <c r="C124" s="2" t="s">
        <v>573</v>
      </c>
      <c r="D124" s="2" t="str">
        <f t="shared" si="0"/>
        <v>Error?</v>
      </c>
    </row>
    <row r="125" spans="1:4">
      <c r="A125" s="10">
        <v>64</v>
      </c>
      <c r="D125" s="2" t="str">
        <f t="shared" si="0"/>
        <v>OK</v>
      </c>
    </row>
    <row r="126" spans="1:4">
      <c r="A126" s="5">
        <v>65</v>
      </c>
      <c r="B126" s="137">
        <f>'Assets-Liab 5-6'!E6</f>
        <v>3432964</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7801021</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3484614</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3484614</v>
      </c>
      <c r="C139" s="2" t="s">
        <v>573</v>
      </c>
      <c r="D139" s="2" t="str">
        <f t="shared" si="1"/>
        <v>Error?</v>
      </c>
    </row>
    <row r="140" spans="1:4">
      <c r="A140" s="5">
        <v>79</v>
      </c>
      <c r="B140" s="137">
        <f>'Assets-Liab 5-6'!E39</f>
        <v>4316407</v>
      </c>
      <c r="D140" s="2" t="str">
        <f t="shared" si="1"/>
        <v>Error?</v>
      </c>
    </row>
    <row r="141" spans="1:4">
      <c r="A141" s="5">
        <v>80</v>
      </c>
      <c r="B141" s="137">
        <f>'Assets-Liab 5-6'!E41</f>
        <v>7801021</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958</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2606361</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972</v>
      </c>
      <c r="D166" s="2" t="str">
        <f t="shared" si="1"/>
        <v>Error?</v>
      </c>
    </row>
    <row r="167" spans="1:4">
      <c r="A167" s="10">
        <v>106</v>
      </c>
      <c r="D167" s="2" t="str">
        <f t="shared" si="1"/>
        <v>OK</v>
      </c>
    </row>
    <row r="168" spans="1:4">
      <c r="A168" s="10">
        <v>107</v>
      </c>
      <c r="D168" s="2" t="str">
        <f t="shared" si="1"/>
        <v>OK</v>
      </c>
    </row>
    <row r="169" spans="1:4">
      <c r="A169" s="5">
        <v>108</v>
      </c>
      <c r="B169" s="137">
        <f>'Assets-Liab 5-6'!F34</f>
        <v>98433</v>
      </c>
      <c r="C169" s="2" t="s">
        <v>573</v>
      </c>
      <c r="D169" s="2" t="str">
        <f t="shared" si="1"/>
        <v>Error?</v>
      </c>
    </row>
    <row r="170" spans="1:4">
      <c r="A170" s="5">
        <v>109</v>
      </c>
      <c r="B170" s="137">
        <f>'Assets-Liab 5-6'!F39</f>
        <v>0</v>
      </c>
      <c r="D170" s="2" t="str">
        <f t="shared" si="1"/>
        <v>Error?</v>
      </c>
    </row>
    <row r="171" spans="1:4">
      <c r="A171" s="5">
        <v>110</v>
      </c>
      <c r="B171" s="137">
        <f>'Assets-Liab 5-6'!F41</f>
        <v>2606361</v>
      </c>
      <c r="C171" s="2" t="s">
        <v>573</v>
      </c>
      <c r="D171" s="2" t="str">
        <f t="shared" si="1"/>
        <v>Error?</v>
      </c>
    </row>
    <row r="172" spans="1:4">
      <c r="A172" s="10">
        <v>111</v>
      </c>
      <c r="D172" s="2" t="str">
        <f t="shared" si="1"/>
        <v>OK</v>
      </c>
    </row>
    <row r="173" spans="1:4">
      <c r="A173" s="5">
        <v>112</v>
      </c>
      <c r="B173" s="137">
        <f>'Assets-Liab 5-6'!G6</f>
        <v>706082</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1315390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716706</v>
      </c>
      <c r="D185" s="2" t="str">
        <f t="shared" si="1"/>
        <v>Error?</v>
      </c>
    </row>
    <row r="186" spans="1:4">
      <c r="A186" s="10">
        <v>125</v>
      </c>
      <c r="D186" s="2" t="str">
        <f t="shared" si="1"/>
        <v>OK</v>
      </c>
    </row>
    <row r="187" spans="1:4">
      <c r="A187" s="10">
        <v>126</v>
      </c>
      <c r="D187" s="2" t="str">
        <f t="shared" si="1"/>
        <v>OK</v>
      </c>
    </row>
    <row r="188" spans="1:4">
      <c r="A188" s="5">
        <v>127</v>
      </c>
      <c r="B188" s="137">
        <f>'Assets-Liab 5-6'!G34</f>
        <v>716706</v>
      </c>
      <c r="C188" s="2" t="s">
        <v>573</v>
      </c>
      <c r="D188" s="2" t="str">
        <f t="shared" si="1"/>
        <v>Error?</v>
      </c>
    </row>
    <row r="189" spans="1:4">
      <c r="A189" s="5">
        <v>128</v>
      </c>
      <c r="B189" s="137">
        <f>'Assets-Liab 5-6'!G39</f>
        <v>598684</v>
      </c>
      <c r="D189" s="2" t="str">
        <f t="shared" si="1"/>
        <v>Error?</v>
      </c>
    </row>
    <row r="190" spans="1:4">
      <c r="A190" s="5">
        <v>129</v>
      </c>
      <c r="B190" s="137">
        <f>'Assets-Liab 5-6'!G41</f>
        <v>1315390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709408</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709408</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4755000</v>
      </c>
      <c r="D273" s="2" t="str">
        <f t="shared" si="3"/>
        <v>Error?</v>
      </c>
    </row>
    <row r="274" spans="1:4">
      <c r="A274" s="5">
        <v>213</v>
      </c>
      <c r="B274" s="137">
        <f>'Assets-Liab 5-6'!M17</f>
        <v>32311006</v>
      </c>
      <c r="D274" s="2" t="str">
        <f t="shared" si="3"/>
        <v>Error?</v>
      </c>
    </row>
    <row r="275" spans="1:4">
      <c r="A275" s="5">
        <v>214</v>
      </c>
      <c r="B275" s="137">
        <f>'Assets-Liab 5-6'!M18</f>
        <v>779545</v>
      </c>
      <c r="D275" s="2" t="str">
        <f t="shared" si="3"/>
        <v>Error?</v>
      </c>
    </row>
    <row r="276" spans="1:4">
      <c r="A276" s="5">
        <v>215</v>
      </c>
      <c r="B276" s="137">
        <f>'Assets-Liab 5-6'!M19</f>
        <v>1508660</v>
      </c>
      <c r="D276" s="2" t="str">
        <f t="shared" si="3"/>
        <v>Error?</v>
      </c>
    </row>
    <row r="277" spans="1:4">
      <c r="A277" s="10">
        <v>216</v>
      </c>
      <c r="D277" s="2" t="str">
        <f t="shared" si="3"/>
        <v>OK</v>
      </c>
    </row>
    <row r="278" spans="1:4">
      <c r="A278" s="10">
        <v>217</v>
      </c>
      <c r="D278" s="2" t="str">
        <f t="shared" si="3"/>
        <v>OK</v>
      </c>
    </row>
    <row r="279" spans="1:4">
      <c r="A279" s="5">
        <v>218</v>
      </c>
      <c r="B279" s="137">
        <f>'Assets-Liab 5-6'!M23</f>
        <v>39354211</v>
      </c>
      <c r="C279" s="2" t="s">
        <v>573</v>
      </c>
      <c r="D279" s="2" t="str">
        <f t="shared" si="3"/>
        <v>Error?</v>
      </c>
    </row>
    <row r="280" spans="1:4">
      <c r="A280" s="5">
        <v>219</v>
      </c>
      <c r="B280" s="137">
        <f>'Assets-Liab 5-6'!M40</f>
        <v>39354211</v>
      </c>
      <c r="D280" s="2" t="str">
        <f t="shared" si="3"/>
        <v>Error?</v>
      </c>
    </row>
    <row r="281" spans="1:4">
      <c r="A281" s="5">
        <v>220</v>
      </c>
      <c r="B281" s="137">
        <f>'Assets-Liab 5-6'!M41</f>
        <v>39354211</v>
      </c>
      <c r="C281" s="2" t="s">
        <v>573</v>
      </c>
      <c r="D281" s="2" t="str">
        <f t="shared" si="3"/>
        <v>Error?</v>
      </c>
    </row>
    <row r="282" spans="1:4">
      <c r="A282" s="5">
        <v>221</v>
      </c>
      <c r="B282" s="137">
        <f>'Assets-Liab 5-6'!N21</f>
        <v>4316407</v>
      </c>
      <c r="D282" s="2" t="str">
        <f t="shared" si="3"/>
        <v>Error?</v>
      </c>
    </row>
    <row r="283" spans="1:4">
      <c r="A283" s="5">
        <v>222</v>
      </c>
      <c r="B283" s="137">
        <f>'Assets-Liab 5-6'!N22</f>
        <v>37515414</v>
      </c>
      <c r="D283" s="2" t="str">
        <f t="shared" si="3"/>
        <v>Error?</v>
      </c>
    </row>
    <row r="284" spans="1:4">
      <c r="A284" s="5">
        <v>223</v>
      </c>
      <c r="B284" s="137">
        <f>'Assets-Liab 5-6'!N23</f>
        <v>41831821</v>
      </c>
      <c r="C284" s="2" t="s">
        <v>573</v>
      </c>
      <c r="D284" s="2" t="str">
        <f t="shared" si="3"/>
        <v>Error?</v>
      </c>
    </row>
    <row r="285" spans="1:4">
      <c r="A285" s="5">
        <v>224</v>
      </c>
      <c r="B285" s="137">
        <f>'Assets-Liab 5-6'!N36</f>
        <v>41831821</v>
      </c>
      <c r="D285" s="2" t="str">
        <f t="shared" si="3"/>
        <v>Error?</v>
      </c>
    </row>
    <row r="286" spans="1:4">
      <c r="A286" s="10">
        <v>225</v>
      </c>
      <c r="D286" s="2" t="str">
        <f t="shared" si="3"/>
        <v>OK</v>
      </c>
    </row>
    <row r="287" spans="1:4">
      <c r="A287" s="5">
        <v>226</v>
      </c>
      <c r="B287" s="137">
        <f>'Assets-Liab 5-6'!N37</f>
        <v>41831821</v>
      </c>
      <c r="C287" s="2" t="s">
        <v>573</v>
      </c>
      <c r="D287" s="2" t="str">
        <f t="shared" si="3"/>
        <v>Error?</v>
      </c>
    </row>
    <row r="288" spans="1:4">
      <c r="A288" s="5">
        <v>227</v>
      </c>
      <c r="B288" s="137">
        <f>'Assets-Liab 5-6'!N41</f>
        <v>41831821</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12472699</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788291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418064</v>
      </c>
      <c r="D718" s="2" t="str">
        <f t="shared" si="10"/>
        <v>Error?</v>
      </c>
    </row>
    <row r="719" spans="1:4">
      <c r="A719" s="5">
        <v>658</v>
      </c>
      <c r="B719" s="137">
        <f>'Expenditures 15-22'!C15</f>
        <v>166514</v>
      </c>
      <c r="D719" s="2" t="str">
        <f t="shared" si="10"/>
        <v>Error?</v>
      </c>
    </row>
    <row r="720" spans="1:4">
      <c r="A720" s="5">
        <v>659</v>
      </c>
      <c r="B720" s="137">
        <f>'Expenditures 15-22'!C33</f>
        <v>17465819</v>
      </c>
      <c r="C720" s="2" t="s">
        <v>573</v>
      </c>
      <c r="D720" s="2" t="str">
        <f t="shared" si="10"/>
        <v>Error?</v>
      </c>
    </row>
    <row r="721" spans="1:4">
      <c r="A721" s="5">
        <v>660</v>
      </c>
      <c r="B721" s="137">
        <f>'Expenditures 15-22'!C36</f>
        <v>741769</v>
      </c>
      <c r="D721" s="2" t="str">
        <f t="shared" si="10"/>
        <v>Error?</v>
      </c>
    </row>
    <row r="722" spans="1:4">
      <c r="A722" s="5">
        <v>661</v>
      </c>
      <c r="B722" s="137">
        <f>'Expenditures 15-22'!C37</f>
        <v>31409</v>
      </c>
      <c r="D722" s="2" t="str">
        <f t="shared" si="10"/>
        <v>Error?</v>
      </c>
    </row>
    <row r="723" spans="1:4">
      <c r="A723" s="5">
        <v>662</v>
      </c>
      <c r="B723" s="137">
        <f>'Expenditures 15-22'!C38</f>
        <v>245956</v>
      </c>
      <c r="D723" s="2" t="str">
        <f t="shared" si="10"/>
        <v>Error?</v>
      </c>
    </row>
    <row r="724" spans="1:4">
      <c r="A724" s="5">
        <v>663</v>
      </c>
      <c r="B724" s="137">
        <f>'Expenditures 15-22'!C39</f>
        <v>272583</v>
      </c>
      <c r="D724" s="2" t="str">
        <f t="shared" si="10"/>
        <v>Error?</v>
      </c>
    </row>
    <row r="725" spans="1:4">
      <c r="A725" s="5">
        <v>664</v>
      </c>
      <c r="B725" s="137">
        <f>'Expenditures 15-22'!C40</f>
        <v>644498</v>
      </c>
      <c r="D725" s="2" t="str">
        <f t="shared" si="10"/>
        <v>Error?</v>
      </c>
    </row>
    <row r="726" spans="1:4">
      <c r="A726" s="5">
        <v>665</v>
      </c>
      <c r="B726" s="137">
        <f>'Expenditures 15-22'!C41</f>
        <v>264818</v>
      </c>
      <c r="D726" s="2" t="str">
        <f t="shared" si="10"/>
        <v>Error?</v>
      </c>
    </row>
    <row r="727" spans="1:4">
      <c r="A727" s="5">
        <v>666</v>
      </c>
      <c r="B727" s="137">
        <f>'Expenditures 15-22'!C42</f>
        <v>2201033</v>
      </c>
      <c r="C727" s="2" t="s">
        <v>573</v>
      </c>
      <c r="D727" s="2" t="str">
        <f t="shared" si="10"/>
        <v>Error?</v>
      </c>
    </row>
    <row r="728" spans="1:4">
      <c r="A728" s="5">
        <v>667</v>
      </c>
      <c r="B728" s="137">
        <f>'Expenditures 15-22'!C44</f>
        <v>221061</v>
      </c>
      <c r="D728" s="2" t="str">
        <f t="shared" si="10"/>
        <v>Error?</v>
      </c>
    </row>
    <row r="729" spans="1:4">
      <c r="A729" s="5">
        <v>668</v>
      </c>
      <c r="B729" s="137">
        <f>'Expenditures 15-22'!C45</f>
        <v>864890</v>
      </c>
      <c r="D729" s="2" t="str">
        <f t="shared" si="10"/>
        <v>Error?</v>
      </c>
    </row>
    <row r="730" spans="1:4">
      <c r="A730" s="5">
        <v>669</v>
      </c>
      <c r="B730" s="137">
        <f>'Expenditures 15-22'!C46</f>
        <v>0</v>
      </c>
      <c r="D730" s="2" t="str">
        <f t="shared" si="10"/>
        <v>Error?</v>
      </c>
    </row>
    <row r="731" spans="1:4">
      <c r="A731" s="5">
        <v>670</v>
      </c>
      <c r="B731" s="137">
        <f>'Expenditures 15-22'!C47</f>
        <v>1085951</v>
      </c>
      <c r="C731" s="2" t="s">
        <v>573</v>
      </c>
      <c r="D731" s="2" t="str">
        <f t="shared" si="10"/>
        <v>Error?</v>
      </c>
    </row>
    <row r="732" spans="1:4">
      <c r="A732" s="5">
        <v>671</v>
      </c>
      <c r="B732" s="137">
        <f>'Expenditures 15-22'!C49</f>
        <v>0</v>
      </c>
      <c r="D732" s="2" t="str">
        <f t="shared" si="10"/>
        <v>Error?</v>
      </c>
    </row>
    <row r="733" spans="1:4">
      <c r="A733" s="5">
        <v>672</v>
      </c>
      <c r="B733" s="137">
        <f>'Expenditures 15-22'!C50</f>
        <v>246345</v>
      </c>
      <c r="D733" s="2" t="str">
        <f t="shared" si="10"/>
        <v>Error?</v>
      </c>
    </row>
    <row r="734" spans="1:4">
      <c r="A734" s="5">
        <v>673</v>
      </c>
      <c r="B734" s="137">
        <f>'Expenditures 15-22'!C53</f>
        <v>324440</v>
      </c>
      <c r="C734" s="2" t="s">
        <v>573</v>
      </c>
      <c r="D734" s="2" t="str">
        <f t="shared" si="10"/>
        <v>Error?</v>
      </c>
    </row>
    <row r="735" spans="1:4">
      <c r="A735" s="5">
        <v>674</v>
      </c>
      <c r="B735" s="137">
        <f>'Expenditures 15-22'!C55</f>
        <v>1176809</v>
      </c>
      <c r="D735" s="2" t="str">
        <f t="shared" si="10"/>
        <v>Error?</v>
      </c>
    </row>
    <row r="736" spans="1:4">
      <c r="A736" s="5">
        <v>675</v>
      </c>
      <c r="B736" s="137">
        <f>'Expenditures 15-22'!C56</f>
        <v>0</v>
      </c>
      <c r="D736" s="2" t="str">
        <f t="shared" si="10"/>
        <v>Error?</v>
      </c>
    </row>
    <row r="737" spans="1:4">
      <c r="A737" s="5">
        <v>676</v>
      </c>
      <c r="B737" s="137">
        <f>'Expenditures 15-22'!C57</f>
        <v>1176809</v>
      </c>
      <c r="C737" s="2" t="s">
        <v>573</v>
      </c>
      <c r="D737" s="2" t="str">
        <f t="shared" si="10"/>
        <v>Error?</v>
      </c>
    </row>
    <row r="738" spans="1:4">
      <c r="A738" s="5">
        <v>677</v>
      </c>
      <c r="B738" s="137">
        <f>'Expenditures 15-22'!C59</f>
        <v>169345</v>
      </c>
      <c r="D738" s="2" t="str">
        <f t="shared" si="10"/>
        <v>Error?</v>
      </c>
    </row>
    <row r="739" spans="1:4">
      <c r="A739" s="5">
        <v>678</v>
      </c>
      <c r="B739" s="137">
        <f>'Expenditures 15-22'!C60</f>
        <v>170081</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125470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464896</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55000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55000</v>
      </c>
      <c r="C753" s="2" t="s">
        <v>573</v>
      </c>
      <c r="D753" s="2" t="str">
        <f t="shared" si="10"/>
        <v>Error?</v>
      </c>
    </row>
    <row r="754" spans="1:4">
      <c r="A754" s="5">
        <v>693</v>
      </c>
      <c r="B754" s="137">
        <f>'Expenditures 15-22'!C73</f>
        <v>0</v>
      </c>
      <c r="D754" s="2" t="str">
        <f t="shared" si="10"/>
        <v>Error?</v>
      </c>
    </row>
    <row r="755" spans="1:4">
      <c r="A755" s="5">
        <v>694</v>
      </c>
      <c r="B755" s="137">
        <f>'Expenditures 15-22'!C74</f>
        <v>5308129</v>
      </c>
      <c r="C755" s="2" t="s">
        <v>573</v>
      </c>
      <c r="D755" s="2" t="str">
        <f t="shared" si="10"/>
        <v>Error?</v>
      </c>
    </row>
    <row r="756" spans="1:4">
      <c r="A756" s="5">
        <v>695</v>
      </c>
      <c r="B756" s="137">
        <f>'Expenditures 15-22'!C75</f>
        <v>19296</v>
      </c>
      <c r="D756" s="2" t="str">
        <f t="shared" si="10"/>
        <v>Error?</v>
      </c>
    </row>
    <row r="757" spans="1:4">
      <c r="A757" s="5">
        <v>696</v>
      </c>
      <c r="B757" s="137">
        <f>'Expenditures 15-22'!C114</f>
        <v>22793244</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4080279</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283460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5918</v>
      </c>
      <c r="D776" s="2" t="str">
        <f t="shared" si="11"/>
        <v>Error?</v>
      </c>
    </row>
    <row r="777" spans="1:4">
      <c r="A777" s="5">
        <v>716</v>
      </c>
      <c r="B777" s="137">
        <f>'Expenditures 15-22'!D15</f>
        <v>1921</v>
      </c>
      <c r="D777" s="2" t="str">
        <f t="shared" si="11"/>
        <v>Error?</v>
      </c>
    </row>
    <row r="778" spans="1:4">
      <c r="A778" s="5">
        <v>717</v>
      </c>
      <c r="B778" s="137">
        <f>'Expenditures 15-22'!D33</f>
        <v>5519767</v>
      </c>
      <c r="C778" s="2" t="s">
        <v>573</v>
      </c>
      <c r="D778" s="2" t="str">
        <f t="shared" si="11"/>
        <v>Error?</v>
      </c>
    </row>
    <row r="779" spans="1:4">
      <c r="A779" s="5">
        <v>718</v>
      </c>
      <c r="B779" s="137">
        <f>'Expenditures 15-22'!D36</f>
        <v>213808</v>
      </c>
      <c r="D779" s="2" t="str">
        <f t="shared" si="11"/>
        <v>Error?</v>
      </c>
    </row>
    <row r="780" spans="1:4">
      <c r="A780" s="5">
        <v>719</v>
      </c>
      <c r="B780" s="137">
        <f>'Expenditures 15-22'!D37</f>
        <v>19365</v>
      </c>
      <c r="D780" s="2" t="str">
        <f t="shared" si="11"/>
        <v>Error?</v>
      </c>
    </row>
    <row r="781" spans="1:4">
      <c r="A781" s="5">
        <v>720</v>
      </c>
      <c r="B781" s="137">
        <f>'Expenditures 15-22'!D38</f>
        <v>80980</v>
      </c>
      <c r="D781" s="2" t="str">
        <f t="shared" si="11"/>
        <v>Error?</v>
      </c>
    </row>
    <row r="782" spans="1:4">
      <c r="A782" s="5">
        <v>721</v>
      </c>
      <c r="B782" s="137">
        <f>'Expenditures 15-22'!D39</f>
        <v>98275</v>
      </c>
      <c r="D782" s="2" t="str">
        <f t="shared" si="11"/>
        <v>Error?</v>
      </c>
    </row>
    <row r="783" spans="1:4">
      <c r="A783" s="5">
        <v>722</v>
      </c>
      <c r="B783" s="137">
        <f>'Expenditures 15-22'!D40</f>
        <v>181298</v>
      </c>
      <c r="D783" s="2" t="str">
        <f t="shared" si="11"/>
        <v>Error?</v>
      </c>
    </row>
    <row r="784" spans="1:4">
      <c r="A784" s="5">
        <v>723</v>
      </c>
      <c r="B784" s="137">
        <f>'Expenditures 15-22'!D41</f>
        <v>63860</v>
      </c>
      <c r="D784" s="2" t="str">
        <f t="shared" si="11"/>
        <v>Error?</v>
      </c>
    </row>
    <row r="785" spans="1:4">
      <c r="A785" s="5">
        <v>724</v>
      </c>
      <c r="B785" s="137">
        <f>'Expenditures 15-22'!D42</f>
        <v>657586</v>
      </c>
      <c r="C785" s="2" t="s">
        <v>573</v>
      </c>
      <c r="D785" s="2" t="str">
        <f t="shared" si="11"/>
        <v>Error?</v>
      </c>
    </row>
    <row r="786" spans="1:4">
      <c r="A786" s="5">
        <v>725</v>
      </c>
      <c r="B786" s="137">
        <f>'Expenditures 15-22'!D44</f>
        <v>53523</v>
      </c>
      <c r="D786" s="2" t="str">
        <f t="shared" si="11"/>
        <v>Error?</v>
      </c>
    </row>
    <row r="787" spans="1:4">
      <c r="A787" s="5">
        <v>726</v>
      </c>
      <c r="B787" s="137">
        <f>'Expenditures 15-22'!D45</f>
        <v>264729</v>
      </c>
      <c r="D787" s="2" t="str">
        <f t="shared" si="11"/>
        <v>Error?</v>
      </c>
    </row>
    <row r="788" spans="1:4">
      <c r="A788" s="5">
        <v>727</v>
      </c>
      <c r="B788" s="137">
        <f>'Expenditures 15-22'!D46</f>
        <v>0</v>
      </c>
      <c r="D788" s="2" t="str">
        <f t="shared" si="11"/>
        <v>Error?</v>
      </c>
    </row>
    <row r="789" spans="1:4">
      <c r="A789" s="5">
        <v>728</v>
      </c>
      <c r="B789" s="137">
        <f>'Expenditures 15-22'!D47</f>
        <v>318252</v>
      </c>
      <c r="C789" s="2" t="s">
        <v>573</v>
      </c>
      <c r="D789" s="2" t="str">
        <f t="shared" si="11"/>
        <v>Error?</v>
      </c>
    </row>
    <row r="790" spans="1:4">
      <c r="A790" s="5">
        <v>729</v>
      </c>
      <c r="B790" s="137">
        <f>'Expenditures 15-22'!D49</f>
        <v>4306</v>
      </c>
      <c r="D790" s="2" t="str">
        <f t="shared" si="11"/>
        <v>Error?</v>
      </c>
    </row>
    <row r="791" spans="1:4">
      <c r="A791" s="5">
        <v>730</v>
      </c>
      <c r="B791" s="137">
        <f>'Expenditures 15-22'!D50</f>
        <v>80302</v>
      </c>
      <c r="D791" s="2" t="str">
        <f t="shared" si="11"/>
        <v>Error?</v>
      </c>
    </row>
    <row r="792" spans="1:4">
      <c r="A792" s="5">
        <v>731</v>
      </c>
      <c r="B792" s="137">
        <f>'Expenditures 15-22'!D53</f>
        <v>111797</v>
      </c>
      <c r="C792" s="2" t="s">
        <v>573</v>
      </c>
      <c r="D792" s="2" t="str">
        <f t="shared" si="11"/>
        <v>Error?</v>
      </c>
    </row>
    <row r="793" spans="1:4">
      <c r="A793" s="5">
        <v>732</v>
      </c>
      <c r="B793" s="137">
        <f>'Expenditures 15-22'!D55</f>
        <v>376815</v>
      </c>
      <c r="D793" s="2" t="str">
        <f t="shared" si="11"/>
        <v>Error?</v>
      </c>
    </row>
    <row r="794" spans="1:4">
      <c r="A794" s="5">
        <v>733</v>
      </c>
      <c r="B794" s="137">
        <f>'Expenditures 15-22'!D56</f>
        <v>0</v>
      </c>
      <c r="D794" s="2" t="str">
        <f t="shared" si="11"/>
        <v>Error?</v>
      </c>
    </row>
    <row r="795" spans="1:4">
      <c r="A795" s="5">
        <v>734</v>
      </c>
      <c r="B795" s="137">
        <f>'Expenditures 15-22'!D57</f>
        <v>376815</v>
      </c>
      <c r="C795" s="2" t="s">
        <v>573</v>
      </c>
      <c r="D795" s="2" t="str">
        <f t="shared" si="11"/>
        <v>Error?</v>
      </c>
    </row>
    <row r="796" spans="1:4">
      <c r="A796" s="5">
        <v>735</v>
      </c>
      <c r="B796" s="137">
        <f>'Expenditures 15-22'!D59</f>
        <v>60083</v>
      </c>
      <c r="D796" s="2" t="str">
        <f t="shared" si="11"/>
        <v>Error?</v>
      </c>
    </row>
    <row r="797" spans="1:4">
      <c r="A797" s="5">
        <v>736</v>
      </c>
      <c r="B797" s="137">
        <f>'Expenditures 15-22'!D60</f>
        <v>61199</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121282</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573</v>
      </c>
      <c r="D811" s="2" t="str">
        <f t="shared" si="11"/>
        <v>Error?</v>
      </c>
    </row>
    <row r="812" spans="1:4">
      <c r="A812" s="5">
        <v>751</v>
      </c>
      <c r="B812" s="137">
        <f>'Expenditures 15-22'!D73</f>
        <v>0</v>
      </c>
      <c r="D812" s="2" t="str">
        <f t="shared" si="11"/>
        <v>Error?</v>
      </c>
    </row>
    <row r="813" spans="1:4">
      <c r="A813" s="5">
        <v>752</v>
      </c>
      <c r="B813" s="137">
        <f>'Expenditures 15-22'!D74</f>
        <v>1585732</v>
      </c>
      <c r="C813" s="2" t="s">
        <v>573</v>
      </c>
      <c r="D813" s="2" t="str">
        <f t="shared" si="11"/>
        <v>Error?</v>
      </c>
    </row>
    <row r="814" spans="1:4">
      <c r="A814" s="5">
        <v>753</v>
      </c>
      <c r="B814" s="137">
        <f>'Expenditures 15-22'!D75</f>
        <v>4984</v>
      </c>
      <c r="D814" s="2" t="str">
        <f t="shared" si="11"/>
        <v>Error?</v>
      </c>
    </row>
    <row r="815" spans="1:4">
      <c r="A815" s="5">
        <v>754</v>
      </c>
      <c r="B815" s="137">
        <f>'Expenditures 15-22'!D114</f>
        <v>7110483</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99565</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6926</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1702</v>
      </c>
      <c r="D834" s="2" t="str">
        <f t="shared" si="12"/>
        <v>Error?</v>
      </c>
    </row>
    <row r="835" spans="1:4">
      <c r="A835" s="5">
        <v>774</v>
      </c>
      <c r="B835" s="137">
        <f>'Expenditures 15-22'!E15</f>
        <v>0</v>
      </c>
      <c r="D835" s="2" t="str">
        <f t="shared" si="12"/>
        <v>Error?</v>
      </c>
    </row>
    <row r="836" spans="1:4">
      <c r="A836" s="5">
        <v>775</v>
      </c>
      <c r="B836" s="137">
        <f>'Expenditures 15-22'!E33</f>
        <v>208673</v>
      </c>
      <c r="C836" s="2" t="s">
        <v>573</v>
      </c>
      <c r="D836" s="2" t="str">
        <f t="shared" si="12"/>
        <v>Error?</v>
      </c>
    </row>
    <row r="837" spans="1:4">
      <c r="A837" s="5">
        <v>776</v>
      </c>
      <c r="B837" s="137">
        <f>'Expenditures 15-22'!E36</f>
        <v>0</v>
      </c>
      <c r="D837" s="2" t="str">
        <f t="shared" si="12"/>
        <v>Error?</v>
      </c>
    </row>
    <row r="838" spans="1:4">
      <c r="A838" s="5">
        <v>777</v>
      </c>
      <c r="B838" s="137">
        <f>'Expenditures 15-22'!E37</f>
        <v>0</v>
      </c>
      <c r="D838" s="2" t="str">
        <f t="shared" si="12"/>
        <v>Error?</v>
      </c>
    </row>
    <row r="839" spans="1:4">
      <c r="A839" s="5">
        <v>778</v>
      </c>
      <c r="B839" s="137">
        <f>'Expenditures 15-22'!E38</f>
        <v>57031</v>
      </c>
      <c r="D839" s="2" t="str">
        <f t="shared" si="12"/>
        <v>Error?</v>
      </c>
    </row>
    <row r="840" spans="1:4">
      <c r="A840" s="5">
        <v>779</v>
      </c>
      <c r="B840" s="137">
        <f>'Expenditures 15-22'!E39</f>
        <v>29908</v>
      </c>
      <c r="D840" s="2" t="str">
        <f t="shared" si="12"/>
        <v>Error?</v>
      </c>
    </row>
    <row r="841" spans="1:4">
      <c r="A841" s="5">
        <v>780</v>
      </c>
      <c r="B841" s="137">
        <f>'Expenditures 15-22'!E40</f>
        <v>69048</v>
      </c>
      <c r="D841" s="2" t="str">
        <f t="shared" si="12"/>
        <v>Error?</v>
      </c>
    </row>
    <row r="842" spans="1:4">
      <c r="A842" s="5">
        <v>781</v>
      </c>
      <c r="B842" s="137">
        <f>'Expenditures 15-22'!E41</f>
        <v>0</v>
      </c>
      <c r="D842" s="2" t="str">
        <f t="shared" si="12"/>
        <v>Error?</v>
      </c>
    </row>
    <row r="843" spans="1:4">
      <c r="A843" s="5">
        <v>782</v>
      </c>
      <c r="B843" s="137">
        <f>'Expenditures 15-22'!E42</f>
        <v>155987</v>
      </c>
      <c r="C843" s="2" t="s">
        <v>573</v>
      </c>
      <c r="D843" s="2" t="str">
        <f t="shared" si="12"/>
        <v>Error?</v>
      </c>
    </row>
    <row r="844" spans="1:4">
      <c r="A844" s="5">
        <v>783</v>
      </c>
      <c r="B844" s="137">
        <f>'Expenditures 15-22'!E44</f>
        <v>131948</v>
      </c>
      <c r="D844" s="2" t="str">
        <f t="shared" si="12"/>
        <v>Error?</v>
      </c>
    </row>
    <row r="845" spans="1:4">
      <c r="A845" s="5">
        <v>784</v>
      </c>
      <c r="B845" s="137">
        <f>'Expenditures 15-22'!E45</f>
        <v>13944</v>
      </c>
      <c r="D845" s="2" t="str">
        <f t="shared" si="12"/>
        <v>Error?</v>
      </c>
    </row>
    <row r="846" spans="1:4">
      <c r="A846" s="5">
        <v>785</v>
      </c>
      <c r="B846" s="137">
        <f>'Expenditures 15-22'!E46</f>
        <v>47275</v>
      </c>
      <c r="D846" s="2" t="str">
        <f t="shared" si="12"/>
        <v>Error?</v>
      </c>
    </row>
    <row r="847" spans="1:4">
      <c r="A847" s="5">
        <v>786</v>
      </c>
      <c r="B847" s="137">
        <f>'Expenditures 15-22'!E47</f>
        <v>193167</v>
      </c>
      <c r="C847" s="2" t="s">
        <v>573</v>
      </c>
      <c r="D847" s="2" t="str">
        <f t="shared" si="12"/>
        <v>Error?</v>
      </c>
    </row>
    <row r="848" spans="1:4">
      <c r="A848" s="5">
        <v>787</v>
      </c>
      <c r="B848" s="137">
        <f>'Expenditures 15-22'!E49</f>
        <v>150778</v>
      </c>
      <c r="D848" s="2" t="str">
        <f t="shared" si="12"/>
        <v>Error?</v>
      </c>
    </row>
    <row r="849" spans="1:4">
      <c r="A849" s="5">
        <v>788</v>
      </c>
      <c r="B849" s="137">
        <f>'Expenditures 15-22'!E50</f>
        <v>14626</v>
      </c>
      <c r="D849" s="2" t="str">
        <f t="shared" si="12"/>
        <v>Error?</v>
      </c>
    </row>
    <row r="850" spans="1:4">
      <c r="A850" s="5">
        <v>789</v>
      </c>
      <c r="B850" s="137">
        <f>'Expenditures 15-22'!E53</f>
        <v>165404</v>
      </c>
      <c r="C850" s="2" t="s">
        <v>573</v>
      </c>
      <c r="D850" s="2" t="str">
        <f t="shared" si="12"/>
        <v>Error?</v>
      </c>
    </row>
    <row r="851" spans="1:4">
      <c r="A851" s="5">
        <v>790</v>
      </c>
      <c r="B851" s="137">
        <f>'Expenditures 15-22'!E55</f>
        <v>92278</v>
      </c>
      <c r="D851" s="2" t="str">
        <f t="shared" si="12"/>
        <v>Error?</v>
      </c>
    </row>
    <row r="852" spans="1:4">
      <c r="A852" s="5">
        <v>791</v>
      </c>
      <c r="B852" s="137">
        <f>'Expenditures 15-22'!E56</f>
        <v>0</v>
      </c>
      <c r="D852" s="2" t="str">
        <f t="shared" si="12"/>
        <v>Error?</v>
      </c>
    </row>
    <row r="853" spans="1:4">
      <c r="A853" s="5">
        <v>792</v>
      </c>
      <c r="B853" s="137">
        <f>'Expenditures 15-22'!E57</f>
        <v>92278</v>
      </c>
      <c r="C853" s="2" t="s">
        <v>573</v>
      </c>
      <c r="D853" s="2" t="str">
        <f t="shared" si="12"/>
        <v>Error?</v>
      </c>
    </row>
    <row r="854" spans="1:4">
      <c r="A854" s="5">
        <v>793</v>
      </c>
      <c r="B854" s="137">
        <f>'Expenditures 15-22'!E59</f>
        <v>36685</v>
      </c>
      <c r="D854" s="2" t="str">
        <f t="shared" si="12"/>
        <v>Error?</v>
      </c>
    </row>
    <row r="855" spans="1:4">
      <c r="A855" s="5">
        <v>794</v>
      </c>
      <c r="B855" s="137">
        <f>'Expenditures 15-22'!E60</f>
        <v>171810</v>
      </c>
      <c r="D855" s="2" t="str">
        <f t="shared" si="12"/>
        <v>Error?</v>
      </c>
    </row>
    <row r="856" spans="1:4">
      <c r="A856" s="5">
        <v>795</v>
      </c>
      <c r="B856" s="137">
        <f>'Expenditures 15-22'!E61</f>
        <v>0</v>
      </c>
      <c r="D856" s="2" t="str">
        <f t="shared" si="12"/>
        <v>Error?</v>
      </c>
    </row>
    <row r="857" spans="1:4">
      <c r="A857" s="5">
        <v>796</v>
      </c>
      <c r="B857" s="137">
        <f>'Expenditures 15-22'!E62</f>
        <v>10165</v>
      </c>
      <c r="D857" s="2" t="str">
        <f t="shared" si="12"/>
        <v>Error?</v>
      </c>
    </row>
    <row r="858" spans="1:4">
      <c r="A858" s="5">
        <v>797</v>
      </c>
      <c r="B858" s="137">
        <f>'Expenditures 15-22'!E63</f>
        <v>4925</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223585</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20832</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10281</v>
      </c>
      <c r="D867" s="2" t="str">
        <f t="shared" si="12"/>
        <v>Error?</v>
      </c>
    </row>
    <row r="868" spans="1:4">
      <c r="A868" s="10">
        <v>807</v>
      </c>
      <c r="D868" s="2" t="str">
        <f t="shared" si="12"/>
        <v>OK</v>
      </c>
    </row>
    <row r="869" spans="1:4">
      <c r="A869" s="5">
        <v>808</v>
      </c>
      <c r="B869" s="137">
        <f>'Expenditures 15-22'!E72</f>
        <v>31113</v>
      </c>
      <c r="C869" s="2" t="s">
        <v>573</v>
      </c>
      <c r="D869" s="2" t="str">
        <f t="shared" si="12"/>
        <v>Error?</v>
      </c>
    </row>
    <row r="870" spans="1:4">
      <c r="A870" s="5">
        <v>809</v>
      </c>
      <c r="B870" s="137">
        <f>'Expenditures 15-22'!E73</f>
        <v>-1305</v>
      </c>
      <c r="D870" s="2" t="str">
        <f t="shared" si="12"/>
        <v>Error?</v>
      </c>
    </row>
    <row r="871" spans="1:4">
      <c r="A871" s="5">
        <v>810</v>
      </c>
      <c r="B871" s="137">
        <f>'Expenditures 15-22'!E74</f>
        <v>860229</v>
      </c>
      <c r="C871" s="2" t="s">
        <v>573</v>
      </c>
      <c r="D871" s="2" t="str">
        <f t="shared" si="12"/>
        <v>Error?</v>
      </c>
    </row>
    <row r="872" spans="1:4">
      <c r="A872" s="5">
        <v>811</v>
      </c>
      <c r="B872" s="137">
        <f>'Expenditures 15-22'!E75</f>
        <v>60473</v>
      </c>
      <c r="D872" s="2" t="str">
        <f t="shared" si="12"/>
        <v>Error?</v>
      </c>
    </row>
    <row r="873" spans="1:4">
      <c r="A873" s="5">
        <v>812</v>
      </c>
      <c r="B873" s="137">
        <f>'Expenditures 15-22'!E114</f>
        <v>1266175</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235675</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1090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7002</v>
      </c>
      <c r="D892" s="2" t="str">
        <f t="shared" si="12"/>
        <v>Error?</v>
      </c>
    </row>
    <row r="893" spans="1:4">
      <c r="A893" s="5">
        <v>832</v>
      </c>
      <c r="B893" s="137">
        <f>'Expenditures 15-22'!F15</f>
        <v>4006</v>
      </c>
      <c r="D893" s="2" t="str">
        <f t="shared" si="12"/>
        <v>Error?</v>
      </c>
    </row>
    <row r="894" spans="1:4">
      <c r="A894" s="5">
        <v>833</v>
      </c>
      <c r="B894" s="137">
        <f>'Expenditures 15-22'!F33</f>
        <v>311459</v>
      </c>
      <c r="C894" s="2" t="s">
        <v>573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4692</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3152</v>
      </c>
      <c r="D900" s="2" t="str">
        <f t="shared" si="13"/>
        <v>Error?</v>
      </c>
    </row>
    <row r="901" spans="1:4">
      <c r="A901" s="5">
        <v>840</v>
      </c>
      <c r="B901" s="137">
        <f>'Expenditures 15-22'!F42</f>
        <v>7844</v>
      </c>
      <c r="C901" s="2" t="s">
        <v>573</v>
      </c>
      <c r="D901" s="2" t="str">
        <f t="shared" si="13"/>
        <v>Error?</v>
      </c>
    </row>
    <row r="902" spans="1:4">
      <c r="A902" s="5">
        <v>841</v>
      </c>
      <c r="B902" s="137">
        <f>'Expenditures 15-22'!F44</f>
        <v>36238</v>
      </c>
      <c r="D902" s="2" t="str">
        <f t="shared" si="13"/>
        <v>Error?</v>
      </c>
    </row>
    <row r="903" spans="1:4">
      <c r="A903" s="5">
        <v>842</v>
      </c>
      <c r="B903" s="137">
        <f>'Expenditures 15-22'!F45</f>
        <v>68300</v>
      </c>
      <c r="D903" s="2" t="str">
        <f t="shared" si="13"/>
        <v>Error?</v>
      </c>
    </row>
    <row r="904" spans="1:4">
      <c r="A904" s="5">
        <v>843</v>
      </c>
      <c r="B904" s="137">
        <f>'Expenditures 15-22'!F46</f>
        <v>6398</v>
      </c>
      <c r="D904" s="2" t="str">
        <f t="shared" si="13"/>
        <v>Error?</v>
      </c>
    </row>
    <row r="905" spans="1:4">
      <c r="A905" s="5">
        <v>844</v>
      </c>
      <c r="B905" s="137">
        <f>'Expenditures 15-22'!F47</f>
        <v>110936</v>
      </c>
      <c r="C905" s="2" t="s">
        <v>573</v>
      </c>
      <c r="D905" s="2" t="str">
        <f t="shared" si="13"/>
        <v>Error?</v>
      </c>
    </row>
    <row r="906" spans="1:4">
      <c r="A906" s="5">
        <v>845</v>
      </c>
      <c r="B906" s="137">
        <f>'Expenditures 15-22'!F49</f>
        <v>1856</v>
      </c>
      <c r="D906" s="2" t="str">
        <f t="shared" si="13"/>
        <v>Error?</v>
      </c>
    </row>
    <row r="907" spans="1:4">
      <c r="A907" s="5">
        <v>846</v>
      </c>
      <c r="B907" s="137">
        <f>'Expenditures 15-22'!F50</f>
        <v>20017</v>
      </c>
      <c r="D907" s="2" t="str">
        <f t="shared" si="13"/>
        <v>Error?</v>
      </c>
    </row>
    <row r="908" spans="1:4">
      <c r="A908" s="5">
        <v>847</v>
      </c>
      <c r="B908" s="137">
        <f>'Expenditures 15-22'!F53</f>
        <v>21873</v>
      </c>
      <c r="C908" s="2" t="s">
        <v>573</v>
      </c>
      <c r="D908" s="2" t="str">
        <f t="shared" si="13"/>
        <v>Error?</v>
      </c>
    </row>
    <row r="909" spans="1:4">
      <c r="A909" s="5">
        <v>848</v>
      </c>
      <c r="B909" s="137">
        <f>'Expenditures 15-22'!F55</f>
        <v>0</v>
      </c>
      <c r="D909" s="2" t="str">
        <f t="shared" si="13"/>
        <v>Error?</v>
      </c>
    </row>
    <row r="910" spans="1:4">
      <c r="A910" s="5">
        <v>849</v>
      </c>
      <c r="B910" s="137">
        <f>'Expenditures 15-22'!F56</f>
        <v>0</v>
      </c>
      <c r="D910" s="2" t="str">
        <f t="shared" si="13"/>
        <v>Error?</v>
      </c>
    </row>
    <row r="911" spans="1:4">
      <c r="A911" s="5">
        <v>850</v>
      </c>
      <c r="B911" s="137">
        <f>'Expenditures 15-22'!F57</f>
        <v>0</v>
      </c>
      <c r="C911" s="2" t="s">
        <v>573</v>
      </c>
      <c r="D911" s="2" t="str">
        <f t="shared" si="13"/>
        <v>Error?</v>
      </c>
    </row>
    <row r="912" spans="1:4">
      <c r="A912" s="5">
        <v>851</v>
      </c>
      <c r="B912" s="137">
        <f>'Expenditures 15-22'!F59</f>
        <v>9027</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608095</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617122</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8866</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8866</v>
      </c>
      <c r="C927" s="2" t="s">
        <v>573</v>
      </c>
      <c r="D927" s="2" t="str">
        <f t="shared" si="13"/>
        <v>Error?</v>
      </c>
    </row>
    <row r="928" spans="1:4">
      <c r="A928" s="5">
        <v>867</v>
      </c>
      <c r="B928" s="137">
        <f>'Expenditures 15-22'!F73</f>
        <v>0</v>
      </c>
      <c r="D928" s="2" t="str">
        <f t="shared" si="13"/>
        <v>Error?</v>
      </c>
    </row>
    <row r="929" spans="1:4">
      <c r="A929" s="5">
        <v>868</v>
      </c>
      <c r="B929" s="137">
        <f>'Expenditures 15-22'!F74</f>
        <v>766641</v>
      </c>
      <c r="C929" s="2" t="s">
        <v>573</v>
      </c>
      <c r="D929" s="2" t="str">
        <f t="shared" si="13"/>
        <v>Error?</v>
      </c>
    </row>
    <row r="930" spans="1:4">
      <c r="A930" s="5">
        <v>869</v>
      </c>
      <c r="B930" s="137">
        <f>'Expenditures 15-22'!F75</f>
        <v>12312</v>
      </c>
      <c r="D930" s="2" t="str">
        <f t="shared" si="13"/>
        <v>Error?</v>
      </c>
    </row>
    <row r="931" spans="1:4">
      <c r="A931" s="5">
        <v>870</v>
      </c>
      <c r="B931" s="137">
        <f>'Expenditures 15-22'!F114</f>
        <v>1090412</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28010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33114</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298198</v>
      </c>
      <c r="D961" s="2" t="str">
        <f t="shared" si="14"/>
        <v>Error?</v>
      </c>
    </row>
    <row r="962" spans="1:4">
      <c r="A962" s="5">
        <v>901</v>
      </c>
      <c r="B962" s="137">
        <f>'Expenditures 15-22'!G46</f>
        <v>0</v>
      </c>
      <c r="D962" s="2" t="str">
        <f t="shared" si="14"/>
        <v>Error?</v>
      </c>
    </row>
    <row r="963" spans="1:4">
      <c r="A963" s="5">
        <v>902</v>
      </c>
      <c r="B963" s="137">
        <f>'Expenditures 15-22'!G47</f>
        <v>298198</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573</v>
      </c>
      <c r="D985" s="2" t="str">
        <f t="shared" si="14"/>
        <v>Error?</v>
      </c>
    </row>
    <row r="986" spans="1:4">
      <c r="A986" s="5">
        <v>925</v>
      </c>
      <c r="B986" s="137">
        <f>'Expenditures 15-22'!G73</f>
        <v>0</v>
      </c>
      <c r="D986" s="2" t="str">
        <f t="shared" si="14"/>
        <v>Error?</v>
      </c>
    </row>
    <row r="987" spans="1:4">
      <c r="A987" s="5">
        <v>926</v>
      </c>
      <c r="B987" s="137">
        <f>'Expenditures 15-22'!G74</f>
        <v>298198</v>
      </c>
      <c r="C987" s="2" t="s">
        <v>573</v>
      </c>
      <c r="D987" s="2" t="str">
        <f t="shared" si="14"/>
        <v>Error?</v>
      </c>
    </row>
    <row r="988" spans="1:4">
      <c r="A988" s="5">
        <v>927</v>
      </c>
      <c r="B988" s="137">
        <f>'Expenditures 15-22'!G75</f>
        <v>0</v>
      </c>
      <c r="D988" s="2" t="str">
        <f t="shared" si="14"/>
        <v>Error?</v>
      </c>
    </row>
    <row r="989" spans="1:4">
      <c r="A989" s="5">
        <v>928</v>
      </c>
      <c r="B989" s="137">
        <f>'Expenditures 15-22'!G114</f>
        <v>331312</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25</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5334</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4207</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4207</v>
      </c>
      <c r="C1021" s="2" t="s">
        <v>573</v>
      </c>
      <c r="D1021" s="2" t="str">
        <f t="shared" si="14"/>
        <v>Error?</v>
      </c>
    </row>
    <row r="1022" spans="1:4">
      <c r="A1022" s="5">
        <v>961</v>
      </c>
      <c r="B1022" s="137">
        <f>'Expenditures 15-22'!H49</f>
        <v>4459</v>
      </c>
      <c r="D1022" s="2" t="str">
        <f t="shared" si="14"/>
        <v>Error?</v>
      </c>
    </row>
    <row r="1023" spans="1:4">
      <c r="A1023" s="5">
        <v>962</v>
      </c>
      <c r="B1023" s="137">
        <f>'Expenditures 15-22'!H50</f>
        <v>59970</v>
      </c>
      <c r="D1023" s="2" t="str">
        <f t="shared" ref="D1023:D1086" si="15">IF(ISBLANK(B1023),"OK",IF(A1023-B1023=0,"OK","Error?"))</f>
        <v>Error?</v>
      </c>
    </row>
    <row r="1024" spans="1:4">
      <c r="A1024" s="5">
        <v>963</v>
      </c>
      <c r="B1024" s="137">
        <f>'Expenditures 15-22'!H53</f>
        <v>64429</v>
      </c>
      <c r="C1024" s="2" t="s">
        <v>573</v>
      </c>
      <c r="D1024" s="2" t="str">
        <f t="shared" si="15"/>
        <v>Error?</v>
      </c>
    </row>
    <row r="1025" spans="1:4">
      <c r="A1025" s="5">
        <v>964</v>
      </c>
      <c r="B1025" s="137">
        <f>'Expenditures 15-22'!H55</f>
        <v>9400</v>
      </c>
      <c r="D1025" s="2" t="str">
        <f t="shared" si="15"/>
        <v>Error?</v>
      </c>
    </row>
    <row r="1026" spans="1:4">
      <c r="A1026" s="5">
        <v>965</v>
      </c>
      <c r="B1026" s="137">
        <f>'Expenditures 15-22'!H56</f>
        <v>0</v>
      </c>
      <c r="D1026" s="2" t="str">
        <f t="shared" si="15"/>
        <v>Error?</v>
      </c>
    </row>
    <row r="1027" spans="1:4">
      <c r="A1027" s="5">
        <v>966</v>
      </c>
      <c r="B1027" s="137">
        <f>'Expenditures 15-22'!H57</f>
        <v>9400</v>
      </c>
      <c r="C1027" s="2" t="s">
        <v>573</v>
      </c>
      <c r="D1027" s="2" t="str">
        <f t="shared" si="15"/>
        <v>Error?</v>
      </c>
    </row>
    <row r="1028" spans="1:4">
      <c r="A1028" s="5">
        <v>967</v>
      </c>
      <c r="B1028" s="137">
        <f>'Expenditures 15-22'!H59</f>
        <v>1775</v>
      </c>
      <c r="D1028" s="2" t="str">
        <f t="shared" si="15"/>
        <v>Error?</v>
      </c>
    </row>
    <row r="1029" spans="1:4">
      <c r="A1029" s="5">
        <v>968</v>
      </c>
      <c r="B1029" s="137">
        <f>'Expenditures 15-22'!H60</f>
        <v>34885</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36660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1799</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1799</v>
      </c>
      <c r="C1043" s="2" t="s">
        <v>573</v>
      </c>
      <c r="D1043" s="2" t="str">
        <f t="shared" si="15"/>
        <v>Error?</v>
      </c>
    </row>
    <row r="1044" spans="1:4">
      <c r="A1044" s="5">
        <v>983</v>
      </c>
      <c r="B1044" s="137">
        <f>'Expenditures 15-22'!H73</f>
        <v>0</v>
      </c>
      <c r="D1044" s="2" t="str">
        <f t="shared" si="15"/>
        <v>Error?</v>
      </c>
    </row>
    <row r="1045" spans="1:4">
      <c r="A1045" s="5">
        <v>984</v>
      </c>
      <c r="B1045" s="137">
        <f>'Expenditures 15-22'!H74</f>
        <v>116495</v>
      </c>
      <c r="C1045" s="2" t="s">
        <v>573</v>
      </c>
      <c r="D1045" s="2" t="str">
        <f t="shared" si="15"/>
        <v>Error?</v>
      </c>
    </row>
    <row r="1046" spans="1:4">
      <c r="A1046" s="5">
        <v>985</v>
      </c>
      <c r="B1046" s="137">
        <f>'Expenditures 15-22'!H75</f>
        <v>0</v>
      </c>
      <c r="D1046" s="2" t="str">
        <f t="shared" si="15"/>
        <v>Error?</v>
      </c>
    </row>
    <row r="1047" spans="1:4">
      <c r="A1047" s="5">
        <v>986</v>
      </c>
      <c r="B1047" s="137">
        <f>'Expenditures 15-22'!H102</f>
        <v>1492095</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1790396</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16937210</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1079767</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432686</v>
      </c>
      <c r="C1106" s="2" t="s">
        <v>573</v>
      </c>
      <c r="D1106" s="2" t="str">
        <f t="shared" si="16"/>
        <v>Error?</v>
      </c>
    </row>
    <row r="1107" spans="1:4">
      <c r="A1107" s="5">
        <v>1046</v>
      </c>
      <c r="B1107" s="137">
        <f>'Expenditures 15-22'!K15</f>
        <v>172441</v>
      </c>
      <c r="C1107" s="2" t="s">
        <v>573</v>
      </c>
      <c r="D1107" s="2" t="str">
        <f t="shared" si="16"/>
        <v>Error?</v>
      </c>
    </row>
    <row r="1108" spans="1:4">
      <c r="A1108" s="5">
        <v>1047</v>
      </c>
      <c r="B1108" s="137">
        <f>'Expenditures 15-22'!K33</f>
        <v>23566565</v>
      </c>
      <c r="C1108" s="2" t="s">
        <v>573</v>
      </c>
      <c r="D1108" s="2" t="str">
        <f t="shared" si="16"/>
        <v>Error?</v>
      </c>
    </row>
    <row r="1109" spans="1:4">
      <c r="A1109" s="5">
        <v>1048</v>
      </c>
      <c r="B1109" s="137">
        <f>'Expenditures 15-22'!K36</f>
        <v>955577</v>
      </c>
      <c r="C1109" s="2" t="s">
        <v>573</v>
      </c>
      <c r="D1109" s="2" t="str">
        <f t="shared" si="16"/>
        <v>Error?</v>
      </c>
    </row>
    <row r="1110" spans="1:4">
      <c r="A1110" s="5">
        <v>1049</v>
      </c>
      <c r="B1110" s="137">
        <f>'Expenditures 15-22'!K37</f>
        <v>50774</v>
      </c>
      <c r="C1110" s="2" t="s">
        <v>573</v>
      </c>
      <c r="D1110" s="2" t="str">
        <f t="shared" si="16"/>
        <v>Error?</v>
      </c>
    </row>
    <row r="1111" spans="1:4">
      <c r="A1111" s="5">
        <v>1050</v>
      </c>
      <c r="B1111" s="137">
        <f>'Expenditures 15-22'!K38</f>
        <v>388659</v>
      </c>
      <c r="C1111" s="2" t="s">
        <v>573</v>
      </c>
      <c r="D1111" s="2" t="str">
        <f t="shared" si="16"/>
        <v>Error?</v>
      </c>
    </row>
    <row r="1112" spans="1:4">
      <c r="A1112" s="5">
        <v>1051</v>
      </c>
      <c r="B1112" s="137">
        <f>'Expenditures 15-22'!K39</f>
        <v>400766</v>
      </c>
      <c r="C1112" s="2" t="s">
        <v>573</v>
      </c>
      <c r="D1112" s="2" t="str">
        <f t="shared" si="16"/>
        <v>Error?</v>
      </c>
    </row>
    <row r="1113" spans="1:4">
      <c r="A1113" s="5">
        <v>1052</v>
      </c>
      <c r="B1113" s="137">
        <f>'Expenditures 15-22'!K40</f>
        <v>894844</v>
      </c>
      <c r="C1113" s="2" t="s">
        <v>573</v>
      </c>
      <c r="D1113" s="2" t="str">
        <f t="shared" si="16"/>
        <v>Error?</v>
      </c>
    </row>
    <row r="1114" spans="1:4">
      <c r="A1114" s="5">
        <v>1053</v>
      </c>
      <c r="B1114" s="137">
        <f>'Expenditures 15-22'!K41</f>
        <v>331830</v>
      </c>
      <c r="C1114" s="2" t="s">
        <v>573</v>
      </c>
      <c r="D1114" s="2" t="str">
        <f t="shared" si="16"/>
        <v>Error?</v>
      </c>
    </row>
    <row r="1115" spans="1:4">
      <c r="A1115" s="5">
        <v>1054</v>
      </c>
      <c r="B1115" s="137">
        <f>'Expenditures 15-22'!K42</f>
        <v>3022450</v>
      </c>
      <c r="C1115" s="2" t="s">
        <v>573</v>
      </c>
      <c r="D1115" s="2" t="str">
        <f t="shared" si="16"/>
        <v>Error?</v>
      </c>
    </row>
    <row r="1116" spans="1:4">
      <c r="A1116" s="5">
        <v>1055</v>
      </c>
      <c r="B1116" s="137">
        <f>'Expenditures 15-22'!K44</f>
        <v>446977</v>
      </c>
      <c r="C1116" s="2" t="s">
        <v>573</v>
      </c>
      <c r="D1116" s="2" t="str">
        <f t="shared" si="16"/>
        <v>Error?</v>
      </c>
    </row>
    <row r="1117" spans="1:4">
      <c r="A1117" s="5">
        <v>1056</v>
      </c>
      <c r="B1117" s="137">
        <f>'Expenditures 15-22'!K45</f>
        <v>1537439</v>
      </c>
      <c r="C1117" s="2" t="s">
        <v>573</v>
      </c>
      <c r="D1117" s="2" t="str">
        <f t="shared" si="16"/>
        <v>Error?</v>
      </c>
    </row>
    <row r="1118" spans="1:4">
      <c r="A1118" s="5">
        <v>1057</v>
      </c>
      <c r="B1118" s="137">
        <f>'Expenditures 15-22'!K46</f>
        <v>53673</v>
      </c>
      <c r="C1118" s="2" t="s">
        <v>573</v>
      </c>
      <c r="D1118" s="2" t="str">
        <f t="shared" si="16"/>
        <v>Error?</v>
      </c>
    </row>
    <row r="1119" spans="1:4">
      <c r="A1119" s="5">
        <v>1058</v>
      </c>
      <c r="B1119" s="137">
        <f>'Expenditures 15-22'!K47</f>
        <v>2038089</v>
      </c>
      <c r="C1119" s="2" t="s">
        <v>573</v>
      </c>
      <c r="D1119" s="2" t="str">
        <f t="shared" si="16"/>
        <v>Error?</v>
      </c>
    </row>
    <row r="1120" spans="1:4">
      <c r="A1120" s="5">
        <v>1059</v>
      </c>
      <c r="B1120" s="137">
        <f>'Expenditures 15-22'!K49</f>
        <v>161399</v>
      </c>
      <c r="C1120" s="2" t="s">
        <v>573</v>
      </c>
      <c r="D1120" s="2" t="str">
        <f t="shared" si="16"/>
        <v>Error?</v>
      </c>
    </row>
    <row r="1121" spans="1:4">
      <c r="A1121" s="5">
        <v>1060</v>
      </c>
      <c r="B1121" s="137">
        <f>'Expenditures 15-22'!K50</f>
        <v>421260</v>
      </c>
      <c r="C1121" s="2" t="s">
        <v>573</v>
      </c>
      <c r="D1121" s="2" t="str">
        <f t="shared" si="16"/>
        <v>Error?</v>
      </c>
    </row>
    <row r="1122" spans="1:4">
      <c r="A1122" s="5">
        <v>1061</v>
      </c>
      <c r="B1122" s="137">
        <f>'Expenditures 15-22'!K53</f>
        <v>687943</v>
      </c>
      <c r="C1122" s="2" t="s">
        <v>573</v>
      </c>
      <c r="D1122" s="2" t="str">
        <f t="shared" si="16"/>
        <v>Error?</v>
      </c>
    </row>
    <row r="1123" spans="1:4">
      <c r="A1123" s="5">
        <v>1062</v>
      </c>
      <c r="B1123" s="137">
        <f>'Expenditures 15-22'!K55</f>
        <v>1655302</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1655302</v>
      </c>
      <c r="C1125" s="2" t="s">
        <v>573</v>
      </c>
      <c r="D1125" s="2" t="str">
        <f t="shared" si="16"/>
        <v>Error?</v>
      </c>
    </row>
    <row r="1126" spans="1:4">
      <c r="A1126" s="5">
        <v>1065</v>
      </c>
      <c r="B1126" s="137">
        <f>'Expenditures 15-22'!K59</f>
        <v>276915</v>
      </c>
      <c r="C1126" s="2" t="s">
        <v>573</v>
      </c>
      <c r="D1126" s="2" t="str">
        <f t="shared" si="16"/>
        <v>Error?</v>
      </c>
    </row>
    <row r="1127" spans="1:4">
      <c r="A1127" s="5">
        <v>1066</v>
      </c>
      <c r="B1127" s="137">
        <f>'Expenditures 15-22'!K60</f>
        <v>437975</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10165</v>
      </c>
      <c r="C1129" s="2" t="s">
        <v>573</v>
      </c>
      <c r="D1129" s="2" t="str">
        <f t="shared" si="16"/>
        <v>Error?</v>
      </c>
    </row>
    <row r="1130" spans="1:4">
      <c r="A1130" s="5">
        <v>1069</v>
      </c>
      <c r="B1130" s="137">
        <f>'Expenditures 15-22'!K63</f>
        <v>738490</v>
      </c>
      <c r="C1130" s="2" t="s">
        <v>573</v>
      </c>
      <c r="D1130" s="2" t="str">
        <f t="shared" si="16"/>
        <v>Error?</v>
      </c>
    </row>
    <row r="1131" spans="1:4">
      <c r="A1131" s="5">
        <v>1070</v>
      </c>
      <c r="B1131" s="137">
        <f>'Expenditures 15-22'!K64</f>
        <v>0</v>
      </c>
      <c r="C1131" s="2" t="s">
        <v>573</v>
      </c>
      <c r="D1131" s="2" t="str">
        <f t="shared" si="16"/>
        <v>Error?</v>
      </c>
    </row>
    <row r="1132" spans="1:4">
      <c r="A1132" s="10">
        <v>1071</v>
      </c>
      <c r="D1132" s="2" t="str">
        <f t="shared" si="16"/>
        <v>OK</v>
      </c>
    </row>
    <row r="1133" spans="1:4">
      <c r="A1133" s="5">
        <v>1072</v>
      </c>
      <c r="B1133" s="137">
        <f>'Expenditures 15-22'!K65</f>
        <v>1463545</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86497</v>
      </c>
      <c r="C1136" s="2" t="s">
        <v>573</v>
      </c>
      <c r="D1136" s="2" t="str">
        <f t="shared" si="16"/>
        <v>Error?</v>
      </c>
    </row>
    <row r="1137" spans="1:4">
      <c r="A1137" s="5">
        <v>1076</v>
      </c>
      <c r="B1137" s="137">
        <f>'Expenditures 15-22'!K70</f>
        <v>0</v>
      </c>
      <c r="C1137" s="2" t="s">
        <v>573</v>
      </c>
      <c r="D1137" s="2" t="str">
        <f t="shared" si="16"/>
        <v>Error?</v>
      </c>
    </row>
    <row r="1138" spans="1:4">
      <c r="A1138" s="10">
        <v>1077</v>
      </c>
      <c r="D1138" s="2" t="str">
        <f t="shared" si="16"/>
        <v>OK</v>
      </c>
    </row>
    <row r="1139" spans="1:4">
      <c r="A1139" s="5">
        <v>1078</v>
      </c>
      <c r="B1139" s="137">
        <f>'Expenditures 15-22'!K71</f>
        <v>10281</v>
      </c>
      <c r="C1139" s="2" t="s">
        <v>573</v>
      </c>
      <c r="D1139" s="2" t="str">
        <f t="shared" si="16"/>
        <v>Error?</v>
      </c>
    </row>
    <row r="1140" spans="1:4">
      <c r="A1140" s="10">
        <v>1079</v>
      </c>
      <c r="D1140" s="2" t="str">
        <f t="shared" si="16"/>
        <v>OK</v>
      </c>
    </row>
    <row r="1141" spans="1:4">
      <c r="A1141" s="5">
        <v>1080</v>
      </c>
      <c r="B1141" s="137">
        <f>'Expenditures 15-22'!K72</f>
        <v>96778</v>
      </c>
      <c r="C1141" s="2" t="s">
        <v>573</v>
      </c>
      <c r="D1141" s="2" t="str">
        <f t="shared" si="16"/>
        <v>Error?</v>
      </c>
    </row>
    <row r="1142" spans="1:4">
      <c r="A1142" s="5">
        <v>1081</v>
      </c>
      <c r="B1142" s="137">
        <f>'Expenditures 15-22'!K73</f>
        <v>-1305</v>
      </c>
      <c r="C1142" s="2" t="s">
        <v>573</v>
      </c>
      <c r="D1142" s="2" t="str">
        <f t="shared" si="16"/>
        <v>Error?</v>
      </c>
    </row>
    <row r="1143" spans="1:4">
      <c r="A1143" s="5">
        <v>1082</v>
      </c>
      <c r="B1143" s="137">
        <f>'Expenditures 15-22'!K74</f>
        <v>8962802</v>
      </c>
      <c r="C1143" s="2" t="s">
        <v>573</v>
      </c>
      <c r="D1143" s="2" t="str">
        <f t="shared" si="16"/>
        <v>Error?</v>
      </c>
    </row>
    <row r="1144" spans="1:4">
      <c r="A1144" s="5">
        <v>1083</v>
      </c>
      <c r="B1144" s="137">
        <f>'Expenditures 15-22'!K75</f>
        <v>97065</v>
      </c>
      <c r="C1144" s="2" t="s">
        <v>573</v>
      </c>
      <c r="D1144" s="2" t="str">
        <f t="shared" si="16"/>
        <v>Error?</v>
      </c>
    </row>
    <row r="1145" spans="1:4">
      <c r="A1145" s="5">
        <v>1084</v>
      </c>
      <c r="B1145" s="137">
        <f>'Expenditures 15-22'!K102</f>
        <v>1628895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34431799</v>
      </c>
      <c r="C1152" s="2" t="s">
        <v>573</v>
      </c>
      <c r="D1152" s="2" t="str">
        <f t="shared" si="17"/>
        <v>Error?</v>
      </c>
    </row>
    <row r="1153" spans="1:4">
      <c r="A1153" s="5">
        <v>1092</v>
      </c>
      <c r="B1153" s="137">
        <f>'Expenditures 15-22'!K115</f>
        <v>2529099</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140877</v>
      </c>
      <c r="D1219" s="2" t="str">
        <f t="shared" si="18"/>
        <v>Error?</v>
      </c>
    </row>
    <row r="1220" spans="1:4">
      <c r="A1220" s="5">
        <v>1159</v>
      </c>
      <c r="B1220" s="137">
        <f>'Expenditures 15-22'!C123</f>
        <v>0</v>
      </c>
      <c r="D1220" s="2" t="str">
        <f t="shared" si="18"/>
        <v>Error?</v>
      </c>
    </row>
    <row r="1221" spans="1:4">
      <c r="A1221" s="5">
        <v>1160</v>
      </c>
      <c r="B1221" s="137">
        <f>'Expenditures 15-22'!C124</f>
        <v>1096494</v>
      </c>
      <c r="D1221" s="2" t="str">
        <f t="shared" si="18"/>
        <v>Error?</v>
      </c>
    </row>
    <row r="1222" spans="1:4">
      <c r="A1222" s="10">
        <v>1161</v>
      </c>
      <c r="D1222" s="2" t="str">
        <f t="shared" si="18"/>
        <v>OK</v>
      </c>
    </row>
    <row r="1223" spans="1:4">
      <c r="A1223" s="5">
        <v>1162</v>
      </c>
      <c r="B1223" s="137">
        <f>'Expenditures 15-22'!C127</f>
        <v>1237371</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1237371</v>
      </c>
      <c r="C1225" s="2" t="s">
        <v>573</v>
      </c>
      <c r="D1225" s="2" t="str">
        <f t="shared" si="18"/>
        <v>Error?</v>
      </c>
    </row>
    <row r="1226" spans="1:4">
      <c r="A1226" s="5">
        <v>1165</v>
      </c>
      <c r="B1226" s="137">
        <f>'Expenditures 15-22'!C151</f>
        <v>1237371</v>
      </c>
      <c r="C1226" s="2" t="s">
        <v>573</v>
      </c>
      <c r="D1226" s="2" t="str">
        <f t="shared" si="18"/>
        <v>Error?</v>
      </c>
    </row>
    <row r="1227" spans="1:4">
      <c r="A1227" s="5">
        <v>1166</v>
      </c>
      <c r="B1227" s="137">
        <f>'Expenditures 15-22'!D122</f>
        <v>38048</v>
      </c>
      <c r="D1227" s="2" t="str">
        <f t="shared" si="18"/>
        <v>Error?</v>
      </c>
    </row>
    <row r="1228" spans="1:4">
      <c r="A1228" s="5">
        <v>1167</v>
      </c>
      <c r="B1228" s="137">
        <f>'Expenditures 15-22'!D123</f>
        <v>0</v>
      </c>
      <c r="D1228" s="2" t="str">
        <f t="shared" si="18"/>
        <v>Error?</v>
      </c>
    </row>
    <row r="1229" spans="1:4">
      <c r="A1229" s="5">
        <v>1168</v>
      </c>
      <c r="B1229" s="137">
        <f>'Expenditures 15-22'!D124</f>
        <v>246124</v>
      </c>
      <c r="D1229" s="2" t="str">
        <f t="shared" si="18"/>
        <v>Error?</v>
      </c>
    </row>
    <row r="1230" spans="1:4">
      <c r="A1230" s="10">
        <v>1169</v>
      </c>
      <c r="D1230" s="2" t="str">
        <f t="shared" si="18"/>
        <v>OK</v>
      </c>
    </row>
    <row r="1231" spans="1:4">
      <c r="A1231" s="5">
        <v>1170</v>
      </c>
      <c r="B1231" s="137">
        <f>'Expenditures 15-22'!D127</f>
        <v>284172</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284172</v>
      </c>
      <c r="C1233" s="2" t="s">
        <v>573</v>
      </c>
      <c r="D1233" s="2" t="str">
        <f t="shared" si="18"/>
        <v>Error?</v>
      </c>
    </row>
    <row r="1234" spans="1:4">
      <c r="A1234" s="5">
        <v>1173</v>
      </c>
      <c r="B1234" s="137">
        <f>'Expenditures 15-22'!D151</f>
        <v>284172</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399826</v>
      </c>
      <c r="D1237" s="2" t="str">
        <f t="shared" si="18"/>
        <v>Error?</v>
      </c>
    </row>
    <row r="1238" spans="1:4">
      <c r="A1238" s="10">
        <v>1177</v>
      </c>
      <c r="D1238" s="2" t="str">
        <f t="shared" si="18"/>
        <v>OK</v>
      </c>
    </row>
    <row r="1239" spans="1:4">
      <c r="A1239" s="5">
        <v>1178</v>
      </c>
      <c r="B1239" s="137">
        <f>'Expenditures 15-22'!E127</f>
        <v>399826</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399826</v>
      </c>
      <c r="C1241" s="2" t="s">
        <v>573</v>
      </c>
      <c r="D1241" s="2" t="str">
        <f t="shared" si="18"/>
        <v>Error?</v>
      </c>
    </row>
    <row r="1242" spans="1:4">
      <c r="A1242" s="5">
        <v>1181</v>
      </c>
      <c r="B1242" s="137">
        <f>'Expenditures 15-22'!E151</f>
        <v>399826</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1219506</v>
      </c>
      <c r="D1245" s="2" t="str">
        <f t="shared" si="18"/>
        <v>Error?</v>
      </c>
    </row>
    <row r="1246" spans="1:4">
      <c r="A1246" s="10">
        <v>1185</v>
      </c>
      <c r="D1246" s="2" t="str">
        <f t="shared" si="18"/>
        <v>OK</v>
      </c>
    </row>
    <row r="1247" spans="1:4">
      <c r="A1247" s="5">
        <v>1186</v>
      </c>
      <c r="B1247" s="137">
        <f>'Expenditures 15-22'!F127</f>
        <v>1219506</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1219506</v>
      </c>
      <c r="C1249" s="2" t="s">
        <v>573</v>
      </c>
      <c r="D1249" s="2" t="str">
        <f t="shared" si="18"/>
        <v>Error?</v>
      </c>
    </row>
    <row r="1250" spans="1:4">
      <c r="A1250" s="5">
        <v>1189</v>
      </c>
      <c r="B1250" s="137">
        <f>'Expenditures 15-22'!F151</f>
        <v>1219506</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31347</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31347</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31347</v>
      </c>
      <c r="C1258" s="2" t="s">
        <v>573</v>
      </c>
      <c r="D1258" s="2" t="str">
        <f t="shared" si="18"/>
        <v>Error?</v>
      </c>
    </row>
    <row r="1259" spans="1:4">
      <c r="A1259" s="5">
        <v>1198</v>
      </c>
      <c r="B1259" s="137">
        <f>'Expenditures 15-22'!G151</f>
        <v>31347</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828</v>
      </c>
      <c r="D1262" s="2" t="str">
        <f t="shared" si="18"/>
        <v>Error?</v>
      </c>
    </row>
    <row r="1263" spans="1:4">
      <c r="A1263" s="10">
        <v>1202</v>
      </c>
      <c r="D1263" s="2" t="str">
        <f t="shared" si="18"/>
        <v>OK</v>
      </c>
    </row>
    <row r="1264" spans="1:4">
      <c r="A1264" s="5">
        <v>1203</v>
      </c>
      <c r="B1264" s="137">
        <f>'Expenditures 15-22'!H127</f>
        <v>828</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828</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123745</v>
      </c>
      <c r="C1272" s="2" t="s">
        <v>573</v>
      </c>
      <c r="D1272" s="2" t="str">
        <f t="shared" si="18"/>
        <v>Error?</v>
      </c>
    </row>
    <row r="1273" spans="1:4">
      <c r="A1273" s="5">
        <v>1212</v>
      </c>
      <c r="B1273" s="137">
        <f>'Expenditures 15-22'!H151</f>
        <v>124573</v>
      </c>
      <c r="C1273" s="2" t="s">
        <v>573</v>
      </c>
      <c r="D1273" s="2" t="str">
        <f t="shared" si="18"/>
        <v>Error?</v>
      </c>
    </row>
    <row r="1274" spans="1:4">
      <c r="A1274" s="5">
        <v>1213</v>
      </c>
      <c r="B1274" s="137">
        <f>'Expenditures 15-22'!K122</f>
        <v>178925</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3013557</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3192482</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3192482</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123745</v>
      </c>
      <c r="C1287" s="2" t="s">
        <v>573</v>
      </c>
      <c r="D1287" s="2" t="str">
        <f t="shared" si="19"/>
        <v>Error?</v>
      </c>
    </row>
    <row r="1288" spans="1:4">
      <c r="A1288" s="5">
        <v>1227</v>
      </c>
      <c r="B1288" s="137">
        <f>'Expenditures 15-22'!K151</f>
        <v>3316227</v>
      </c>
      <c r="C1288" s="2" t="s">
        <v>573</v>
      </c>
      <c r="D1288" s="2" t="str">
        <f t="shared" si="19"/>
        <v>Error?</v>
      </c>
    </row>
    <row r="1289" spans="1:4">
      <c r="A1289" s="5">
        <v>1228</v>
      </c>
      <c r="B1289" s="137">
        <f>'Expenditures 15-22'!K152</f>
        <v>-1139753</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357522</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6568661</v>
      </c>
      <c r="D1315" s="2" t="str">
        <f t="shared" si="19"/>
        <v>Error?</v>
      </c>
    </row>
    <row r="1316" spans="1:4">
      <c r="A1316" s="5">
        <v>1255</v>
      </c>
      <c r="B1316" s="137">
        <f>'Expenditures 15-22'!H171</f>
        <v>2136</v>
      </c>
      <c r="D1316" s="2" t="str">
        <f t="shared" si="19"/>
        <v>Error?</v>
      </c>
    </row>
    <row r="1317" spans="1:4">
      <c r="A1317" s="5">
        <v>1256</v>
      </c>
      <c r="B1317" s="137">
        <f>'Expenditures 15-22'!H172</f>
        <v>6928319</v>
      </c>
      <c r="C1317" s="2" t="s">
        <v>573</v>
      </c>
      <c r="D1317" s="2" t="str">
        <f t="shared" si="19"/>
        <v>Error?</v>
      </c>
    </row>
    <row r="1318" spans="1:4">
      <c r="A1318" s="5">
        <v>1257</v>
      </c>
      <c r="B1318" s="137">
        <f>'Expenditures 15-22'!H174</f>
        <v>6928319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357522</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6568661</v>
      </c>
      <c r="C1329" s="2" t="s">
        <v>573</v>
      </c>
      <c r="D1329" s="2" t="str">
        <f t="shared" si="19"/>
        <v>Error?</v>
      </c>
    </row>
    <row r="1330" spans="1:4">
      <c r="A1330" s="5">
        <v>1269</v>
      </c>
      <c r="B1330" s="137">
        <f>'Expenditures 15-22'!K171</f>
        <v>2136</v>
      </c>
      <c r="C1330" s="2" t="s">
        <v>573</v>
      </c>
      <c r="D1330" s="2" t="str">
        <f t="shared" si="19"/>
        <v>Error?</v>
      </c>
    </row>
    <row r="1331" spans="1:4">
      <c r="A1331" s="5">
        <v>1270</v>
      </c>
      <c r="B1331" s="137">
        <f>'Expenditures 15-22'!K172</f>
        <v>6928319</v>
      </c>
      <c r="C1331" s="2" t="s">
        <v>573</v>
      </c>
      <c r="D1331" s="2" t="str">
        <f t="shared" si="19"/>
        <v>Error?</v>
      </c>
    </row>
    <row r="1332" spans="1:4">
      <c r="A1332" s="5">
        <v>1271</v>
      </c>
      <c r="B1332" s="137">
        <f>'Expenditures 15-22'!K174</f>
        <v>6928319</v>
      </c>
      <c r="C1332" s="2" t="s">
        <v>573</v>
      </c>
      <c r="D1332" s="2" t="str">
        <f t="shared" si="19"/>
        <v>Error?</v>
      </c>
    </row>
    <row r="1333" spans="1:4">
      <c r="A1333" s="5">
        <v>1272</v>
      </c>
      <c r="B1333" s="137">
        <f>'Expenditures 15-22'!K175</f>
        <v>369325</v>
      </c>
      <c r="C1333" s="2" t="s">
        <v>573</v>
      </c>
      <c r="D1333" s="2" t="str">
        <f t="shared" si="19"/>
        <v>Error?</v>
      </c>
    </row>
    <row r="1334" spans="1:4">
      <c r="A1334" s="10">
        <v>1273</v>
      </c>
      <c r="D1334" s="2" t="str">
        <f t="shared" si="19"/>
        <v>OK</v>
      </c>
    </row>
    <row r="1335" spans="1:4">
      <c r="A1335" s="5">
        <v>1274</v>
      </c>
      <c r="B1335" s="137">
        <f>'Expenditures 15-22'!C182</f>
        <v>5396</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5396</v>
      </c>
      <c r="C1339" s="2" t="s">
        <v>573</v>
      </c>
      <c r="D1339" s="2" t="str">
        <f t="shared" si="19"/>
        <v>Error?</v>
      </c>
    </row>
    <row r="1340" spans="1:4">
      <c r="A1340" s="5">
        <v>1279</v>
      </c>
      <c r="B1340" s="137">
        <f>'Expenditures 15-22'!C210</f>
        <v>5396</v>
      </c>
      <c r="C1340" s="2" t="s">
        <v>573</v>
      </c>
      <c r="D1340" s="2" t="str">
        <f t="shared" si="19"/>
        <v>Error?</v>
      </c>
    </row>
    <row r="1341" spans="1:4">
      <c r="A1341" s="5">
        <v>1280</v>
      </c>
      <c r="B1341" s="137">
        <f>'Expenditures 15-22'!D182</f>
        <v>1471</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1471</v>
      </c>
      <c r="C1345" s="2" t="s">
        <v>573</v>
      </c>
      <c r="D1345" s="2" t="str">
        <f t="shared" si="20"/>
        <v>Error?</v>
      </c>
    </row>
    <row r="1346" spans="1:4">
      <c r="A1346" s="5">
        <v>1285</v>
      </c>
      <c r="B1346" s="137">
        <f>'Expenditures 15-22'!D210</f>
        <v>1471</v>
      </c>
      <c r="C1346" s="2" t="s">
        <v>573</v>
      </c>
      <c r="D1346" s="2" t="str">
        <f t="shared" si="20"/>
        <v>Error?</v>
      </c>
    </row>
    <row r="1347" spans="1:4">
      <c r="A1347" s="5">
        <v>1286</v>
      </c>
      <c r="B1347" s="137">
        <f>'Expenditures 15-22'!E182</f>
        <v>2053423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2053423</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2053423</v>
      </c>
      <c r="C1353" s="2" t="s">
        <v>573</v>
      </c>
      <c r="D1353" s="2" t="str">
        <f t="shared" si="20"/>
        <v>Error?</v>
      </c>
    </row>
    <row r="1354" spans="1:4">
      <c r="A1354" s="5">
        <v>1293</v>
      </c>
      <c r="B1354" s="137">
        <f>'Expenditures 15-22'!F182</f>
        <v>931</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931</v>
      </c>
      <c r="C1358" s="2" t="s">
        <v>573</v>
      </c>
      <c r="D1358" s="2" t="str">
        <f t="shared" si="20"/>
        <v>Error?</v>
      </c>
    </row>
    <row r="1359" spans="1:4">
      <c r="A1359" s="5">
        <v>1298</v>
      </c>
      <c r="B1359" s="137">
        <f>'Expenditures 15-22'!F210</f>
        <v>931</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2061221</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2061221</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2061221</v>
      </c>
      <c r="C1388" s="2" t="s">
        <v>573</v>
      </c>
      <c r="D1388" s="2" t="str">
        <f t="shared" si="20"/>
        <v>Error?</v>
      </c>
    </row>
    <row r="1389" spans="1:4">
      <c r="A1389" s="5">
        <v>1328</v>
      </c>
      <c r="B1389" s="137">
        <f>'Expenditures 15-22'!K211</f>
        <v>-649053</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30676</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9929</v>
      </c>
      <c r="D1408" s="2" t="str">
        <f t="shared" si="21"/>
        <v>Error?</v>
      </c>
    </row>
    <row r="1409" spans="1:4">
      <c r="A1409" s="5">
        <v>1348</v>
      </c>
      <c r="B1409" s="137">
        <f>'Expenditures 15-22'!D224</f>
        <v>7897</v>
      </c>
      <c r="D1409" s="2" t="str">
        <f t="shared" si="21"/>
        <v>Error?</v>
      </c>
    </row>
    <row r="1410" spans="1:4">
      <c r="A1410" s="5">
        <v>1349</v>
      </c>
      <c r="B1410" s="137">
        <f>'Expenditures 15-22'!D229</f>
        <v>473423</v>
      </c>
      <c r="C1410" s="2" t="s">
        <v>573</v>
      </c>
      <c r="D1410" s="2" t="str">
        <f t="shared" si="21"/>
        <v>Error?</v>
      </c>
    </row>
    <row r="1411" spans="1:4">
      <c r="A1411" s="5">
        <v>1350</v>
      </c>
      <c r="B1411" s="137">
        <f>'Expenditures 15-22'!D232</f>
        <v>10832</v>
      </c>
      <c r="D1411" s="2" t="str">
        <f t="shared" si="21"/>
        <v>Error?</v>
      </c>
    </row>
    <row r="1412" spans="1:4">
      <c r="A1412" s="5">
        <v>1351</v>
      </c>
      <c r="B1412" s="137">
        <f>'Expenditures 15-22'!D233</f>
        <v>0</v>
      </c>
      <c r="D1412" s="2" t="str">
        <f t="shared" si="21"/>
        <v>Error?</v>
      </c>
    </row>
    <row r="1413" spans="1:4">
      <c r="A1413" s="5">
        <v>1352</v>
      </c>
      <c r="B1413" s="137">
        <f>'Expenditures 15-22'!D234</f>
        <v>35707</v>
      </c>
      <c r="D1413" s="2" t="str">
        <f t="shared" si="21"/>
        <v>Error?</v>
      </c>
    </row>
    <row r="1414" spans="1:4">
      <c r="A1414" s="5">
        <v>1353</v>
      </c>
      <c r="B1414" s="137">
        <f>'Expenditures 15-22'!D235</f>
        <v>15526</v>
      </c>
      <c r="D1414" s="2" t="str">
        <f t="shared" si="21"/>
        <v>Error?</v>
      </c>
    </row>
    <row r="1415" spans="1:4">
      <c r="A1415" s="5">
        <v>1354</v>
      </c>
      <c r="B1415" s="137">
        <f>'Expenditures 15-22'!D236</f>
        <v>9130</v>
      </c>
      <c r="D1415" s="2" t="str">
        <f t="shared" si="21"/>
        <v>Error?</v>
      </c>
    </row>
    <row r="1416" spans="1:4">
      <c r="A1416" s="5">
        <v>1355</v>
      </c>
      <c r="B1416" s="137">
        <f>'Expenditures 15-22'!D237</f>
        <v>50780</v>
      </c>
      <c r="D1416" s="2" t="str">
        <f t="shared" si="21"/>
        <v>Error?</v>
      </c>
    </row>
    <row r="1417" spans="1:4">
      <c r="A1417" s="5">
        <v>1356</v>
      </c>
      <c r="B1417" s="137">
        <f>'Expenditures 15-22'!D238</f>
        <v>121975</v>
      </c>
      <c r="C1417" s="2" t="s">
        <v>573</v>
      </c>
      <c r="D1417" s="2" t="str">
        <f t="shared" si="21"/>
        <v>Error?</v>
      </c>
    </row>
    <row r="1418" spans="1:4">
      <c r="A1418" s="5">
        <v>1357</v>
      </c>
      <c r="B1418" s="137">
        <f>'Expenditures 15-22'!D240</f>
        <v>15255</v>
      </c>
      <c r="D1418" s="2" t="str">
        <f t="shared" si="21"/>
        <v>Error?</v>
      </c>
    </row>
    <row r="1419" spans="1:4">
      <c r="A1419" s="5">
        <v>1358</v>
      </c>
      <c r="B1419" s="137">
        <f>'Expenditures 15-22'!D241</f>
        <v>94638</v>
      </c>
      <c r="D1419" s="2" t="str">
        <f t="shared" si="21"/>
        <v>Error?</v>
      </c>
    </row>
    <row r="1420" spans="1:4">
      <c r="A1420" s="5">
        <v>1359</v>
      </c>
      <c r="B1420" s="137">
        <f>'Expenditures 15-22'!D242</f>
        <v>0</v>
      </c>
      <c r="D1420" s="2" t="str">
        <f t="shared" si="21"/>
        <v>Error?</v>
      </c>
    </row>
    <row r="1421" spans="1:4">
      <c r="A1421" s="5">
        <v>1360</v>
      </c>
      <c r="B1421" s="137">
        <f>'Expenditures 15-22'!D243</f>
        <v>109893</v>
      </c>
      <c r="C1421" s="2" t="s">
        <v>573</v>
      </c>
      <c r="D1421" s="2" t="str">
        <f t="shared" si="21"/>
        <v>Error?</v>
      </c>
    </row>
    <row r="1422" spans="1:4">
      <c r="A1422" s="5">
        <v>1361</v>
      </c>
      <c r="B1422" s="137">
        <f>'Expenditures 15-22'!D245</f>
        <v>0</v>
      </c>
      <c r="D1422" s="2" t="str">
        <f t="shared" si="21"/>
        <v>Error?</v>
      </c>
    </row>
    <row r="1423" spans="1:4">
      <c r="A1423" s="5">
        <v>1362</v>
      </c>
      <c r="B1423" s="137">
        <f>'Expenditures 15-22'!D246</f>
        <v>18953</v>
      </c>
      <c r="D1423" s="2" t="str">
        <f t="shared" si="21"/>
        <v>Error?</v>
      </c>
    </row>
    <row r="1424" spans="1:4">
      <c r="A1424" s="5">
        <v>1363</v>
      </c>
      <c r="B1424" s="137">
        <f>'Expenditures 15-22'!D257</f>
        <v>20088</v>
      </c>
      <c r="C1424" s="2" t="s">
        <v>573</v>
      </c>
      <c r="D1424" s="2" t="str">
        <f t="shared" si="21"/>
        <v>Error?</v>
      </c>
    </row>
    <row r="1425" spans="1:4">
      <c r="A1425" s="5">
        <v>1364</v>
      </c>
      <c r="B1425" s="137">
        <f>'Expenditures 15-22'!D259</f>
        <v>74380</v>
      </c>
      <c r="D1425" s="2" t="str">
        <f t="shared" si="21"/>
        <v>Error?</v>
      </c>
    </row>
    <row r="1426" spans="1:4">
      <c r="A1426" s="5">
        <v>1365</v>
      </c>
      <c r="B1426" s="137">
        <f>'Expenditures 15-22'!D260</f>
        <v>0</v>
      </c>
      <c r="D1426" s="2" t="str">
        <f t="shared" si="21"/>
        <v>Error?</v>
      </c>
    </row>
    <row r="1427" spans="1:4">
      <c r="A1427" s="5">
        <v>1366</v>
      </c>
      <c r="B1427" s="137">
        <f>'Expenditures 15-22'!D261</f>
        <v>74380</v>
      </c>
      <c r="C1427" s="2" t="s">
        <v>573</v>
      </c>
      <c r="D1427" s="2" t="str">
        <f t="shared" si="21"/>
        <v>Error?</v>
      </c>
    </row>
    <row r="1428" spans="1:4">
      <c r="A1428" s="5">
        <v>1367</v>
      </c>
      <c r="B1428" s="137">
        <f>'Expenditures 15-22'!D263</f>
        <v>47698</v>
      </c>
      <c r="D1428" s="2" t="str">
        <f t="shared" si="21"/>
        <v>Error?</v>
      </c>
    </row>
    <row r="1429" spans="1:4">
      <c r="A1429" s="5">
        <v>1368</v>
      </c>
      <c r="B1429" s="137">
        <f>'Expenditures 15-22'!D264</f>
        <v>34039</v>
      </c>
      <c r="D1429" s="2" t="str">
        <f t="shared" si="21"/>
        <v>Error?</v>
      </c>
    </row>
    <row r="1430" spans="1:4">
      <c r="A1430" s="5">
        <v>1369</v>
      </c>
      <c r="B1430" s="137">
        <f>'Expenditures 15-22'!D265</f>
        <v>0</v>
      </c>
      <c r="D1430" s="2" t="str">
        <f t="shared" si="21"/>
        <v>Error?</v>
      </c>
    </row>
    <row r="1431" spans="1:4">
      <c r="A1431" s="5">
        <v>1370</v>
      </c>
      <c r="B1431" s="137">
        <f>'Expenditures 15-22'!D266</f>
        <v>203246</v>
      </c>
      <c r="D1431" s="2" t="str">
        <f t="shared" si="21"/>
        <v>Error?</v>
      </c>
    </row>
    <row r="1432" spans="1:4">
      <c r="A1432" s="5">
        <v>1371</v>
      </c>
      <c r="B1432" s="137">
        <f>'Expenditures 15-22'!D267</f>
        <v>79</v>
      </c>
      <c r="D1432" s="2" t="str">
        <f t="shared" si="21"/>
        <v>Error?</v>
      </c>
    </row>
    <row r="1433" spans="1:4">
      <c r="A1433" s="5">
        <v>1372</v>
      </c>
      <c r="B1433" s="137">
        <f>'Expenditures 15-22'!D268</f>
        <v>9598</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294660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10531</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10531</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631527</v>
      </c>
      <c r="C1446" s="2" t="s">
        <v>573</v>
      </c>
      <c r="D1446" s="2" t="str">
        <f t="shared" si="21"/>
        <v>Error?</v>
      </c>
    </row>
    <row r="1447" spans="1:4">
      <c r="A1447" s="5">
        <v>1386</v>
      </c>
      <c r="B1447" s="137">
        <f>'Expenditures 15-22'!D280</f>
        <v>2522</v>
      </c>
      <c r="D1447" s="2" t="str">
        <f t="shared" si="21"/>
        <v>Error?</v>
      </c>
    </row>
    <row r="1448" spans="1:4">
      <c r="A1448" s="5">
        <v>1387</v>
      </c>
      <c r="B1448" s="137">
        <f>'Expenditures 15-22'!D295</f>
        <v>1107472</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30676</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9929</v>
      </c>
      <c r="C1472" s="2" t="s">
        <v>573</v>
      </c>
      <c r="D1472" s="2" t="str">
        <f t="shared" si="22"/>
        <v>Error?</v>
      </c>
    </row>
    <row r="1473" spans="1:4">
      <c r="A1473" s="5">
        <v>1412</v>
      </c>
      <c r="B1473" s="137">
        <f>'Expenditures 15-22'!K224</f>
        <v>7897</v>
      </c>
      <c r="C1473" s="2" t="s">
        <v>573</v>
      </c>
      <c r="D1473" s="2" t="str">
        <f t="shared" si="22"/>
        <v>Error?</v>
      </c>
    </row>
    <row r="1474" spans="1:4">
      <c r="A1474" s="5">
        <v>1413</v>
      </c>
      <c r="B1474" s="137">
        <f>'Expenditures 15-22'!K229</f>
        <v>473423</v>
      </c>
      <c r="C1474" s="2" t="s">
        <v>573</v>
      </c>
      <c r="D1474" s="2" t="str">
        <f t="shared" si="22"/>
        <v>Error?</v>
      </c>
    </row>
    <row r="1475" spans="1:4">
      <c r="A1475" s="5">
        <v>1414</v>
      </c>
      <c r="B1475" s="137">
        <f>'Expenditures 15-22'!K232</f>
        <v>10832</v>
      </c>
      <c r="C1475" s="2" t="s">
        <v>573</v>
      </c>
      <c r="D1475" s="2" t="str">
        <f t="shared" si="22"/>
        <v>Error?</v>
      </c>
    </row>
    <row r="1476" spans="1:4">
      <c r="A1476" s="5">
        <v>1415</v>
      </c>
      <c r="B1476" s="137">
        <f>'Expenditures 15-22'!K233</f>
        <v>0</v>
      </c>
      <c r="C1476" s="2" t="s">
        <v>573</v>
      </c>
      <c r="D1476" s="2" t="str">
        <f t="shared" si="22"/>
        <v>Error?</v>
      </c>
    </row>
    <row r="1477" spans="1:4">
      <c r="A1477" s="5">
        <v>1416</v>
      </c>
      <c r="B1477" s="137">
        <f>'Expenditures 15-22'!K234</f>
        <v>35707</v>
      </c>
      <c r="C1477" s="2" t="s">
        <v>573</v>
      </c>
      <c r="D1477" s="2" t="str">
        <f t="shared" si="22"/>
        <v>Error?</v>
      </c>
    </row>
    <row r="1478" spans="1:4">
      <c r="A1478" s="5">
        <v>1417</v>
      </c>
      <c r="B1478" s="137">
        <f>'Expenditures 15-22'!K235</f>
        <v>15526</v>
      </c>
      <c r="C1478" s="2" t="s">
        <v>573</v>
      </c>
      <c r="D1478" s="2" t="str">
        <f t="shared" si="22"/>
        <v>Error?</v>
      </c>
    </row>
    <row r="1479" spans="1:4">
      <c r="A1479" s="5">
        <v>1418</v>
      </c>
      <c r="B1479" s="137">
        <f>'Expenditures 15-22'!K236</f>
        <v>9130</v>
      </c>
      <c r="C1479" s="2" t="s">
        <v>573</v>
      </c>
      <c r="D1479" s="2" t="str">
        <f t="shared" si="22"/>
        <v>Error?</v>
      </c>
    </row>
    <row r="1480" spans="1:4">
      <c r="A1480" s="5">
        <v>1419</v>
      </c>
      <c r="B1480" s="137">
        <f>'Expenditures 15-22'!K237</f>
        <v>50780</v>
      </c>
      <c r="C1480" s="2" t="s">
        <v>573</v>
      </c>
      <c r="D1480" s="2" t="str">
        <f t="shared" si="22"/>
        <v>Error?</v>
      </c>
    </row>
    <row r="1481" spans="1:4">
      <c r="A1481" s="5">
        <v>1420</v>
      </c>
      <c r="B1481" s="137">
        <f>'Expenditures 15-22'!K238</f>
        <v>121975</v>
      </c>
      <c r="C1481" s="2" t="s">
        <v>573</v>
      </c>
      <c r="D1481" s="2" t="str">
        <f t="shared" si="22"/>
        <v>Error?</v>
      </c>
    </row>
    <row r="1482" spans="1:4">
      <c r="A1482" s="5">
        <v>1421</v>
      </c>
      <c r="B1482" s="137">
        <f>'Expenditures 15-22'!K240</f>
        <v>15255</v>
      </c>
      <c r="C1482" s="2" t="s">
        <v>573</v>
      </c>
      <c r="D1482" s="2" t="str">
        <f t="shared" si="22"/>
        <v>Error?</v>
      </c>
    </row>
    <row r="1483" spans="1:4">
      <c r="A1483" s="5">
        <v>1422</v>
      </c>
      <c r="B1483" s="137">
        <f>'Expenditures 15-22'!K241</f>
        <v>94638</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109893</v>
      </c>
      <c r="C1485" s="2" t="s">
        <v>573</v>
      </c>
      <c r="D1485" s="2" t="str">
        <f t="shared" si="22"/>
        <v>Error?</v>
      </c>
    </row>
    <row r="1486" spans="1:4">
      <c r="A1486" s="5">
        <v>1425</v>
      </c>
      <c r="B1486" s="137">
        <f>'Expenditures 15-22'!K245</f>
        <v>0</v>
      </c>
      <c r="C1486" s="2" t="s">
        <v>573</v>
      </c>
      <c r="D1486" s="2" t="str">
        <f t="shared" si="22"/>
        <v>Error?</v>
      </c>
    </row>
    <row r="1487" spans="1:4">
      <c r="A1487" s="5">
        <v>1426</v>
      </c>
      <c r="B1487" s="137">
        <f>'Expenditures 15-22'!K246</f>
        <v>18953</v>
      </c>
      <c r="C1487" s="2" t="s">
        <v>573</v>
      </c>
      <c r="D1487" s="2" t="str">
        <f t="shared" si="22"/>
        <v>Error?</v>
      </c>
    </row>
    <row r="1488" spans="1:4">
      <c r="A1488" s="5">
        <v>1427</v>
      </c>
      <c r="B1488" s="137">
        <f>'Expenditures 15-22'!K257</f>
        <v>20088</v>
      </c>
      <c r="C1488" s="2" t="s">
        <v>573</v>
      </c>
      <c r="D1488" s="2" t="str">
        <f t="shared" si="22"/>
        <v>Error?</v>
      </c>
    </row>
    <row r="1489" spans="1:4">
      <c r="A1489" s="5">
        <v>1428</v>
      </c>
      <c r="B1489" s="137">
        <f>'Expenditures 15-22'!K259</f>
        <v>74380</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74380</v>
      </c>
      <c r="C1491" s="2" t="s">
        <v>573</v>
      </c>
      <c r="D1491" s="2" t="str">
        <f t="shared" si="22"/>
        <v>Error?</v>
      </c>
    </row>
    <row r="1492" spans="1:4">
      <c r="A1492" s="5">
        <v>1431</v>
      </c>
      <c r="B1492" s="137">
        <f>'Expenditures 15-22'!K263</f>
        <v>47698</v>
      </c>
      <c r="C1492" s="2" t="s">
        <v>573</v>
      </c>
      <c r="D1492" s="2" t="str">
        <f t="shared" si="22"/>
        <v>Error?</v>
      </c>
    </row>
    <row r="1493" spans="1:4">
      <c r="A1493" s="5">
        <v>1432</v>
      </c>
      <c r="B1493" s="137">
        <f>'Expenditures 15-22'!K264</f>
        <v>34039</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203246</v>
      </c>
      <c r="C1495" s="2" t="s">
        <v>573</v>
      </c>
      <c r="D1495" s="2" t="str">
        <f t="shared" si="22"/>
        <v>Error?</v>
      </c>
    </row>
    <row r="1496" spans="1:4">
      <c r="A1496" s="5">
        <v>1435</v>
      </c>
      <c r="B1496" s="137">
        <f>'Expenditures 15-22'!K267</f>
        <v>79</v>
      </c>
      <c r="C1496" s="2" t="s">
        <v>573</v>
      </c>
      <c r="D1496" s="2" t="str">
        <f t="shared" si="22"/>
        <v>Error?</v>
      </c>
    </row>
    <row r="1497" spans="1:4">
      <c r="A1497" s="5">
        <v>1436</v>
      </c>
      <c r="B1497" s="137">
        <f>'Expenditures 15-22'!K268</f>
        <v>9598</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294660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10531</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10531</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631527</v>
      </c>
      <c r="C1510" s="2" t="s">
        <v>573</v>
      </c>
      <c r="D1510" s="2" t="str">
        <f t="shared" si="22"/>
        <v>Error?</v>
      </c>
    </row>
    <row r="1511" spans="1:4">
      <c r="A1511" s="5">
        <v>1450</v>
      </c>
      <c r="B1511" s="137">
        <f>'Expenditures 15-22'!K280</f>
        <v>2522</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1107472</v>
      </c>
      <c r="C1517" s="2" t="s">
        <v>573</v>
      </c>
      <c r="D1517" s="2" t="str">
        <f t="shared" si="22"/>
        <v>Error?</v>
      </c>
    </row>
    <row r="1518" spans="1:4">
      <c r="A1518" s="5">
        <v>1457</v>
      </c>
      <c r="B1518" s="137">
        <f>'Expenditures 15-22'!K296</f>
        <v>392276</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22095</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-648144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1880955</v>
      </c>
      <c r="C1630" s="2" t="s">
        <v>573</v>
      </c>
      <c r="D1630" s="2" t="str">
        <f t="shared" si="24"/>
        <v>Error?</v>
      </c>
    </row>
    <row r="1631" spans="1:4">
      <c r="A1631" s="5">
        <v>1570</v>
      </c>
      <c r="B1631" s="137">
        <f>'Acct Summary 7-8'!D79</f>
        <v>1957108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717355</v>
      </c>
      <c r="C1644" s="2" t="s">
        <v>573</v>
      </c>
      <c r="D1644" s="2" t="str">
        <f t="shared" si="24"/>
        <v>Error?</v>
      </c>
    </row>
    <row r="1645" spans="1:4">
      <c r="A1645" s="5">
        <v>1584</v>
      </c>
      <c r="B1645" s="137">
        <f>'Acct Summary 7-8'!E79</f>
        <v>3947082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4316407</v>
      </c>
      <c r="C1658" s="2" t="s">
        <v>573</v>
      </c>
      <c r="D1658" s="2" t="str">
        <f t="shared" si="24"/>
        <v>Error?</v>
      </c>
    </row>
    <row r="1659" spans="1:4">
      <c r="A1659" s="5">
        <v>1598</v>
      </c>
      <c r="B1659" s="137">
        <f>'Acct Summary 7-8'!F79</f>
        <v>3156981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2507928</v>
      </c>
      <c r="C1672" s="2" t="s">
        <v>573</v>
      </c>
      <c r="D1672" s="2" t="str">
        <f t="shared" si="25"/>
        <v>Error?</v>
      </c>
    </row>
    <row r="1673" spans="1:4">
      <c r="A1673" s="5">
        <v>1612</v>
      </c>
      <c r="B1673" s="137">
        <f>'Acct Summary 7-8'!G79</f>
        <v>206408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598684</v>
      </c>
      <c r="C1686" s="2" t="s">
        <v>573</v>
      </c>
      <c r="D1686" s="2" t="str">
        <f t="shared" si="25"/>
        <v>Error?</v>
      </c>
    </row>
    <row r="1687" spans="1:4">
      <c r="A1687" s="5">
        <v>1626</v>
      </c>
      <c r="B1687" s="137">
        <f>'Acct Summary 7-8'!H79</f>
        <v>587313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709408</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24161752</v>
      </c>
      <c r="C1744" s="2" t="s">
        <v>573</v>
      </c>
      <c r="D1744" s="2" t="str">
        <f t="shared" si="26"/>
        <v>Error?</v>
      </c>
    </row>
    <row r="1745" spans="1:5">
      <c r="A1745" s="5">
        <v>1684</v>
      </c>
      <c r="B1745" s="137">
        <f>'Tax Sched 23'!B5</f>
        <v>749485</v>
      </c>
      <c r="C1745" s="2" t="s">
        <v>573</v>
      </c>
      <c r="D1745" s="2" t="str">
        <f t="shared" si="26"/>
        <v>Error?</v>
      </c>
    </row>
    <row r="1746" spans="1:5">
      <c r="A1746" s="5">
        <v>1685</v>
      </c>
      <c r="B1746" s="137">
        <f>'Tax Sched 23'!B6</f>
        <v>7139640</v>
      </c>
      <c r="C1746" s="2" t="s">
        <v>573</v>
      </c>
      <c r="D1746" s="2" t="str">
        <f t="shared" si="26"/>
        <v>Error?</v>
      </c>
    </row>
    <row r="1747" spans="1:5">
      <c r="A1747" s="5">
        <v>1686</v>
      </c>
      <c r="B1747" s="137">
        <f>'Tax Sched 23'!B7</f>
        <v>-77166</v>
      </c>
      <c r="C1747" s="2" t="s">
        <v>573</v>
      </c>
      <c r="D1747" s="2" t="str">
        <f t="shared" si="26"/>
        <v>Error?</v>
      </c>
    </row>
    <row r="1748" spans="1:5">
      <c r="A1748" s="5">
        <v>1687</v>
      </c>
      <c r="B1748" s="137">
        <f>'Tax Sched 23'!B8</f>
        <v>1467380</v>
      </c>
      <c r="C1748" s="2" t="s">
        <v>573</v>
      </c>
      <c r="D1748" s="2" t="str">
        <f t="shared" si="26"/>
        <v>Error?</v>
      </c>
    </row>
    <row r="1749" spans="1:5">
      <c r="A1749" s="5">
        <v>1688</v>
      </c>
      <c r="B1749" s="137">
        <f>'Tax Sched 23'!B10</f>
        <v>969</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575245</v>
      </c>
      <c r="C1752" s="2" t="s">
        <v>573</v>
      </c>
      <c r="D1752" s="2" t="str">
        <f t="shared" si="26"/>
        <v>Error?</v>
      </c>
    </row>
    <row r="1753" spans="1:5">
      <c r="A1753" s="5">
        <v>1692</v>
      </c>
      <c r="B1753" s="137">
        <f>'Tax Sched 23'!B12</f>
        <v>970</v>
      </c>
      <c r="C1753" s="2" t="s">
        <v>573</v>
      </c>
      <c r="D1753" s="2" t="str">
        <f t="shared" si="26"/>
        <v>Error?</v>
      </c>
    </row>
    <row r="1754" spans="1:5">
      <c r="A1754" s="5">
        <v>1693</v>
      </c>
      <c r="B1754" s="137">
        <f>'Tax Sched 23'!B14</f>
        <v>2116431</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36134706</v>
      </c>
      <c r="C1759" s="2" t="s">
        <v>573</v>
      </c>
      <c r="D1759" s="2" t="str">
        <f t="shared" si="26"/>
        <v>Error?</v>
      </c>
    </row>
    <row r="1760" spans="1:5">
      <c r="A1760" s="5">
        <v>1699</v>
      </c>
      <c r="B1760" s="137">
        <f>'Tax Sched 23'!D4</f>
        <v>11240071</v>
      </c>
      <c r="C1760" s="2" t="s">
        <v>573</v>
      </c>
      <c r="D1760" s="2" t="str">
        <f t="shared" si="26"/>
        <v>Error?</v>
      </c>
    </row>
    <row r="1761" spans="1:5">
      <c r="A1761" s="5">
        <v>1700</v>
      </c>
      <c r="B1761" s="137">
        <f>'Tax Sched 23'!D5</f>
        <v>386684</v>
      </c>
      <c r="C1761" s="2" t="s">
        <v>573</v>
      </c>
      <c r="D1761" s="2" t="str">
        <f t="shared" si="26"/>
        <v>Error?</v>
      </c>
    </row>
    <row r="1762" spans="1:5" s="8" customFormat="1">
      <c r="A1762" s="5">
        <v>1701</v>
      </c>
      <c r="B1762" s="137">
        <f>'Tax Sched 23'!D6</f>
        <v>3370136</v>
      </c>
      <c r="C1762" s="2" t="s">
        <v>573</v>
      </c>
      <c r="D1762" s="2" t="str">
        <f t="shared" si="26"/>
        <v>Error?</v>
      </c>
      <c r="E1762" s="9"/>
    </row>
    <row r="1763" spans="1:5">
      <c r="A1763" s="5">
        <v>1702</v>
      </c>
      <c r="B1763" s="137">
        <f>'Tax Sched 23'!D7</f>
        <v>-78219</v>
      </c>
      <c r="C1763" s="2" t="s">
        <v>573</v>
      </c>
      <c r="D1763" s="2" t="str">
        <f t="shared" si="26"/>
        <v>Error?</v>
      </c>
    </row>
    <row r="1764" spans="1:5">
      <c r="A1764" s="5">
        <v>1703</v>
      </c>
      <c r="B1764" s="137">
        <f>'Tax Sched 23'!D8</f>
        <v>1079729</v>
      </c>
      <c r="C1764" s="2" t="s">
        <v>573</v>
      </c>
      <c r="D1764" s="2" t="str">
        <f t="shared" si="26"/>
        <v>Error?</v>
      </c>
    </row>
    <row r="1765" spans="1:5">
      <c r="A1765" s="5">
        <v>1704</v>
      </c>
      <c r="B1765" s="137">
        <f>'Tax Sched 23'!D10</f>
        <v>-84</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277052</v>
      </c>
      <c r="C1768" s="2" t="s">
        <v>573</v>
      </c>
      <c r="D1768" s="2" t="str">
        <f t="shared" si="26"/>
        <v>Error?</v>
      </c>
    </row>
    <row r="1769" spans="1:5">
      <c r="A1769" s="5">
        <v>1708</v>
      </c>
      <c r="B1769" s="137">
        <f>'Tax Sched 23'!D12</f>
        <v>-83</v>
      </c>
      <c r="C1769" s="2" t="s">
        <v>573</v>
      </c>
      <c r="D1769" s="2" t="str">
        <f t="shared" si="26"/>
        <v>Error?</v>
      </c>
    </row>
    <row r="1770" spans="1:5">
      <c r="A1770" s="5">
        <v>1709</v>
      </c>
      <c r="B1770" s="137">
        <f>'Tax Sched 23'!D14</f>
        <v>998208</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17273494</v>
      </c>
      <c r="C1775" s="2" t="s">
        <v>573</v>
      </c>
      <c r="D1775" s="2" t="str">
        <f t="shared" si="26"/>
        <v>Error?</v>
      </c>
    </row>
    <row r="1776" spans="1:5">
      <c r="A1776" s="5">
        <v>1715</v>
      </c>
      <c r="B1776" s="137">
        <f>'Tax Sched 23'!C4</f>
        <v>12921681</v>
      </c>
      <c r="D1776" s="2" t="str">
        <f t="shared" si="26"/>
        <v>Error?</v>
      </c>
    </row>
    <row r="1777" spans="1:4">
      <c r="A1777" s="5">
        <v>1716</v>
      </c>
      <c r="B1777" s="137">
        <f>'Tax Sched 23'!C5</f>
        <v>362801</v>
      </c>
      <c r="D1777" s="2" t="str">
        <f t="shared" si="26"/>
        <v>Error?</v>
      </c>
    </row>
    <row r="1778" spans="1:4">
      <c r="A1778" s="5">
        <v>1717</v>
      </c>
      <c r="B1778" s="137">
        <f>'Tax Sched 23'!C6</f>
        <v>3769504</v>
      </c>
      <c r="D1778" s="2" t="str">
        <f t="shared" si="26"/>
        <v>Error?</v>
      </c>
    </row>
    <row r="1779" spans="1:4">
      <c r="A1779" s="5">
        <v>1718</v>
      </c>
      <c r="B1779" s="137">
        <f>'Tax Sched 23'!C7</f>
        <v>1053</v>
      </c>
      <c r="D1779" s="2" t="str">
        <f t="shared" si="26"/>
        <v>Error?</v>
      </c>
    </row>
    <row r="1780" spans="1:4">
      <c r="A1780" s="5">
        <v>1719</v>
      </c>
      <c r="B1780" s="137">
        <f>'Tax Sched 23'!C8</f>
        <v>387651</v>
      </c>
      <c r="D1780" s="2" t="str">
        <f t="shared" si="26"/>
        <v>Error?</v>
      </c>
    </row>
    <row r="1781" spans="1:4">
      <c r="A1781" s="5">
        <v>1720</v>
      </c>
      <c r="B1781" s="137">
        <f>'Tax Sched 23'!C10</f>
        <v>1053</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298193</v>
      </c>
      <c r="D1784" s="2" t="str">
        <f t="shared" si="26"/>
        <v>Error?</v>
      </c>
    </row>
    <row r="1785" spans="1:4">
      <c r="A1785" s="5">
        <v>1724</v>
      </c>
      <c r="B1785" s="137">
        <f>'Tax Sched 23'!C12</f>
        <v>1053</v>
      </c>
      <c r="D1785" s="2" t="str">
        <f t="shared" si="26"/>
        <v>Error?</v>
      </c>
    </row>
    <row r="1786" spans="1:4">
      <c r="A1786" s="5">
        <v>1725</v>
      </c>
      <c r="B1786" s="137">
        <f>'Tax Sched 23'!C14</f>
        <v>1118223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18861212</v>
      </c>
      <c r="C1791" s="2" t="s">
        <v>573</v>
      </c>
      <c r="D1791" s="2" t="str">
        <f t="shared" ref="D1791:D1854" si="27">IF(ISBLANK(B1791),"OK",IF(A1791-B1791=0,"OK","Error?"))</f>
        <v>Error?</v>
      </c>
    </row>
    <row r="1792" spans="1:4">
      <c r="A1792" s="5">
        <v>1731</v>
      </c>
      <c r="B1792" s="137">
        <f>'Tax Sched 23'!F4</f>
        <v>12377653</v>
      </c>
      <c r="C1792" s="2" t="s">
        <v>573</v>
      </c>
      <c r="D1792" s="2" t="str">
        <f t="shared" si="27"/>
        <v>Error?</v>
      </c>
    </row>
    <row r="1793" spans="1:4">
      <c r="A1793" s="5">
        <v>1732</v>
      </c>
      <c r="B1793" s="137">
        <f>'Tax Sched 23'!F5</f>
        <v>347527</v>
      </c>
      <c r="C1793" s="2" t="s">
        <v>573</v>
      </c>
      <c r="D1793" s="2" t="str">
        <f t="shared" si="27"/>
        <v>Error?</v>
      </c>
    </row>
    <row r="1794" spans="1:4">
      <c r="A1794" s="5">
        <v>1733</v>
      </c>
      <c r="B1794" s="137">
        <f>'Tax Sched 23'!F6</f>
        <v>3610801</v>
      </c>
      <c r="C1794" s="2" t="s">
        <v>573</v>
      </c>
      <c r="D1794" s="2" t="str">
        <f t="shared" si="27"/>
        <v>Error?</v>
      </c>
    </row>
    <row r="1795" spans="1:4">
      <c r="A1795" s="5">
        <v>1734</v>
      </c>
      <c r="B1795" s="137">
        <f>'Tax Sched 23'!F7</f>
        <v>1007</v>
      </c>
      <c r="C1795" s="2" t="s">
        <v>573</v>
      </c>
      <c r="D1795" s="2" t="str">
        <f t="shared" si="27"/>
        <v>Error?</v>
      </c>
    </row>
    <row r="1796" spans="1:4">
      <c r="A1796" s="5">
        <v>1735</v>
      </c>
      <c r="B1796" s="137">
        <f>'Tax Sched 23'!F8</f>
        <v>1130311</v>
      </c>
      <c r="C1796" s="2" t="s">
        <v>573</v>
      </c>
      <c r="D1796" s="2" t="str">
        <f t="shared" si="27"/>
        <v>Error?</v>
      </c>
    </row>
    <row r="1797" spans="1:4">
      <c r="A1797" s="5">
        <v>1736</v>
      </c>
      <c r="B1797" s="137">
        <f>'Tax Sched 23'!F10</f>
        <v>1007</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285638</v>
      </c>
      <c r="C1800" s="2" t="s">
        <v>573</v>
      </c>
      <c r="D1800" s="2" t="str">
        <f t="shared" si="27"/>
        <v>Error?</v>
      </c>
    </row>
    <row r="1801" spans="1:4">
      <c r="A1801" s="5">
        <v>1740</v>
      </c>
      <c r="B1801" s="137">
        <f>'Tax Sched 23'!F12</f>
        <v>1007</v>
      </c>
      <c r="C1801" s="2" t="s">
        <v>573</v>
      </c>
      <c r="D1801" s="2" t="str">
        <f t="shared" si="27"/>
        <v>Error?</v>
      </c>
    </row>
    <row r="1802" spans="1:4">
      <c r="A1802" s="5">
        <v>1741</v>
      </c>
      <c r="B1802" s="137">
        <f>'Tax Sched 23'!F14</f>
        <v>1071143</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18826094</v>
      </c>
      <c r="C1807" s="2" t="s">
        <v>573</v>
      </c>
      <c r="D1807" s="2" t="str">
        <f t="shared" si="27"/>
        <v>Error?</v>
      </c>
    </row>
    <row r="1808" spans="1:4">
      <c r="A1808" s="5">
        <v>1747</v>
      </c>
      <c r="B1808" s="137">
        <f>'Tax Sched 23'!E4</f>
        <v>25299334</v>
      </c>
      <c r="D1808" s="2" t="str">
        <f t="shared" si="27"/>
        <v>Error?</v>
      </c>
    </row>
    <row r="1809" spans="1:4">
      <c r="A1809" s="5">
        <v>1748</v>
      </c>
      <c r="B1809" s="137">
        <f>'Tax Sched 23'!E5</f>
        <v>710328</v>
      </c>
      <c r="D1809" s="2" t="str">
        <f t="shared" si="27"/>
        <v>Error?</v>
      </c>
    </row>
    <row r="1810" spans="1:4">
      <c r="A1810" s="5">
        <v>1749</v>
      </c>
      <c r="B1810" s="137">
        <f>'Tax Sched 23'!E6</f>
        <v>7380305</v>
      </c>
      <c r="D1810" s="2" t="str">
        <f t="shared" si="27"/>
        <v>Error?</v>
      </c>
    </row>
    <row r="1811" spans="1:4">
      <c r="A1811" s="5">
        <v>1750</v>
      </c>
      <c r="B1811" s="137">
        <f>'Tax Sched 23'!E7</f>
        <v>2060</v>
      </c>
      <c r="D1811" s="2" t="str">
        <f t="shared" si="27"/>
        <v>Error?</v>
      </c>
    </row>
    <row r="1812" spans="1:4">
      <c r="A1812" s="5">
        <v>1751</v>
      </c>
      <c r="B1812" s="137">
        <f>'Tax Sched 23'!E8</f>
        <v>1517962</v>
      </c>
      <c r="D1812" s="2" t="str">
        <f t="shared" si="27"/>
        <v>Error?</v>
      </c>
    </row>
    <row r="1813" spans="1:4">
      <c r="A1813" s="5">
        <v>1752</v>
      </c>
      <c r="B1813" s="137">
        <f>'Tax Sched 23'!E10</f>
        <v>2060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583831</v>
      </c>
      <c r="D1816" s="2" t="str">
        <f t="shared" si="27"/>
        <v>Error?</v>
      </c>
    </row>
    <row r="1817" spans="1:4">
      <c r="A1817" s="5">
        <v>1756</v>
      </c>
      <c r="B1817" s="137">
        <f>'Tax Sched 23'!E12</f>
        <v>2060</v>
      </c>
      <c r="D1817" s="2" t="str">
        <f t="shared" si="27"/>
        <v>Error?</v>
      </c>
    </row>
    <row r="1818" spans="1:4">
      <c r="A1818" s="5">
        <v>1757</v>
      </c>
      <c r="B1818" s="137">
        <f>'Tax Sched 23'!E14</f>
        <v>2189366</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37687306</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44726674</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2116431</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2116431</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573</v>
      </c>
      <c r="D1982" s="2" t="str">
        <f t="shared" si="29"/>
        <v>Error?</v>
      </c>
    </row>
    <row r="1983" spans="1:5">
      <c r="A1983" s="5">
        <v>1922</v>
      </c>
      <c r="B1983" s="137">
        <f>'Rest Tax Levies-Tort Im 25'!H24</f>
        <v>2116431</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4755000</v>
      </c>
      <c r="D2008" s="2" t="str">
        <f t="shared" si="30"/>
        <v>Error?</v>
      </c>
    </row>
    <row r="2009" spans="1:4">
      <c r="A2009" s="5">
        <v>1948</v>
      </c>
      <c r="B2009" s="137">
        <f>'Cap Outlay Deprec 26'!C8</f>
        <v>62294573</v>
      </c>
      <c r="D2009" s="2" t="str">
        <f t="shared" si="30"/>
        <v>Error?</v>
      </c>
    </row>
    <row r="2010" spans="1:4">
      <c r="A2010" s="5">
        <v>1949</v>
      </c>
      <c r="B2010" s="137">
        <f>'Cap Outlay Deprec 26'!C10</f>
        <v>3199502</v>
      </c>
      <c r="D2010" s="2" t="str">
        <f t="shared" si="30"/>
        <v>Error?</v>
      </c>
    </row>
    <row r="2011" spans="1:4">
      <c r="A2011" s="5">
        <v>1950</v>
      </c>
      <c r="B2011" s="137">
        <f>'Cap Outlay Deprec 26'!C12</f>
        <v>0</v>
      </c>
      <c r="D2011" s="2" t="str">
        <f t="shared" si="30"/>
        <v>Error?</v>
      </c>
    </row>
    <row r="2012" spans="1:4">
      <c r="A2012" s="5">
        <v>1951</v>
      </c>
      <c r="B2012" s="137">
        <f>'Cap Outlay Deprec 26'!C13</f>
        <v>5694710</v>
      </c>
      <c r="D2012" s="2" t="str">
        <f t="shared" si="30"/>
        <v>Error?</v>
      </c>
    </row>
    <row r="2013" spans="1:4">
      <c r="A2013" s="5">
        <v>1952</v>
      </c>
      <c r="B2013" s="137">
        <f>'Cap Outlay Deprec 26'!C16</f>
        <v>75943785</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0</v>
      </c>
      <c r="D2016" s="2" t="str">
        <f t="shared" si="30"/>
        <v>Error?</v>
      </c>
    </row>
    <row r="2017" spans="1:4">
      <c r="A2017" s="5">
        <v>1956</v>
      </c>
      <c r="B2017" s="137">
        <f>'Cap Outlay Deprec 26'!D12</f>
        <v>0</v>
      </c>
      <c r="D2017" s="2" t="str">
        <f t="shared" si="30"/>
        <v>Error?</v>
      </c>
    </row>
    <row r="2018" spans="1:4">
      <c r="A2018" s="5">
        <v>1957</v>
      </c>
      <c r="B2018" s="137">
        <f>'Cap Outlay Deprec 26'!D13</f>
        <v>132774</v>
      </c>
      <c r="D2018" s="2" t="str">
        <f t="shared" si="30"/>
        <v>Error?</v>
      </c>
    </row>
    <row r="2019" spans="1:4">
      <c r="A2019" s="5">
        <v>1958</v>
      </c>
      <c r="B2019" s="137">
        <f>'Cap Outlay Deprec 26'!D16</f>
        <v>132774</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573</v>
      </c>
      <c r="D2025" s="2" t="str">
        <f t="shared" si="30"/>
        <v>Error?</v>
      </c>
    </row>
    <row r="2026" spans="1:4">
      <c r="A2026" s="5">
        <v>1965</v>
      </c>
      <c r="B2026" s="137">
        <f>'Cap Outlay Deprec 26'!F5</f>
        <v>4755000</v>
      </c>
      <c r="C2026" s="2" t="s">
        <v>573</v>
      </c>
      <c r="D2026" s="2" t="str">
        <f t="shared" si="30"/>
        <v>Error?</v>
      </c>
    </row>
    <row r="2027" spans="1:4">
      <c r="A2027" s="5">
        <v>1966</v>
      </c>
      <c r="B2027" s="137">
        <f>'Cap Outlay Deprec 26'!F8</f>
        <v>62294573</v>
      </c>
      <c r="C2027" s="2" t="s">
        <v>573</v>
      </c>
      <c r="D2027" s="2" t="str">
        <f t="shared" si="30"/>
        <v>Error?</v>
      </c>
    </row>
    <row r="2028" spans="1:4">
      <c r="A2028" s="5">
        <v>1967</v>
      </c>
      <c r="B2028" s="137">
        <f>'Cap Outlay Deprec 26'!F10</f>
        <v>3199502</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5827484</v>
      </c>
      <c r="C2030" s="2" t="s">
        <v>573</v>
      </c>
      <c r="D2030" s="2" t="str">
        <f t="shared" si="30"/>
        <v>Error?</v>
      </c>
    </row>
    <row r="2031" spans="1:4">
      <c r="A2031" s="5">
        <v>1970</v>
      </c>
      <c r="B2031" s="137">
        <f>'Cap Outlay Deprec 26'!F16</f>
        <v>76076559</v>
      </c>
      <c r="C2031" s="2" t="s">
        <v>573</v>
      </c>
      <c r="D2031" s="2" t="str">
        <f t="shared" si="30"/>
        <v>Error?</v>
      </c>
    </row>
    <row r="2032" spans="1:4">
      <c r="A2032" s="10">
        <v>1971</v>
      </c>
      <c r="D2032" s="2" t="str">
        <f t="shared" si="30"/>
        <v>OK</v>
      </c>
    </row>
    <row r="2033" spans="1:4">
      <c r="A2033" s="5">
        <v>1972</v>
      </c>
      <c r="B2033" s="137">
        <f>'Cap Outlay Deprec 26'!H8</f>
        <v>28754230</v>
      </c>
      <c r="D2033" s="2" t="str">
        <f t="shared" si="30"/>
        <v>Error?</v>
      </c>
    </row>
    <row r="2034" spans="1:4">
      <c r="A2034" s="5">
        <v>1973</v>
      </c>
      <c r="B2034" s="137">
        <f>'Cap Outlay Deprec 26'!H10</f>
        <v>2332446</v>
      </c>
      <c r="D2034" s="2" t="str">
        <f t="shared" si="30"/>
        <v>Error?</v>
      </c>
    </row>
    <row r="2035" spans="1:4">
      <c r="A2035" s="5">
        <v>1974</v>
      </c>
      <c r="B2035" s="137">
        <f>'Cap Outlay Deprec 26'!H12</f>
        <v>0</v>
      </c>
      <c r="D2035" s="2" t="str">
        <f t="shared" si="30"/>
        <v>Error?</v>
      </c>
    </row>
    <row r="2036" spans="1:4">
      <c r="A2036" s="5">
        <v>1975</v>
      </c>
      <c r="B2036" s="137">
        <f>'Cap Outlay Deprec 26'!H13</f>
        <v>3880042</v>
      </c>
      <c r="D2036" s="2" t="str">
        <f t="shared" si="30"/>
        <v>Error?</v>
      </c>
    </row>
    <row r="2037" spans="1:4">
      <c r="A2037" s="5">
        <v>1976</v>
      </c>
      <c r="B2037" s="137">
        <f>'Cap Outlay Deprec 26'!H16</f>
        <v>34966718</v>
      </c>
      <c r="C2037" s="2" t="s">
        <v>573</v>
      </c>
      <c r="D2037" s="2" t="str">
        <f t="shared" si="30"/>
        <v>Error?</v>
      </c>
    </row>
    <row r="2038" spans="1:4">
      <c r="A2038" s="10">
        <v>1977</v>
      </c>
      <c r="D2038" s="2" t="str">
        <f t="shared" si="30"/>
        <v>OK</v>
      </c>
    </row>
    <row r="2039" spans="1:4">
      <c r="A2039" s="5">
        <v>1978</v>
      </c>
      <c r="B2039" s="137">
        <f>'Cap Outlay Deprec 26'!I8</f>
        <v>1229337</v>
      </c>
      <c r="D2039" s="2" t="str">
        <f t="shared" si="30"/>
        <v>Error?</v>
      </c>
    </row>
    <row r="2040" spans="1:4">
      <c r="A2040" s="5">
        <v>1979</v>
      </c>
      <c r="B2040" s="137">
        <f>'Cap Outlay Deprec 26'!I10</f>
        <v>87511</v>
      </c>
      <c r="D2040" s="2" t="str">
        <f t="shared" si="30"/>
        <v>Error?</v>
      </c>
    </row>
    <row r="2041" spans="1:4">
      <c r="A2041" s="5">
        <v>1980</v>
      </c>
      <c r="B2041" s="137">
        <f>'Cap Outlay Deprec 26'!I12</f>
        <v>0</v>
      </c>
      <c r="D2041" s="2" t="str">
        <f t="shared" si="30"/>
        <v>Error?</v>
      </c>
    </row>
    <row r="2042" spans="1:4">
      <c r="A2042" s="5">
        <v>1981</v>
      </c>
      <c r="B2042" s="137">
        <f>'Cap Outlay Deprec 26'!I13</f>
        <v>438782</v>
      </c>
      <c r="D2042" s="2" t="str">
        <f t="shared" si="30"/>
        <v>Error?</v>
      </c>
    </row>
    <row r="2043" spans="1:4">
      <c r="A2043" s="5">
        <v>1982</v>
      </c>
      <c r="B2043" s="137">
        <f>'Cap Outlay Deprec 26'!I16</f>
        <v>1755630</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29983567</v>
      </c>
      <c r="C2051" s="2" t="s">
        <v>573</v>
      </c>
      <c r="D2051" s="2" t="str">
        <f t="shared" si="31"/>
        <v>Error?</v>
      </c>
    </row>
    <row r="2052" spans="1:4">
      <c r="A2052" s="5">
        <v>1991</v>
      </c>
      <c r="B2052" s="137">
        <f>'Cap Outlay Deprec 26'!K10</f>
        <v>2419957</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4318824</v>
      </c>
      <c r="C2054" s="2" t="s">
        <v>573</v>
      </c>
      <c r="D2054" s="2" t="str">
        <f t="shared" si="31"/>
        <v>Error?</v>
      </c>
    </row>
    <row r="2055" spans="1:4">
      <c r="A2055" s="5">
        <v>1994</v>
      </c>
      <c r="B2055" s="137">
        <f>'Cap Outlay Deprec 26'!K16</f>
        <v>36722348</v>
      </c>
      <c r="C2055" s="2" t="s">
        <v>573</v>
      </c>
      <c r="D2055" s="2" t="str">
        <f t="shared" si="31"/>
        <v>Error?</v>
      </c>
    </row>
    <row r="2056" spans="1:4">
      <c r="A2056" s="5">
        <v>1995</v>
      </c>
      <c r="B2056" s="137">
        <f>'Cap Outlay Deprec 26'!L5</f>
        <v>4755000</v>
      </c>
      <c r="C2056" s="2" t="s">
        <v>573</v>
      </c>
      <c r="D2056" s="2" t="str">
        <f t="shared" si="31"/>
        <v>Error?</v>
      </c>
    </row>
    <row r="2057" spans="1:4">
      <c r="A2057" s="5">
        <v>1996</v>
      </c>
      <c r="B2057" s="137">
        <f>'Cap Outlay Deprec 26'!L8</f>
        <v>32311006</v>
      </c>
      <c r="C2057" s="2" t="s">
        <v>573</v>
      </c>
      <c r="D2057" s="2" t="str">
        <f t="shared" si="31"/>
        <v>Error?</v>
      </c>
    </row>
    <row r="2058" spans="1:4">
      <c r="A2058" s="5">
        <v>1997</v>
      </c>
      <c r="B2058" s="137">
        <f>'Cap Outlay Deprec 26'!L10</f>
        <v>779545</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1508660</v>
      </c>
      <c r="C2060" s="2" t="s">
        <v>573</v>
      </c>
      <c r="D2060" s="2" t="str">
        <f t="shared" si="31"/>
        <v>Error?</v>
      </c>
    </row>
    <row r="2061" spans="1:4">
      <c r="A2061" s="5">
        <v>2000</v>
      </c>
      <c r="B2061" s="137">
        <f>'Cap Outlay Deprec 26'!L16</f>
        <v>39354211</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1486975</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1623775</v>
      </c>
      <c r="C2088" s="2" t="s">
        <v>573</v>
      </c>
      <c r="D2088" s="2" t="str">
        <f t="shared" si="31"/>
        <v>Error?</v>
      </c>
    </row>
    <row r="2089" spans="1:4">
      <c r="A2089" s="5">
        <v>2028</v>
      </c>
      <c r="B2089" s="137">
        <f>'Expenditures 15-22'!K92</f>
        <v>5120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2507928</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709408</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27516713</v>
      </c>
      <c r="C2551" s="2" t="s">
        <v>573</v>
      </c>
      <c r="D2551" s="2" t="str">
        <f t="shared" si="38"/>
        <v>Error?</v>
      </c>
    </row>
    <row r="2552" spans="1:4">
      <c r="A2552" s="10">
        <v>2491</v>
      </c>
      <c r="D2552" s="2" t="str">
        <f t="shared" si="38"/>
        <v>OK</v>
      </c>
    </row>
    <row r="2553" spans="1:4">
      <c r="A2553" s="5">
        <v>2492</v>
      </c>
      <c r="B2553" s="137">
        <f>'Acct Summary 7-8'!C6</f>
        <v>6975876</v>
      </c>
      <c r="C2553" s="2" t="s">
        <v>573</v>
      </c>
      <c r="D2553" s="2" t="str">
        <f t="shared" si="38"/>
        <v>Error?</v>
      </c>
    </row>
    <row r="2554" spans="1:4">
      <c r="A2554" s="5">
        <v>2493</v>
      </c>
      <c r="B2554" s="137">
        <f>'Acct Summary 7-8'!C7</f>
        <v>2468309</v>
      </c>
      <c r="C2554" s="2" t="s">
        <v>573</v>
      </c>
      <c r="D2554" s="2" t="str">
        <f t="shared" si="38"/>
        <v>Error?</v>
      </c>
    </row>
    <row r="2555" spans="1:4">
      <c r="A2555" s="5">
        <v>2494</v>
      </c>
      <c r="B2555" s="137">
        <f>'Acct Summary 7-8'!C8</f>
        <v>36960898</v>
      </c>
      <c r="C2555" s="2" t="s">
        <v>573</v>
      </c>
      <c r="D2555" s="2" t="str">
        <f t="shared" si="38"/>
        <v>Error?</v>
      </c>
    </row>
    <row r="2556" spans="1:4">
      <c r="A2556" s="5">
        <v>2495</v>
      </c>
      <c r="B2556" s="137">
        <f>'Acct Summary 7-8'!C12</f>
        <v>23566565</v>
      </c>
      <c r="C2556" s="2" t="s">
        <v>573</v>
      </c>
      <c r="D2556" s="2" t="str">
        <f t="shared" si="38"/>
        <v>Error?</v>
      </c>
    </row>
    <row r="2557" spans="1:4">
      <c r="A2557" s="5">
        <v>2496</v>
      </c>
      <c r="B2557" s="137">
        <f>'Acct Summary 7-8'!C13</f>
        <v>8962802</v>
      </c>
      <c r="C2557" s="2" t="s">
        <v>573</v>
      </c>
      <c r="D2557" s="2" t="str">
        <f t="shared" si="38"/>
        <v>Error?</v>
      </c>
    </row>
    <row r="2558" spans="1:4">
      <c r="A2558" s="5">
        <v>2497</v>
      </c>
      <c r="B2558" s="137">
        <f>'Acct Summary 7-8'!C14</f>
        <v>97065</v>
      </c>
      <c r="C2558" s="2" t="s">
        <v>573</v>
      </c>
      <c r="D2558" s="2" t="str">
        <f t="shared" si="38"/>
        <v>Error?</v>
      </c>
    </row>
    <row r="2559" spans="1:4">
      <c r="A2559" s="5">
        <v>2498</v>
      </c>
      <c r="B2559" s="137">
        <f>'Acct Summary 7-8'!C15</f>
        <v>1628895</v>
      </c>
      <c r="C2559" s="2" t="s">
        <v>573</v>
      </c>
      <c r="D2559" s="2" t="str">
        <f t="shared" ref="D2559:D2622" si="39">IF(ISBLANK(B2559),"OK",IF(A2559-B2559=0,"OK","Error?"))</f>
        <v>Error?</v>
      </c>
    </row>
    <row r="2560" spans="1:4">
      <c r="A2560" s="5">
        <v>2499</v>
      </c>
      <c r="B2560" s="137">
        <f>'Acct Summary 7-8'!C16</f>
        <v>176472</v>
      </c>
      <c r="C2560" s="2" t="s">
        <v>573</v>
      </c>
      <c r="D2560" s="2" t="str">
        <f t="shared" si="39"/>
        <v>Error?</v>
      </c>
    </row>
    <row r="2561" spans="1:4">
      <c r="A2561" s="5">
        <v>2500</v>
      </c>
      <c r="B2561" s="137">
        <f>'Acct Summary 7-8'!C17</f>
        <v>34431799</v>
      </c>
      <c r="C2561" s="2" t="s">
        <v>573</v>
      </c>
      <c r="D2561" s="2" t="str">
        <f t="shared" si="39"/>
        <v>Error?</v>
      </c>
    </row>
    <row r="2562" spans="1:4">
      <c r="A2562" s="5">
        <v>2501</v>
      </c>
      <c r="B2562" s="137">
        <f>'Acct Summary 7-8'!C20</f>
        <v>2529099</v>
      </c>
      <c r="C2562" s="2" t="s">
        <v>573</v>
      </c>
      <c r="D2562" s="2" t="str">
        <f t="shared" si="39"/>
        <v>Error?</v>
      </c>
    </row>
    <row r="2563" spans="1:4">
      <c r="A2563" s="5">
        <v>2502</v>
      </c>
      <c r="B2563" s="137">
        <f>'Acct Summary 7-8'!C80</f>
        <v>0</v>
      </c>
      <c r="D2563" s="2" t="str">
        <f t="shared" si="39"/>
        <v>Error?</v>
      </c>
    </row>
    <row r="2564" spans="1:4">
      <c r="A2564" s="5">
        <v>2503</v>
      </c>
      <c r="B2564" s="137">
        <f>'Acct Summary 7-8'!D4</f>
        <v>2176474</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2176474</v>
      </c>
      <c r="C2568" s="2" t="s">
        <v>573</v>
      </c>
      <c r="D2568" s="2" t="str">
        <f t="shared" si="39"/>
        <v>Error?</v>
      </c>
    </row>
    <row r="2569" spans="1:4">
      <c r="A2569" s="5">
        <v>2508</v>
      </c>
      <c r="B2569" s="137">
        <f>'Acct Summary 7-8'!D13</f>
        <v>3192482</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123745</v>
      </c>
      <c r="C2572" s="2" t="s">
        <v>573</v>
      </c>
      <c r="D2572" s="2" t="str">
        <f t="shared" si="39"/>
        <v>Error?</v>
      </c>
    </row>
    <row r="2573" spans="1:4">
      <c r="A2573" s="5">
        <v>2512</v>
      </c>
      <c r="B2573" s="137">
        <f>'Acct Summary 7-8'!D17</f>
        <v>3316227</v>
      </c>
      <c r="C2573" s="2" t="s">
        <v>573</v>
      </c>
      <c r="D2573" s="2" t="str">
        <f t="shared" si="39"/>
        <v>Error?</v>
      </c>
    </row>
    <row r="2574" spans="1:4">
      <c r="A2574" s="5">
        <v>2513</v>
      </c>
      <c r="B2574" s="137">
        <f>'Acct Summary 7-8'!D20</f>
        <v>-1139753</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39447</v>
      </c>
      <c r="C2591" s="2" t="s">
        <v>573</v>
      </c>
      <c r="D2591" s="2" t="str">
        <f t="shared" si="39"/>
        <v>Error?</v>
      </c>
    </row>
    <row r="2592" spans="1:4">
      <c r="A2592" s="10">
        <v>2531</v>
      </c>
      <c r="D2592" s="2" t="str">
        <f t="shared" si="39"/>
        <v>OK</v>
      </c>
    </row>
    <row r="2593" spans="1:4">
      <c r="A2593" s="5">
        <v>2532</v>
      </c>
      <c r="B2593" s="137">
        <f>'Acct Summary 7-8'!F6</f>
        <v>1372721</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1412168</v>
      </c>
      <c r="C2595" s="2" t="s">
        <v>573</v>
      </c>
      <c r="D2595" s="2" t="str">
        <f t="shared" si="39"/>
        <v>Error?</v>
      </c>
    </row>
    <row r="2596" spans="1:4">
      <c r="A2596" s="5">
        <v>2535</v>
      </c>
      <c r="B2596" s="137">
        <f>'Acct Summary 7-8'!F13</f>
        <v>2061221</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2061221</v>
      </c>
      <c r="C2600" s="2" t="s">
        <v>573</v>
      </c>
      <c r="D2600" s="2" t="str">
        <f t="shared" si="39"/>
        <v>Error?</v>
      </c>
    </row>
    <row r="2601" spans="1:4">
      <c r="A2601" s="5">
        <v>2540</v>
      </c>
      <c r="B2601" s="137">
        <f>'Acct Summary 7-8'!F20</f>
        <v>-649053</v>
      </c>
      <c r="C2601" s="2" t="s">
        <v>573</v>
      </c>
      <c r="D2601" s="2" t="str">
        <f t="shared" si="39"/>
        <v>Error?</v>
      </c>
    </row>
    <row r="2602" spans="1:4">
      <c r="A2602" s="5">
        <v>2541</v>
      </c>
      <c r="B2602" s="137">
        <f>'Acct Summary 7-8'!F80</f>
        <v>0</v>
      </c>
      <c r="D2602" s="2" t="str">
        <f t="shared" si="39"/>
        <v>Error?</v>
      </c>
    </row>
    <row r="2603" spans="1:4">
      <c r="A2603" s="5">
        <v>2542</v>
      </c>
      <c r="B2603" s="137">
        <f>'Acct Summary 7-8'!G4</f>
        <v>1499748</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1499748</v>
      </c>
      <c r="C2606" s="2" t="s">
        <v>573</v>
      </c>
      <c r="D2606" s="2" t="str">
        <f t="shared" si="39"/>
        <v>Error?</v>
      </c>
    </row>
    <row r="2607" spans="1:4">
      <c r="A2607" s="5">
        <v>2546</v>
      </c>
      <c r="B2607" s="137">
        <f>'Acct Summary 7-8'!G12</f>
        <v>473423</v>
      </c>
      <c r="C2607" s="2" t="s">
        <v>573</v>
      </c>
      <c r="D2607" s="2" t="str">
        <f t="shared" si="39"/>
        <v>Error?</v>
      </c>
    </row>
    <row r="2608" spans="1:4">
      <c r="A2608" s="5">
        <v>2547</v>
      </c>
      <c r="B2608" s="137">
        <f>'Acct Summary 7-8'!G13</f>
        <v>631527</v>
      </c>
      <c r="C2608" s="2" t="s">
        <v>573</v>
      </c>
      <c r="D2608" s="2" t="str">
        <f t="shared" si="39"/>
        <v>Error?</v>
      </c>
    </row>
    <row r="2609" spans="1:4">
      <c r="A2609" s="5">
        <v>2548</v>
      </c>
      <c r="B2609" s="137">
        <f>'Acct Summary 7-8'!G14</f>
        <v>2522</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1107472</v>
      </c>
      <c r="C2612" s="2" t="s">
        <v>573</v>
      </c>
      <c r="D2612" s="2" t="str">
        <f t="shared" si="39"/>
        <v>Error?</v>
      </c>
    </row>
    <row r="2613" spans="1:4">
      <c r="A2613" s="5">
        <v>2552</v>
      </c>
      <c r="B2613" s="137">
        <f>'Acct Summary 7-8'!G20</f>
        <v>392276</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7297644</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7297644</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6928319</v>
      </c>
      <c r="C2634" s="2" t="s">
        <v>573</v>
      </c>
      <c r="D2634" s="2" t="str">
        <f t="shared" si="40"/>
        <v>Error?</v>
      </c>
    </row>
    <row r="2635" spans="1:4">
      <c r="A2635" s="5">
        <v>2574</v>
      </c>
      <c r="B2635" s="137">
        <f>'Acct Summary 7-8'!E17</f>
        <v>6928319</v>
      </c>
      <c r="C2635" s="2" t="s">
        <v>573</v>
      </c>
      <c r="D2635" s="2" t="str">
        <f t="shared" si="40"/>
        <v>Error?</v>
      </c>
    </row>
    <row r="2636" spans="1:4">
      <c r="A2636" s="5">
        <v>2575</v>
      </c>
      <c r="B2636" s="137">
        <f>'Acct Summary 7-8'!E20</f>
        <v>369325</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22095</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22095</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22095</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78095</v>
      </c>
      <c r="D2718" s="2" t="str">
        <f t="shared" si="41"/>
        <v>Error?</v>
      </c>
    </row>
    <row r="2719" spans="1:4">
      <c r="A2719" s="5">
        <v>2658</v>
      </c>
      <c r="B2719" s="137">
        <f>'Expenditures 15-22'!D51</f>
        <v>27189</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105284</v>
      </c>
      <c r="C2724" s="2" t="s">
        <v>573</v>
      </c>
      <c r="D2724" s="2" t="str">
        <f t="shared" si="41"/>
        <v>Error?</v>
      </c>
    </row>
    <row r="2725" spans="1:4">
      <c r="A2725" s="5">
        <v>2664</v>
      </c>
      <c r="B2725" s="137">
        <f>'Expenditures 15-22'!D247</f>
        <v>1135</v>
      </c>
      <c r="D2725" s="2" t="str">
        <f t="shared" si="41"/>
        <v>Error?</v>
      </c>
    </row>
    <row r="2726" spans="1:4">
      <c r="A2726" s="5">
        <v>2665</v>
      </c>
      <c r="B2726" s="137">
        <f>'Expenditures 15-22'!K247</f>
        <v>1135</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100000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136800</v>
      </c>
      <c r="C2789" s="2" t="s">
        <v>573</v>
      </c>
      <c r="D2789" s="2" t="str">
        <f t="shared" si="42"/>
        <v>Error?</v>
      </c>
    </row>
    <row r="2790" spans="1:4">
      <c r="A2790" s="5">
        <v>2729</v>
      </c>
      <c r="B2790" s="137">
        <f>'Expenditures 15-22'!E102</f>
        <v>136800</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100000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958</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10302316</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114543</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972</v>
      </c>
      <c r="D2908" s="2" t="str">
        <f t="shared" si="44"/>
        <v>Error?</v>
      </c>
    </row>
    <row r="2909" spans="1:4">
      <c r="A2909" s="10">
        <v>2848</v>
      </c>
      <c r="D2909" s="2" t="str">
        <f t="shared" si="44"/>
        <v>OK</v>
      </c>
    </row>
    <row r="2910" spans="1:4">
      <c r="A2910" s="5">
        <v>2849</v>
      </c>
      <c r="B2910" s="137">
        <f>'Assets-Liab 5-6'!I34</f>
        <v>972</v>
      </c>
      <c r="C2910" s="2" t="s">
        <v>573</v>
      </c>
      <c r="D2910" s="2" t="str">
        <f t="shared" si="44"/>
        <v>Error?</v>
      </c>
    </row>
    <row r="2911" spans="1:4">
      <c r="A2911" s="5">
        <v>2850</v>
      </c>
      <c r="B2911" s="137">
        <f>'Assets-Liab 5-6'!I38</f>
        <v>0</v>
      </c>
      <c r="D2911" s="2" t="str">
        <f t="shared" si="44"/>
        <v>Error?</v>
      </c>
    </row>
    <row r="2912" spans="1:4">
      <c r="A2912" s="5">
        <v>2851</v>
      </c>
      <c r="B2912" s="137">
        <f>'Assets-Liab 5-6'!I39</f>
        <v>10301344</v>
      </c>
      <c r="D2912" s="2" t="str">
        <f t="shared" si="44"/>
        <v>Error?</v>
      </c>
    </row>
    <row r="2913" spans="1:4">
      <c r="A2913" s="5">
        <v>2852</v>
      </c>
      <c r="B2913" s="137">
        <f>'Assets-Liab 5-6'!I41</f>
        <v>10302316</v>
      </c>
      <c r="C2913" s="2" t="s">
        <v>573</v>
      </c>
      <c r="D2913" s="2" t="str">
        <f t="shared" si="44"/>
        <v>Error?</v>
      </c>
    </row>
    <row r="2914" spans="1:4">
      <c r="A2914" s="5">
        <v>2853</v>
      </c>
      <c r="B2914" s="137">
        <f>'Assets-Liab 5-6'!L33</f>
        <v>114543</v>
      </c>
      <c r="D2914" s="2" t="str">
        <f t="shared" si="44"/>
        <v>Error?</v>
      </c>
    </row>
    <row r="2915" spans="1:4">
      <c r="A2915" s="10">
        <v>2854</v>
      </c>
      <c r="D2915" s="2" t="str">
        <f t="shared" si="44"/>
        <v>OK</v>
      </c>
    </row>
    <row r="2916" spans="1:4">
      <c r="A2916" s="5">
        <v>2855</v>
      </c>
      <c r="B2916" s="137">
        <f>'Assets-Liab 5-6'!L34</f>
        <v>114543</v>
      </c>
      <c r="C2916" s="2" t="s">
        <v>573</v>
      </c>
      <c r="D2916" s="2" t="str">
        <f t="shared" si="44"/>
        <v>Error?</v>
      </c>
    </row>
    <row r="2917" spans="1:4">
      <c r="A2917" s="5">
        <v>2856</v>
      </c>
      <c r="B2917" s="137">
        <f>'Assets-Liab 5-6'!L41</f>
        <v>114543</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133853</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2947</v>
      </c>
      <c r="D2954" s="2" t="str">
        <f t="shared" si="45"/>
        <v>Error?</v>
      </c>
    </row>
    <row r="2955" spans="1:4">
      <c r="A2955" s="5">
        <v>2894</v>
      </c>
      <c r="B2955" s="137">
        <f>'Expenditures 15-22'!H78</f>
        <v>0</v>
      </c>
      <c r="D2955" s="2" t="str">
        <f t="shared" si="45"/>
        <v>Error?</v>
      </c>
    </row>
    <row r="2956" spans="1:4">
      <c r="A2956" s="5">
        <v>2895</v>
      </c>
      <c r="B2956" s="137">
        <f>'Expenditures 15-22'!H79</f>
        <v>1486975</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1620828</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2947</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350136</v>
      </c>
      <c r="C3225" s="2" t="s">
        <v>573</v>
      </c>
      <c r="D3225" s="2" t="str">
        <f t="shared" si="49"/>
        <v>Error?</v>
      </c>
    </row>
    <row r="3226" spans="1:4">
      <c r="A3226" s="5">
        <v>3165</v>
      </c>
      <c r="B3226" s="137">
        <f>'Acct Summary 7-8'!I8</f>
        <v>350136</v>
      </c>
      <c r="C3226" s="2" t="s">
        <v>573</v>
      </c>
      <c r="D3226" s="2" t="str">
        <f t="shared" si="49"/>
        <v>Error?</v>
      </c>
    </row>
    <row r="3227" spans="1:4">
      <c r="A3227" s="5">
        <v>3166</v>
      </c>
      <c r="B3227" s="137">
        <f>'Acct Summary 7-8'!I20</f>
        <v>350136</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2529099</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100000</v>
      </c>
      <c r="C3237" s="2" t="s">
        <v>573</v>
      </c>
      <c r="D3237" s="2" t="str">
        <f t="shared" si="49"/>
        <v>Error?</v>
      </c>
    </row>
    <row r="3238" spans="1:4">
      <c r="A3238" s="5">
        <v>3177</v>
      </c>
      <c r="B3238" s="137">
        <f>'Acct Summary 7-8'!D77</f>
        <v>-100000</v>
      </c>
      <c r="C3238" s="2" t="s">
        <v>573</v>
      </c>
      <c r="D3238" s="2" t="str">
        <f t="shared" si="49"/>
        <v>Error?</v>
      </c>
    </row>
    <row r="3239" spans="1:4">
      <c r="A3239" s="5">
        <v>3178</v>
      </c>
      <c r="B3239" s="137">
        <f>'Acct Summary 7-8'!D78</f>
        <v>-1239753</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-649053</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392276</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369325</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100000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100000</v>
      </c>
      <c r="C3299" s="2" t="s">
        <v>573</v>
      </c>
      <c r="D3299" s="2" t="str">
        <f t="shared" si="50"/>
        <v>Error?</v>
      </c>
    </row>
    <row r="3300" spans="1:4">
      <c r="A3300" s="5">
        <v>3239</v>
      </c>
      <c r="B3300" s="137">
        <f>'Acct Summary 7-8'!H78</f>
        <v>122095</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350136</v>
      </c>
      <c r="C3320" s="2" t="s">
        <v>573</v>
      </c>
      <c r="D3320" s="2" t="str">
        <f t="shared" si="50"/>
        <v>Error?</v>
      </c>
    </row>
    <row r="3321" spans="1:4">
      <c r="A3321" s="5">
        <v>3260</v>
      </c>
      <c r="B3321" s="137">
        <f>'Acct Summary 7-8'!I79</f>
        <v>9951208</v>
      </c>
      <c r="D3321" s="2" t="str">
        <f t="shared" si="50"/>
        <v>Error?</v>
      </c>
    </row>
    <row r="3322" spans="1:4">
      <c r="A3322" s="5">
        <v>3261</v>
      </c>
      <c r="B3322" s="137">
        <f>'Acct Summary 7-8'!I80</f>
        <v>0</v>
      </c>
      <c r="D3322" s="2" t="str">
        <f t="shared" si="50"/>
        <v>Error?</v>
      </c>
    </row>
    <row r="3323" spans="1:4">
      <c r="A3323" s="5">
        <v>3262</v>
      </c>
      <c r="B3323" s="137">
        <f>'Acct Summary 7-8'!I81</f>
        <v>10301344</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3315457</v>
      </c>
      <c r="D3366" s="2" t="str">
        <f t="shared" si="51"/>
        <v>Error?</v>
      </c>
    </row>
    <row r="3367" spans="1:4">
      <c r="A3367" s="5">
        <v>3306</v>
      </c>
      <c r="B3367" s="137">
        <f>'Expenditures 15-22'!C19</f>
        <v>0</v>
      </c>
      <c r="D3367" s="2" t="str">
        <f t="shared" si="51"/>
        <v>Error?</v>
      </c>
    </row>
    <row r="3368" spans="1:4">
      <c r="A3368" s="5">
        <v>3307</v>
      </c>
      <c r="B3368" s="137">
        <f>'Expenditures 15-22'!D8</f>
        <v>1036389</v>
      </c>
      <c r="D3368" s="2" t="str">
        <f t="shared" si="51"/>
        <v>Error?</v>
      </c>
    </row>
    <row r="3369" spans="1:4">
      <c r="A3369" s="5">
        <v>3308</v>
      </c>
      <c r="B3369" s="137">
        <f>'Expenditures 15-22'!D19</f>
        <v>0</v>
      </c>
      <c r="D3369" s="2" t="str">
        <f t="shared" si="51"/>
        <v>Error?</v>
      </c>
    </row>
    <row r="3370" spans="1:4">
      <c r="A3370" s="5">
        <v>3309</v>
      </c>
      <c r="B3370" s="137">
        <f>'Expenditures 15-22'!E8</f>
        <v>100480</v>
      </c>
      <c r="D3370" s="2" t="str">
        <f t="shared" si="51"/>
        <v>Error?</v>
      </c>
    </row>
    <row r="3371" spans="1:4">
      <c r="A3371" s="5">
        <v>3310</v>
      </c>
      <c r="B3371" s="137">
        <f>'Expenditures 15-22'!E19</f>
        <v>0</v>
      </c>
      <c r="D3371" s="2" t="str">
        <f t="shared" si="51"/>
        <v>Error?</v>
      </c>
    </row>
    <row r="3372" spans="1:4">
      <c r="A3372" s="5">
        <v>3311</v>
      </c>
      <c r="B3372" s="137">
        <f>'Expenditures 15-22'!F8</f>
        <v>54779</v>
      </c>
      <c r="D3372" s="2" t="str">
        <f t="shared" si="51"/>
        <v>Error?</v>
      </c>
    </row>
    <row r="3373" spans="1:4">
      <c r="A3373" s="5">
        <v>3312</v>
      </c>
      <c r="B3373" s="137">
        <f>'Expenditures 15-22'!F19</f>
        <v>0</v>
      </c>
      <c r="D3373" s="2" t="str">
        <f t="shared" si="51"/>
        <v>Error?</v>
      </c>
    </row>
    <row r="3374" spans="1:4">
      <c r="A3374" s="5">
        <v>3313</v>
      </c>
      <c r="B3374" s="137">
        <f>'Expenditures 15-22'!G8</f>
        <v>5104</v>
      </c>
      <c r="D3374" s="2" t="str">
        <f t="shared" si="51"/>
        <v>Error?</v>
      </c>
    </row>
    <row r="3375" spans="1:4">
      <c r="A3375" s="5">
        <v>3314</v>
      </c>
      <c r="B3375" s="137">
        <f>'Expenditures 15-22'!G19</f>
        <v>0</v>
      </c>
      <c r="D3375" s="2" t="str">
        <f t="shared" si="51"/>
        <v>Error?</v>
      </c>
    </row>
    <row r="3376" spans="1:4">
      <c r="A3376" s="5">
        <v>3315</v>
      </c>
      <c r="B3376" s="137">
        <f>'Expenditures 15-22'!H8</f>
        <v>5309</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4518960</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201865</v>
      </c>
      <c r="D3387" s="2" t="str">
        <f t="shared" si="51"/>
        <v>Error?</v>
      </c>
    </row>
    <row r="3388" spans="1:4">
      <c r="A3388" s="5">
        <v>3327</v>
      </c>
      <c r="B3388" s="137">
        <f>'Expenditures 15-22'!D217</f>
        <v>210608</v>
      </c>
      <c r="D3388" s="2" t="str">
        <f t="shared" si="51"/>
        <v>Error?</v>
      </c>
    </row>
    <row r="3389" spans="1:4">
      <c r="A3389" s="5">
        <v>3328</v>
      </c>
      <c r="B3389" s="137">
        <f>'Expenditures 15-22'!D228</f>
        <v>0</v>
      </c>
      <c r="D3389" s="2" t="str">
        <f t="shared" si="51"/>
        <v>Error?</v>
      </c>
    </row>
    <row r="3390" spans="1:4">
      <c r="A3390" s="5">
        <v>3329</v>
      </c>
      <c r="B3390" s="137">
        <f>'Expenditures 15-22'!K215</f>
        <v>201865</v>
      </c>
      <c r="C3390" s="2" t="s">
        <v>573</v>
      </c>
      <c r="D3390" s="2" t="str">
        <f t="shared" si="51"/>
        <v>Error?</v>
      </c>
    </row>
    <row r="3391" spans="1:4">
      <c r="A3391" s="5">
        <v>3330</v>
      </c>
      <c r="B3391" s="137">
        <f>'Expenditures 15-22'!K217</f>
        <v>210608</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4455993</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720590</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4368057</v>
      </c>
      <c r="D3417" s="2" t="str">
        <f t="shared" si="52"/>
        <v>Error?</v>
      </c>
    </row>
    <row r="3418" spans="1:4">
      <c r="A3418" s="10">
        <v>3357</v>
      </c>
      <c r="D3418" s="2" t="str">
        <f t="shared" si="52"/>
        <v>OK</v>
      </c>
    </row>
    <row r="3419" spans="1:4">
      <c r="A3419" s="5">
        <v>3358</v>
      </c>
      <c r="B3419" s="137">
        <f>'Assets-Liab 5-6'!F4</f>
        <v>2328046</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607447</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709408</v>
      </c>
      <c r="D3425" s="2" t="str">
        <f t="shared" si="52"/>
        <v>Error?</v>
      </c>
    </row>
    <row r="3426" spans="1:4">
      <c r="A3426" s="10">
        <v>3365</v>
      </c>
      <c r="D3426" s="2" t="str">
        <f t="shared" si="52"/>
        <v>OK</v>
      </c>
    </row>
    <row r="3427" spans="1:4">
      <c r="A3427" s="5">
        <v>3366</v>
      </c>
      <c r="B3427" s="137">
        <f>'Assets-Liab 5-6'!I4</f>
        <v>10296615</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114543</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958</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958</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972</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5715</v>
      </c>
      <c r="C3565" s="2" t="s">
        <v>573</v>
      </c>
      <c r="D3565" s="2" t="str">
        <f t="shared" si="54"/>
        <v>Error?</v>
      </c>
    </row>
    <row r="3566" spans="1:4">
      <c r="A3566" s="5">
        <v>3505</v>
      </c>
      <c r="B3566" s="137">
        <f>'Assets-Liab 5-6'!K38</f>
        <v>-4757</v>
      </c>
      <c r="D3566" s="2" t="str">
        <f t="shared" si="54"/>
        <v>Error?</v>
      </c>
    </row>
    <row r="3567" spans="1:4">
      <c r="A3567" s="5">
        <v>3506</v>
      </c>
      <c r="B3567" s="137">
        <f>'Assets-Liab 5-6'!K39</f>
        <v>0</v>
      </c>
      <c r="D3567" s="2" t="str">
        <f t="shared" si="54"/>
        <v>Error?</v>
      </c>
    </row>
    <row r="3568" spans="1:4">
      <c r="A3568" s="5">
        <v>3507</v>
      </c>
      <c r="B3568" s="137">
        <f>'Assets-Liab 5-6'!K41</f>
        <v>958</v>
      </c>
      <c r="C3568" s="2" t="s">
        <v>573</v>
      </c>
      <c r="D3568" s="2" t="str">
        <f t="shared" si="54"/>
        <v>Error?</v>
      </c>
    </row>
    <row r="3569" spans="1:4">
      <c r="A3569" s="5">
        <v>3508</v>
      </c>
      <c r="B3569" s="137">
        <f>'Acct Summary 7-8'!K4</f>
        <v>970</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970</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23</v>
      </c>
      <c r="C3574" s="2" t="s">
        <v>573</v>
      </c>
      <c r="D3574" s="2" t="str">
        <f t="shared" si="54"/>
        <v>Error?</v>
      </c>
    </row>
    <row r="3575" spans="1:4">
      <c r="A3575" s="5">
        <v>3514</v>
      </c>
      <c r="B3575" s="137">
        <f>'Acct Summary 7-8'!K17</f>
        <v>23</v>
      </c>
      <c r="C3575" s="2" t="s">
        <v>573</v>
      </c>
      <c r="D3575" s="2" t="str">
        <f t="shared" si="54"/>
        <v>Error?</v>
      </c>
    </row>
    <row r="3576" spans="1:4">
      <c r="A3576" s="5">
        <v>3515</v>
      </c>
      <c r="B3576" s="137">
        <f>'Acct Summary 7-8'!K20</f>
        <v>947</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947</v>
      </c>
      <c r="C3588" s="2" t="s">
        <v>573</v>
      </c>
      <c r="D3588" s="2" t="str">
        <f t="shared" si="55"/>
        <v>Error?</v>
      </c>
    </row>
    <row r="3589" spans="1:4">
      <c r="A3589" s="5">
        <v>3528</v>
      </c>
      <c r="B3589" s="137">
        <f>'Acct Summary 7-8'!K79</f>
        <v>-5704</v>
      </c>
      <c r="D3589" s="2" t="str">
        <f t="shared" si="55"/>
        <v>Error?</v>
      </c>
    </row>
    <row r="3590" spans="1:4">
      <c r="A3590" s="5">
        <v>3529</v>
      </c>
      <c r="B3590" s="137">
        <f>'Acct Summary 7-8'!K80</f>
        <v>0</v>
      </c>
      <c r="D3590" s="2" t="str">
        <f t="shared" si="55"/>
        <v>Error?</v>
      </c>
    </row>
    <row r="3591" spans="1:4">
      <c r="A3591" s="5">
        <v>3530</v>
      </c>
      <c r="B3591" s="137">
        <f>'Acct Summary 7-8'!K81</f>
        <v>-4757</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23</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23</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947</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9399613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46360511</v>
      </c>
      <c r="C4122" s="2" t="s">
        <v>573</v>
      </c>
      <c r="D4122" s="2" t="str">
        <f t="shared" si="63"/>
        <v>Error?</v>
      </c>
    </row>
    <row r="4123" spans="1:4">
      <c r="A4123" s="5">
        <v>4062</v>
      </c>
      <c r="B4123" s="137">
        <f>'Acct Summary 7-8'!D10</f>
        <v>2176474</v>
      </c>
      <c r="C4123" s="2" t="s">
        <v>573</v>
      </c>
      <c r="D4123" s="2" t="str">
        <f t="shared" si="63"/>
        <v>Error?</v>
      </c>
    </row>
    <row r="4124" spans="1:4">
      <c r="A4124" s="5">
        <v>4063</v>
      </c>
      <c r="B4124" s="137">
        <f>'Acct Summary 7-8'!E10</f>
        <v>7297644</v>
      </c>
      <c r="C4124" s="2" t="s">
        <v>573</v>
      </c>
      <c r="D4124" s="2" t="str">
        <f t="shared" si="63"/>
        <v>Error?</v>
      </c>
    </row>
    <row r="4125" spans="1:4">
      <c r="A4125" s="5">
        <v>4064</v>
      </c>
      <c r="B4125" s="137">
        <f>'Acct Summary 7-8'!F10</f>
        <v>1412168</v>
      </c>
      <c r="C4125" s="2" t="s">
        <v>573</v>
      </c>
      <c r="D4125" s="2" t="str">
        <f t="shared" si="63"/>
        <v>Error?</v>
      </c>
    </row>
    <row r="4126" spans="1:4">
      <c r="A4126" s="5">
        <v>4065</v>
      </c>
      <c r="B4126" s="137">
        <f>'Acct Summary 7-8'!G10</f>
        <v>1499748</v>
      </c>
      <c r="C4126" s="2" t="s">
        <v>573</v>
      </c>
      <c r="D4126" s="2" t="str">
        <f t="shared" si="63"/>
        <v>Error?</v>
      </c>
    </row>
    <row r="4127" spans="1:4">
      <c r="A4127" s="5">
        <v>4066</v>
      </c>
      <c r="B4127" s="137">
        <f>'Acct Summary 7-8'!H10</f>
        <v>22095</v>
      </c>
      <c r="C4127" s="2" t="s">
        <v>573</v>
      </c>
      <c r="D4127" s="2" t="str">
        <f t="shared" si="63"/>
        <v>Error?</v>
      </c>
    </row>
    <row r="4128" spans="1:4">
      <c r="A4128" s="5">
        <v>4067</v>
      </c>
      <c r="B4128" s="137">
        <f>'Acct Summary 7-8'!I10</f>
        <v>350136</v>
      </c>
      <c r="C4128" s="2" t="s">
        <v>573</v>
      </c>
      <c r="D4128" s="2" t="str">
        <f t="shared" si="63"/>
        <v>Error?</v>
      </c>
    </row>
    <row r="4129" spans="1:4">
      <c r="A4129" s="10">
        <v>4068</v>
      </c>
      <c r="C4129" s="2" t="s">
        <v>573</v>
      </c>
      <c r="D4129" s="2" t="str">
        <f t="shared" si="63"/>
        <v>OK</v>
      </c>
    </row>
    <row r="4130" spans="1:4">
      <c r="A4130" s="5">
        <v>4069</v>
      </c>
      <c r="B4130" s="137">
        <f>'Acct Summary 7-8'!K10</f>
        <v>970</v>
      </c>
      <c r="C4130" s="2" t="s">
        <v>573</v>
      </c>
      <c r="D4130" s="2" t="str">
        <f t="shared" si="63"/>
        <v>Error?</v>
      </c>
    </row>
    <row r="4131" spans="1:4">
      <c r="A4131" s="5">
        <v>4070</v>
      </c>
      <c r="B4131" s="137">
        <f>'Acct Summary 7-8'!C18</f>
        <v>9399613</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43831412</v>
      </c>
      <c r="C4136" s="2" t="s">
        <v>573</v>
      </c>
      <c r="D4136" s="2" t="str">
        <f t="shared" si="63"/>
        <v>Error?</v>
      </c>
    </row>
    <row r="4137" spans="1:4">
      <c r="A4137" s="5">
        <v>4076</v>
      </c>
      <c r="B4137" s="137">
        <f>'Acct Summary 7-8'!D19</f>
        <v>3316227</v>
      </c>
      <c r="C4137" s="2" t="s">
        <v>573</v>
      </c>
      <c r="D4137" s="2" t="str">
        <f t="shared" si="63"/>
        <v>Error?</v>
      </c>
    </row>
    <row r="4138" spans="1:4">
      <c r="A4138" s="5">
        <v>4077</v>
      </c>
      <c r="B4138" s="137">
        <f>'Acct Summary 7-8'!E19</f>
        <v>6928319</v>
      </c>
      <c r="C4138" s="2" t="s">
        <v>573</v>
      </c>
      <c r="D4138" s="2" t="str">
        <f t="shared" si="63"/>
        <v>Error?</v>
      </c>
    </row>
    <row r="4139" spans="1:4">
      <c r="A4139" s="5">
        <v>4078</v>
      </c>
      <c r="B4139" s="137">
        <f>'Acct Summary 7-8'!F19</f>
        <v>2061221</v>
      </c>
      <c r="C4139" s="2" t="s">
        <v>573</v>
      </c>
      <c r="D4139" s="2" t="str">
        <f t="shared" si="63"/>
        <v>Error?</v>
      </c>
    </row>
    <row r="4140" spans="1:4">
      <c r="A4140" s="5">
        <v>4079</v>
      </c>
      <c r="B4140" s="137">
        <f>'Acct Summary 7-8'!G19</f>
        <v>1107472</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23</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41831821</v>
      </c>
      <c r="C4171" s="2" t="s">
        <v>573</v>
      </c>
      <c r="D4171" s="2" t="str">
        <f t="shared" si="64"/>
        <v>Error?</v>
      </c>
    </row>
    <row r="4172" spans="1:4">
      <c r="A4172" s="5">
        <v>4111</v>
      </c>
      <c r="B4172" s="137">
        <f>'Short-Term Long-Term Debt 24'!J49</f>
        <v>37515414</v>
      </c>
      <c r="C4172" s="2" t="s">
        <v>573</v>
      </c>
      <c r="D4172" s="2" t="str">
        <f t="shared" si="64"/>
        <v>Error?</v>
      </c>
    </row>
    <row r="4173" spans="1:4">
      <c r="A4173" s="5">
        <v>4112</v>
      </c>
      <c r="B4173" s="137">
        <f>'Short-Term Long-Term Debt 24'!H49</f>
        <v>6568661</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3673808</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3092</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1910</v>
      </c>
    </row>
    <row r="4236" spans="1:5">
      <c r="A4236" s="10">
        <v>4175</v>
      </c>
      <c r="D4236" s="2" t="str">
        <f t="shared" si="65"/>
        <v>OK</v>
      </c>
      <c r="E4236" s="4" t="s">
        <v>1910</v>
      </c>
    </row>
    <row r="4237" spans="1:5">
      <c r="A4237" s="10">
        <v>4176</v>
      </c>
      <c r="D4237" s="2" t="str">
        <f t="shared" si="65"/>
        <v>OK</v>
      </c>
      <c r="E4237" s="4" t="s">
        <v>1910</v>
      </c>
    </row>
    <row r="4238" spans="1:5">
      <c r="A4238" s="10">
        <v>4177</v>
      </c>
      <c r="D4238" s="2" t="str">
        <f t="shared" si="65"/>
        <v>OK</v>
      </c>
      <c r="E4238" s="4" t="s">
        <v>1910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3666.3</v>
      </c>
      <c r="C4265" s="2" t="s">
        <v>573</v>
      </c>
      <c r="D4265" s="2" t="str">
        <f t="shared" si="65"/>
        <v>Error?</v>
      </c>
      <c r="E4265" s="127"/>
    </row>
    <row r="4266" spans="1:5">
      <c r="A4266" s="12">
        <v>4205</v>
      </c>
      <c r="B4266" s="137">
        <f>('FP Info 3'!F10)*100000</f>
        <v>102.89999999999999</v>
      </c>
      <c r="C4266" s="2" t="s">
        <v>573</v>
      </c>
      <c r="D4266" s="2" t="str">
        <f t="shared" si="65"/>
        <v>Error?</v>
      </c>
      <c r="E4266" s="127"/>
    </row>
    <row r="4267" spans="1:5">
      <c r="A4267" s="12">
        <v>4206</v>
      </c>
      <c r="B4267" s="137">
        <f>('FP Info 3'!H10)*100000</f>
        <v>0.3</v>
      </c>
      <c r="C4267" s="2" t="s">
        <v>573</v>
      </c>
      <c r="D4267" s="2" t="str">
        <f t="shared" si="65"/>
        <v>Error?</v>
      </c>
      <c r="E4267" s="127"/>
    </row>
    <row r="4268" spans="1:5">
      <c r="A4268" s="12">
        <v>4207</v>
      </c>
      <c r="B4268" s="137">
        <f>('FP Info 3'!J10)*100000</f>
        <v>3769.9999999999995</v>
      </c>
      <c r="C4268" s="2" t="s">
        <v>573</v>
      </c>
      <c r="D4268" s="2" t="str">
        <f t="shared" si="65"/>
        <v>Error?</v>
      </c>
    </row>
    <row r="4269" spans="1:5">
      <c r="A4269" s="12">
        <v>4208</v>
      </c>
      <c r="B4269" s="137">
        <f>'FP Info 3'!J16</f>
        <v>15407582</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44188</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104735</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1910</v>
      </c>
    </row>
    <row r="4400" spans="1:5">
      <c r="A4400" s="10">
        <v>4339</v>
      </c>
      <c r="D4400" s="2" t="str">
        <f t="shared" si="67"/>
        <v>OK</v>
      </c>
      <c r="E4400" s="4" t="s">
        <v>1910</v>
      </c>
    </row>
    <row r="4401" spans="1:5">
      <c r="A4401" s="10">
        <v>4340</v>
      </c>
      <c r="D4401" s="2" t="str">
        <f t="shared" si="67"/>
        <v>OK</v>
      </c>
      <c r="E4401" s="4" t="s">
        <v>1910</v>
      </c>
    </row>
    <row r="4402" spans="1:5">
      <c r="A4402" s="10">
        <v>4341</v>
      </c>
      <c r="D4402" s="2" t="str">
        <f t="shared" si="67"/>
        <v>OK</v>
      </c>
      <c r="E4402" s="4" t="s">
        <v>1910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63263</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85398</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0.3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2304</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690042462</v>
      </c>
      <c r="D4995" s="2" t="str">
        <f t="shared" si="77"/>
        <v>Error?</v>
      </c>
    </row>
    <row r="4996" spans="1:4">
      <c r="A4996" s="12">
        <v>4935</v>
      </c>
      <c r="B4996" s="137">
        <f>'FP Info 3'!H31</f>
        <v>47612929.878000006</v>
      </c>
      <c r="D4996" s="2" t="str">
        <f t="shared" si="77"/>
        <v>Error?</v>
      </c>
    </row>
    <row r="4997" spans="1:4">
      <c r="A4997" s="12">
        <v>4936</v>
      </c>
      <c r="B4997" s="137">
        <f>'FP Info 3'!H37</f>
        <v>41831821</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24161752</v>
      </c>
      <c r="D5061" s="2" t="str">
        <f t="shared" si="78"/>
        <v>Error?</v>
      </c>
    </row>
    <row r="5062" spans="1:4">
      <c r="A5062" s="10">
        <v>5001</v>
      </c>
      <c r="D5062" s="2" t="str">
        <f t="shared" si="78"/>
        <v>OK</v>
      </c>
    </row>
    <row r="5063" spans="1:4">
      <c r="A5063" s="5">
        <v>5002</v>
      </c>
      <c r="B5063" s="137">
        <f>'Revenues 9-14'!C7</f>
        <v>2116431</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26278183</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573</v>
      </c>
      <c r="D5071" s="2" t="str">
        <f t="shared" si="78"/>
        <v>Error?</v>
      </c>
    </row>
    <row r="5072" spans="1:4">
      <c r="A5072" s="5">
        <v>5011</v>
      </c>
      <c r="B5072" s="137">
        <f>'Revenues 9-14'!C20</f>
        <v>166172</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88615</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254787</v>
      </c>
      <c r="C5087" s="2" t="s">
        <v>573</v>
      </c>
      <c r="D5087" s="2" t="str">
        <f t="shared" si="78"/>
        <v>Error?</v>
      </c>
    </row>
    <row r="5088" spans="1:4">
      <c r="A5088" s="5">
        <v>5027</v>
      </c>
      <c r="B5088" s="137">
        <f>'Revenues 9-14'!C65</f>
        <v>184086</v>
      </c>
      <c r="D5088" s="2" t="str">
        <f t="shared" si="78"/>
        <v>Error?</v>
      </c>
    </row>
    <row r="5089" spans="1:4">
      <c r="A5089" s="5">
        <v>5028</v>
      </c>
      <c r="B5089" s="137">
        <f>'Revenues 9-14'!C66</f>
        <v>0</v>
      </c>
      <c r="D5089" s="2" t="str">
        <f t="shared" si="78"/>
        <v>Error?</v>
      </c>
    </row>
    <row r="5090" spans="1:4">
      <c r="A5090" s="5">
        <v>5029</v>
      </c>
      <c r="B5090" s="137">
        <f>'Revenues 9-14'!C67</f>
        <v>184086</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322048</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720</v>
      </c>
      <c r="D5099" s="2" t="str">
        <f t="shared" si="78"/>
        <v>Error?</v>
      </c>
    </row>
    <row r="5100" spans="1:4">
      <c r="A5100" s="5">
        <v>5039</v>
      </c>
      <c r="B5100" s="137">
        <f>'Revenues 9-14'!C80</f>
        <v>0</v>
      </c>
      <c r="D5100" s="2" t="str">
        <f t="shared" si="78"/>
        <v>Error?</v>
      </c>
    </row>
    <row r="5101" spans="1:4">
      <c r="A5101" s="5">
        <v>5040</v>
      </c>
      <c r="B5101" s="137">
        <f>'Revenues 9-14'!C81</f>
        <v>78821</v>
      </c>
      <c r="D5101" s="2" t="str">
        <f t="shared" si="78"/>
        <v>Error?</v>
      </c>
    </row>
    <row r="5102" spans="1:4">
      <c r="A5102" s="5">
        <v>5041</v>
      </c>
      <c r="B5102" s="137">
        <f>'Revenues 9-14'!C82</f>
        <v>79541</v>
      </c>
      <c r="C5102" s="2" t="s">
        <v>573</v>
      </c>
      <c r="D5102" s="2" t="str">
        <f t="shared" si="78"/>
        <v>Error?</v>
      </c>
    </row>
    <row r="5103" spans="1:4">
      <c r="A5103" s="5">
        <v>5042</v>
      </c>
      <c r="B5103" s="137">
        <f>'Revenues 9-14'!C84</f>
        <v>170138</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170138</v>
      </c>
      <c r="C5112" s="2" t="s">
        <v>573</v>
      </c>
      <c r="D5112" s="2" t="str">
        <f t="shared" si="78"/>
        <v>Error?</v>
      </c>
    </row>
    <row r="5113" spans="1:4">
      <c r="A5113" s="5">
        <v>5052</v>
      </c>
      <c r="B5113" s="137">
        <f>'Revenues 9-14'!C95</f>
        <v>0</v>
      </c>
      <c r="D5113" s="2" t="str">
        <f t="shared" si="78"/>
        <v>Error?</v>
      </c>
    </row>
    <row r="5114" spans="1:4">
      <c r="A5114" s="5">
        <v>5053</v>
      </c>
      <c r="B5114" s="137">
        <f>'Revenues 9-14'!C96</f>
        <v>-5946</v>
      </c>
      <c r="D5114" s="2" t="str">
        <f t="shared" si="78"/>
        <v>Error?</v>
      </c>
    </row>
    <row r="5115" spans="1:4">
      <c r="A5115" s="5">
        <v>5054</v>
      </c>
      <c r="B5115" s="137">
        <f>'Revenues 9-14'!C98</f>
        <v>48991</v>
      </c>
      <c r="D5115" s="2" t="str">
        <f t="shared" si="78"/>
        <v>Error?</v>
      </c>
    </row>
    <row r="5116" spans="1:4">
      <c r="A5116" s="5">
        <v>5055</v>
      </c>
      <c r="B5116" s="137">
        <f>'Revenues 9-14'!C99</f>
        <v>5833</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179052</v>
      </c>
      <c r="D5119" s="2" t="str">
        <f t="shared" ref="D5119:D5182" si="79">IF(ISBLANK(B5119),"OK",IF(A5119-B5119=0,"OK","Error?"))</f>
        <v>Error?</v>
      </c>
    </row>
    <row r="5120" spans="1:4">
      <c r="A5120" s="5">
        <v>5059</v>
      </c>
      <c r="B5120" s="137">
        <f>'Revenues 9-14'!C108</f>
        <v>227930</v>
      </c>
      <c r="C5120" s="2" t="s">
        <v>573</v>
      </c>
      <c r="D5120" s="2" t="str">
        <f t="shared" si="79"/>
        <v>Error?</v>
      </c>
    </row>
    <row r="5121" spans="1:4">
      <c r="A5121" s="5">
        <v>5060</v>
      </c>
      <c r="B5121" s="137">
        <f>'Revenues 9-14'!C109</f>
        <v>27516713</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6428220</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6430524</v>
      </c>
      <c r="C5132" s="2" t="s">
        <v>573</v>
      </c>
      <c r="D5132" s="2" t="str">
        <f t="shared" si="79"/>
        <v>Error?</v>
      </c>
    </row>
    <row r="5133" spans="1:4">
      <c r="A5133" s="5">
        <v>5072</v>
      </c>
      <c r="B5133" s="137">
        <f>'Revenues 9-14'!C125</f>
        <v>496594</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17361</v>
      </c>
      <c r="D5137" s="2" t="str">
        <f t="shared" si="79"/>
        <v>Error?</v>
      </c>
    </row>
    <row r="5138" spans="1:4">
      <c r="A5138" s="10">
        <v>5077</v>
      </c>
      <c r="D5138" s="2" t="str">
        <f t="shared" si="79"/>
        <v>OK</v>
      </c>
    </row>
    <row r="5139" spans="1:4">
      <c r="A5139" s="5">
        <v>5078</v>
      </c>
      <c r="B5139" s="137">
        <f>'Revenues 9-14'!C129</f>
        <v>4404</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518359</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3092</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9481</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14420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1910</v>
      </c>
    </row>
    <row r="5200" spans="1:5">
      <c r="A5200" s="10">
        <v>5139</v>
      </c>
      <c r="D5200" s="2" t="str">
        <f t="shared" si="80"/>
        <v>OK</v>
      </c>
      <c r="E5200" s="4" t="s">
        <v>1910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545352</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6975876</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520958</v>
      </c>
      <c r="D5239" s="2" t="str">
        <f t="shared" si="80"/>
        <v>Error?</v>
      </c>
    </row>
    <row r="5240" spans="1:4">
      <c r="A5240" s="5">
        <v>5179</v>
      </c>
      <c r="B5240" s="137">
        <f>'Revenues 9-14'!C192</f>
        <v>0</v>
      </c>
      <c r="D5240" s="2" t="str">
        <f t="shared" si="80"/>
        <v>Error?</v>
      </c>
    </row>
    <row r="5241" spans="1:4">
      <c r="A5241" s="5">
        <v>5180</v>
      </c>
      <c r="B5241" s="137">
        <f>'Revenues 9-14'!C193</f>
        <v>65993</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586951</v>
      </c>
      <c r="C5246" s="2" t="s">
        <v>573</v>
      </c>
      <c r="D5246" s="2" t="str">
        <f t="shared" si="80"/>
        <v>Error?</v>
      </c>
    </row>
    <row r="5247" spans="1:4">
      <c r="A5247" s="5">
        <v>5186</v>
      </c>
      <c r="B5247" s="137">
        <f>'Revenues 9-14'!C200</f>
        <v>631775</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1910</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631775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23762</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928008</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951770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229</v>
      </c>
      <c r="D5312" s="2" t="str">
        <f t="shared" si="82"/>
        <v>Error?</v>
      </c>
    </row>
    <row r="5313" spans="1:5">
      <c r="A5313" s="10">
        <v>5252</v>
      </c>
      <c r="D5313" s="2" t="str">
        <f t="shared" si="82"/>
        <v>OK</v>
      </c>
      <c r="E5313" s="4" t="s">
        <v>1910</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2468309</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2468309</v>
      </c>
      <c r="C5326" s="2" t="s">
        <v>573</v>
      </c>
      <c r="D5326" s="2" t="str">
        <f t="shared" si="82"/>
        <v>Error?</v>
      </c>
    </row>
    <row r="5327" spans="1:5">
      <c r="A5327" s="5">
        <v>5266</v>
      </c>
      <c r="B5327" s="137">
        <f>'Revenues 9-14'!C268</f>
        <v>36960898</v>
      </c>
      <c r="C5327" s="2" t="s">
        <v>573</v>
      </c>
      <c r="D5327" s="2" t="str">
        <f t="shared" si="82"/>
        <v>Error?</v>
      </c>
    </row>
    <row r="5328" spans="1:5">
      <c r="A5328" s="5">
        <v>5267</v>
      </c>
      <c r="B5328" s="137">
        <f>'Revenues 9-14'!D5</f>
        <v>749485</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749485</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418349</v>
      </c>
      <c r="D5337" s="2" t="str">
        <f t="shared" si="82"/>
        <v>Error?</v>
      </c>
    </row>
    <row r="5338" spans="1:4">
      <c r="A5338" s="5">
        <v>5277</v>
      </c>
      <c r="B5338" s="137">
        <f>'Revenues 9-14'!D17</f>
        <v>0</v>
      </c>
      <c r="D5338" s="2" t="str">
        <f t="shared" si="82"/>
        <v>Error?</v>
      </c>
    </row>
    <row r="5339" spans="1:4">
      <c r="A5339" s="5">
        <v>5278</v>
      </c>
      <c r="B5339" s="137">
        <f>'Revenues 9-14'!D18</f>
        <v>418349</v>
      </c>
      <c r="C5339" s="2" t="s">
        <v>573</v>
      </c>
      <c r="D5339" s="2" t="str">
        <f t="shared" si="82"/>
        <v>Error?</v>
      </c>
    </row>
    <row r="5340" spans="1:4">
      <c r="A5340" s="5">
        <v>5279</v>
      </c>
      <c r="B5340" s="137">
        <f>'Revenues 9-14'!D65</f>
        <v>52164</v>
      </c>
      <c r="D5340" s="2" t="str">
        <f t="shared" si="82"/>
        <v>Error?</v>
      </c>
    </row>
    <row r="5341" spans="1:4">
      <c r="A5341" s="5">
        <v>5280</v>
      </c>
      <c r="B5341" s="137">
        <f>'Revenues 9-14'!D66</f>
        <v>0</v>
      </c>
      <c r="D5341" s="2" t="str">
        <f t="shared" si="82"/>
        <v>Error?</v>
      </c>
    </row>
    <row r="5342" spans="1:4">
      <c r="A5342" s="5">
        <v>5281</v>
      </c>
      <c r="B5342" s="137">
        <f>'Revenues 9-14'!D67</f>
        <v>52164</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933180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23296</v>
      </c>
      <c r="D5354" s="2" t="str">
        <f t="shared" si="82"/>
        <v>Error?</v>
      </c>
    </row>
    <row r="5355" spans="1:4">
      <c r="A5355" s="5">
        <v>5294</v>
      </c>
      <c r="B5355" s="137">
        <f>'Revenues 9-14'!D108</f>
        <v>956476</v>
      </c>
      <c r="C5355" s="2" t="s">
        <v>573</v>
      </c>
      <c r="D5355" s="2" t="str">
        <f t="shared" si="82"/>
        <v>Error?</v>
      </c>
    </row>
    <row r="5356" spans="1:4">
      <c r="A5356" s="5">
        <v>5295</v>
      </c>
      <c r="B5356" s="137">
        <f>'Revenues 9-14'!D109</f>
        <v>2176474</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1910</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2176474</v>
      </c>
      <c r="C5508" s="2" t="s">
        <v>573</v>
      </c>
      <c r="D5508" s="2" t="str">
        <f t="shared" si="85"/>
        <v>Error?</v>
      </c>
    </row>
    <row r="5509" spans="1:4">
      <c r="A5509" s="5">
        <v>5448</v>
      </c>
      <c r="B5509" s="137">
        <f>'Revenues 9-14'!E5</f>
        <v>7139640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7139640</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158004</v>
      </c>
      <c r="D5519" s="2" t="str">
        <f t="shared" si="85"/>
        <v>Error?</v>
      </c>
    </row>
    <row r="5520" spans="1:4">
      <c r="A5520" s="5">
        <v>5459</v>
      </c>
      <c r="B5520" s="137">
        <f>'Revenues 9-14'!E66</f>
        <v>0</v>
      </c>
      <c r="D5520" s="2" t="str">
        <f t="shared" si="85"/>
        <v>Error?</v>
      </c>
    </row>
    <row r="5521" spans="1:4">
      <c r="A5521" s="5">
        <v>5460</v>
      </c>
      <c r="B5521" s="137">
        <f>'Revenues 9-14'!E67</f>
        <v>158004</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7297644</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7297644</v>
      </c>
      <c r="C5552" s="2" t="s">
        <v>573</v>
      </c>
      <c r="D5552" s="2" t="str">
        <f t="shared" si="85"/>
        <v>Error?</v>
      </c>
    </row>
    <row r="5553" spans="1:4">
      <c r="A5553" s="5">
        <v>5492</v>
      </c>
      <c r="B5553" s="137">
        <f>'Revenues 9-14'!F5</f>
        <v>-77166</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-77166</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16524</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16524</v>
      </c>
      <c r="C5579" s="2" t="s">
        <v>573</v>
      </c>
      <c r="D5579" s="2" t="str">
        <f t="shared" si="86"/>
        <v>Error?</v>
      </c>
    </row>
    <row r="5580" spans="1:4">
      <c r="A5580" s="5">
        <v>5519</v>
      </c>
      <c r="B5580" s="137">
        <f>'Revenues 9-14'!F65</f>
        <v>100089</v>
      </c>
      <c r="D5580" s="2" t="str">
        <f t="shared" si="86"/>
        <v>Error?</v>
      </c>
    </row>
    <row r="5581" spans="1:4">
      <c r="A5581" s="5">
        <v>5520</v>
      </c>
      <c r="B5581" s="137">
        <f>'Revenues 9-14'!F66</f>
        <v>0</v>
      </c>
      <c r="D5581" s="2" t="str">
        <f t="shared" si="86"/>
        <v>Error?</v>
      </c>
    </row>
    <row r="5582" spans="1:4">
      <c r="A5582" s="5">
        <v>5521</v>
      </c>
      <c r="B5582" s="137">
        <f>'Revenues 9-14'!F67</f>
        <v>100089</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39447</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458359</v>
      </c>
      <c r="D5615" s="2" t="str">
        <f t="shared" si="86"/>
        <v>Error?</v>
      </c>
    </row>
    <row r="5616" spans="1:4">
      <c r="A5616" s="10">
        <v>5555</v>
      </c>
      <c r="D5616" s="2" t="str">
        <f t="shared" si="86"/>
        <v>OK</v>
      </c>
    </row>
    <row r="5617" spans="1:5">
      <c r="A5617" s="5">
        <v>5556</v>
      </c>
      <c r="B5617" s="137">
        <f>'Revenues 9-14'!F153</f>
        <v>914362</v>
      </c>
      <c r="D5617" s="2" t="str">
        <f t="shared" si="86"/>
        <v>Error?</v>
      </c>
    </row>
    <row r="5618" spans="1:5">
      <c r="A5618" s="5">
        <v>5557</v>
      </c>
      <c r="B5618" s="137">
        <f>'Revenues 9-14'!F155</f>
        <v>1372721</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1910</v>
      </c>
    </row>
    <row r="5631" spans="1:5">
      <c r="A5631" s="10">
        <v>5570</v>
      </c>
      <c r="D5631" s="2" t="str">
        <f t="shared" ref="D5631:D5694" si="87">IF(ISBLANK(B5631),"OK",IF(A5631-B5631=0,"OK","Error?"))</f>
        <v>OK</v>
      </c>
      <c r="E5631" s="4" t="s">
        <v>1910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1372721</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1372721</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1910</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1910</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1412168</v>
      </c>
      <c r="C5720" s="2" t="s">
        <v>573</v>
      </c>
      <c r="D5720" s="2" t="str">
        <f t="shared" si="88"/>
        <v>Error?</v>
      </c>
    </row>
    <row r="5721" spans="1:4">
      <c r="A5721" s="5">
        <v>5660</v>
      </c>
      <c r="B5721" s="137">
        <f>'Revenues 9-14'!G5</f>
        <v>1467380</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1467380</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12628</v>
      </c>
      <c r="D5728" s="2" t="str">
        <f t="shared" si="88"/>
        <v>Error?</v>
      </c>
    </row>
    <row r="5729" spans="1:4">
      <c r="A5729" s="5">
        <v>5668</v>
      </c>
      <c r="B5729" s="137">
        <f>'Revenues 9-14'!G17</f>
        <v>0</v>
      </c>
      <c r="D5729" s="2" t="str">
        <f t="shared" si="88"/>
        <v>Error?</v>
      </c>
    </row>
    <row r="5730" spans="1:4">
      <c r="A5730" s="5">
        <v>5669</v>
      </c>
      <c r="B5730" s="137">
        <f>'Revenues 9-14'!G18</f>
        <v>12628</v>
      </c>
      <c r="C5730" s="2" t="s">
        <v>573</v>
      </c>
      <c r="D5730" s="2" t="str">
        <f t="shared" si="88"/>
        <v>Error?</v>
      </c>
    </row>
    <row r="5731" spans="1:4">
      <c r="A5731" s="5">
        <v>5670</v>
      </c>
      <c r="B5731" s="137">
        <f>'Revenues 9-14'!G65</f>
        <v>19740</v>
      </c>
      <c r="D5731" s="2" t="str">
        <f t="shared" si="88"/>
        <v>Error?</v>
      </c>
    </row>
    <row r="5732" spans="1:4">
      <c r="A5732" s="5">
        <v>5671</v>
      </c>
      <c r="B5732" s="137">
        <f>'Revenues 9-14'!G66</f>
        <v>0</v>
      </c>
      <c r="D5732" s="2" t="str">
        <f t="shared" si="88"/>
        <v>Error?</v>
      </c>
    </row>
    <row r="5733" spans="1:4">
      <c r="A5733" s="5">
        <v>5672</v>
      </c>
      <c r="B5733" s="137">
        <f>'Revenues 9-14'!G67</f>
        <v>19740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1910</v>
      </c>
    </row>
    <row r="5768" spans="1:5">
      <c r="A5768" s="10">
        <v>5707</v>
      </c>
      <c r="D5768" s="2" t="str">
        <f t="shared" si="89"/>
        <v>OK</v>
      </c>
      <c r="E5768" s="4" t="s">
        <v>1910</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1910</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1910</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1499748</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22095</v>
      </c>
      <c r="D5879" s="2" t="str">
        <f t="shared" si="90"/>
        <v>Error?</v>
      </c>
    </row>
    <row r="5880" spans="1:4">
      <c r="A5880" s="5">
        <v>5819</v>
      </c>
      <c r="B5880" s="137">
        <f>'Revenues 9-14'!H66</f>
        <v>0</v>
      </c>
      <c r="D5880" s="2" t="str">
        <f t="shared" si="90"/>
        <v>Error?</v>
      </c>
    </row>
    <row r="5881" spans="1:4">
      <c r="A5881" s="5">
        <v>5820</v>
      </c>
      <c r="B5881" s="137">
        <f>'Revenues 9-14'!H67</f>
        <v>22095</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22095</v>
      </c>
      <c r="C5915" s="2" t="s">
        <v>573</v>
      </c>
      <c r="D5915" s="2" t="str">
        <f t="shared" si="91"/>
        <v>Error?</v>
      </c>
    </row>
    <row r="5916" spans="1:4">
      <c r="A5916" s="5">
        <v>5855</v>
      </c>
      <c r="B5916" s="137">
        <f>'Revenues 9-14'!I5</f>
        <v>969</v>
      </c>
      <c r="D5916" s="2" t="str">
        <f t="shared" si="91"/>
        <v>Error?</v>
      </c>
    </row>
    <row r="5917" spans="1:4">
      <c r="A5917" s="5">
        <v>5856</v>
      </c>
      <c r="B5917" s="137">
        <f>'Revenues 9-14'!I11</f>
        <v>0</v>
      </c>
      <c r="D5917" s="2" t="str">
        <f t="shared" si="91"/>
        <v>Error?</v>
      </c>
    </row>
    <row r="5918" spans="1:4">
      <c r="A5918" s="5">
        <v>5857</v>
      </c>
      <c r="B5918" s="137">
        <f>'Revenues 9-14'!I12</f>
        <v>969</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349167</v>
      </c>
      <c r="D5924" s="2" t="str">
        <f t="shared" si="91"/>
        <v>Error?</v>
      </c>
    </row>
    <row r="5925" spans="1:4">
      <c r="A5925" s="5">
        <v>5864</v>
      </c>
      <c r="B5925" s="137">
        <f>'Revenues 9-14'!I66</f>
        <v>0</v>
      </c>
      <c r="D5925" s="2" t="str">
        <f t="shared" si="91"/>
        <v>Error?</v>
      </c>
    </row>
    <row r="5926" spans="1:4">
      <c r="A5926" s="5">
        <v>5865</v>
      </c>
      <c r="B5926" s="137">
        <f>'Revenues 9-14'!I67</f>
        <v>349167</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350136</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970</v>
      </c>
      <c r="D5985" s="2" t="str">
        <f t="shared" si="92"/>
        <v>Error?</v>
      </c>
    </row>
    <row r="5986" spans="1:4">
      <c r="A5986" s="5">
        <v>5925</v>
      </c>
      <c r="B5986" s="137">
        <f>'Revenues 9-14'!K11</f>
        <v>0</v>
      </c>
      <c r="D5986" s="2" t="str">
        <f t="shared" si="92"/>
        <v>Error?</v>
      </c>
    </row>
    <row r="5987" spans="1:4">
      <c r="A5987" s="5">
        <v>5926</v>
      </c>
      <c r="B5987" s="137">
        <f>'Revenues 9-14'!K12</f>
        <v>970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970</v>
      </c>
      <c r="C6023" s="2" t="s">
        <v>573</v>
      </c>
      <c r="D6023" s="2" t="str">
        <f t="shared" si="93"/>
        <v>Error?</v>
      </c>
    </row>
    <row r="6024" spans="1:5">
      <c r="A6024" s="5">
        <v>5963</v>
      </c>
      <c r="B6024" s="137">
        <f>'Revenues 9-14'!G109</f>
        <v>1499748</v>
      </c>
      <c r="C6024" s="2" t="s">
        <v>573</v>
      </c>
      <c r="D6024" s="2" t="str">
        <f t="shared" si="93"/>
        <v>Error?</v>
      </c>
    </row>
    <row r="6025" spans="1:5">
      <c r="A6025" s="5">
        <v>5964</v>
      </c>
      <c r="B6025" s="137">
        <f>'Revenues 9-14'!H109</f>
        <v>22095</v>
      </c>
      <c r="C6025" s="2" t="s">
        <v>573</v>
      </c>
      <c r="D6025" s="2" t="str">
        <f t="shared" si="93"/>
        <v>Error?</v>
      </c>
    </row>
    <row r="6026" spans="1:5">
      <c r="A6026" s="5">
        <v>5965</v>
      </c>
      <c r="B6026" s="137">
        <f>'Revenues 9-14'!I109</f>
        <v>350136</v>
      </c>
      <c r="C6026" s="2" t="s">
        <v>573</v>
      </c>
      <c r="D6026" s="2" t="str">
        <f t="shared" si="93"/>
        <v>Error?</v>
      </c>
    </row>
    <row r="6027" spans="1:5">
      <c r="A6027" s="10">
        <v>5966</v>
      </c>
      <c r="C6027" s="2" t="s">
        <v>573</v>
      </c>
      <c r="D6027" s="2" t="str">
        <f t="shared" si="93"/>
        <v>OK</v>
      </c>
    </row>
    <row r="6028" spans="1:5">
      <c r="A6028" s="5">
        <v>5967</v>
      </c>
      <c r="B6028" s="137">
        <f>'Revenues 9-14'!K109</f>
        <v>970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322048</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79850</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2965.4</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4743</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870834</v>
      </c>
      <c r="D6090" s="2" t="str">
        <f t="shared" si="94"/>
        <v>Error?</v>
      </c>
      <c r="E6090" s="2" t="s">
        <v>190</v>
      </c>
    </row>
    <row r="6091" spans="1:5">
      <c r="A6091">
        <v>6030</v>
      </c>
      <c r="B6091" s="137">
        <f>'Assets-Liab 5-6'!D8</f>
        <v>67093</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277357</v>
      </c>
      <c r="D6093" s="2" t="str">
        <f t="shared" si="94"/>
        <v>Error?</v>
      </c>
      <c r="E6093" s="2" t="s">
        <v>190</v>
      </c>
    </row>
    <row r="6094" spans="1:5">
      <c r="A6094">
        <v>6033</v>
      </c>
      <c r="B6094" s="137">
        <f>'Assets-Liab 5-6'!G8</f>
        <v>1861</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675711</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4743</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156713</v>
      </c>
      <c r="D6142" s="2" t="str">
        <f t="shared" si="94"/>
        <v>Error?</v>
      </c>
      <c r="E6142" s="2" t="s">
        <v>190</v>
      </c>
    </row>
    <row r="6143" spans="1:5">
      <c r="A6143">
        <v>6082</v>
      </c>
      <c r="B6143" s="137">
        <f>'Assets-Liab 5-6'!D27</f>
        <v>59028</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97424</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5044</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3053268</v>
      </c>
      <c r="D6169" s="2" t="str">
        <f t="shared" si="95"/>
        <v>Error?</v>
      </c>
      <c r="E6169" s="2" t="s">
        <v>190</v>
      </c>
    </row>
    <row r="6170" spans="1:5">
      <c r="A6170">
        <v>6109</v>
      </c>
      <c r="B6170" s="137">
        <f>'Assets-Liab 5-6'!D30</f>
        <v>6329</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37</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275656</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280700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395011</v>
      </c>
      <c r="D6215" s="2" t="str">
        <f t="shared" si="96"/>
        <v>Error?</v>
      </c>
      <c r="E6215" s="2" t="s">
        <v>190</v>
      </c>
    </row>
    <row r="6216" spans="1:5">
      <c r="A6216">
        <v>6155</v>
      </c>
      <c r="B6216" s="137">
        <f>'Assets-Liab 5-6'!J41</f>
        <v>675711</v>
      </c>
      <c r="D6216" s="2" t="str">
        <f t="shared" si="96"/>
        <v>Error?</v>
      </c>
      <c r="E6216" s="2" t="s">
        <v>190</v>
      </c>
    </row>
    <row r="6217" spans="1:5">
      <c r="A6217">
        <v>6156</v>
      </c>
      <c r="B6217" s="137">
        <f>'Assets-Liab 5-6'!J4</f>
        <v>404141</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271570</v>
      </c>
      <c r="D6219" s="2" t="str">
        <f t="shared" si="96"/>
        <v>Error?</v>
      </c>
      <c r="E6219" s="2" t="s">
        <v>190</v>
      </c>
    </row>
    <row r="6220" spans="1:5">
      <c r="A6220">
        <v>6159</v>
      </c>
      <c r="B6220" s="137">
        <f>'Acct Summary 7-8'!J4</f>
        <v>609340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609340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609340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367179</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367179</v>
      </c>
      <c r="D6229" s="2" t="str">
        <f t="shared" si="96"/>
        <v>Error?</v>
      </c>
      <c r="E6229" s="2" t="s">
        <v>190</v>
      </c>
    </row>
    <row r="6230" spans="1:5">
      <c r="A6230">
        <v>6169</v>
      </c>
      <c r="B6230" s="137">
        <f>'Acct Summary 7-8'!J20</f>
        <v>242161</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242161</v>
      </c>
      <c r="D6263" s="2" t="str">
        <f t="shared" si="96"/>
        <v>Error?</v>
      </c>
      <c r="E6263" s="2" t="s">
        <v>190</v>
      </c>
    </row>
    <row r="6264" spans="1:5">
      <c r="A6264">
        <v>6203</v>
      </c>
      <c r="B6264" s="137">
        <f>'Acct Summary 7-8'!J79</f>
        <v>152850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395011</v>
      </c>
      <c r="D6266" s="2" t="str">
        <f t="shared" si="96"/>
        <v>Error?</v>
      </c>
      <c r="E6266" s="2" t="s">
        <v>190</v>
      </c>
    </row>
    <row r="6267" spans="1:5">
      <c r="A6267">
        <v>6206</v>
      </c>
      <c r="B6267" s="137">
        <f>'Acct Summary 7-8'!C82</f>
        <v>2529099</v>
      </c>
      <c r="D6267" s="2" t="str">
        <f t="shared" si="96"/>
        <v>Error?</v>
      </c>
      <c r="E6267" s="2" t="s">
        <v>190</v>
      </c>
    </row>
    <row r="6268" spans="1:5">
      <c r="A6268">
        <v>6207</v>
      </c>
      <c r="B6268" s="137">
        <f>'Acct Summary 7-8'!D82</f>
        <v>-1239753</v>
      </c>
      <c r="D6268" s="2" t="str">
        <f t="shared" si="96"/>
        <v>Error?</v>
      </c>
      <c r="E6268" s="2" t="s">
        <v>190</v>
      </c>
    </row>
    <row r="6269" spans="1:5">
      <c r="A6269">
        <v>6208</v>
      </c>
      <c r="B6269" s="137">
        <f>'Acct Summary 7-8'!E82</f>
        <v>369325</v>
      </c>
      <c r="D6269" s="2" t="str">
        <f t="shared" si="96"/>
        <v>Error?</v>
      </c>
      <c r="E6269" s="2" t="s">
        <v>190</v>
      </c>
    </row>
    <row r="6270" spans="1:5">
      <c r="A6270">
        <v>6209</v>
      </c>
      <c r="B6270" s="137">
        <f>'Acct Summary 7-8'!F82</f>
        <v>-649053</v>
      </c>
      <c r="D6270" s="2" t="str">
        <f t="shared" si="96"/>
        <v>Error?</v>
      </c>
      <c r="E6270" s="2" t="s">
        <v>190</v>
      </c>
    </row>
    <row r="6271" spans="1:5">
      <c r="A6271">
        <v>6210</v>
      </c>
      <c r="B6271" s="137">
        <f>'Acct Summary 7-8'!G82</f>
        <v>392276</v>
      </c>
      <c r="D6271" s="2" t="str">
        <f t="shared" ref="D6271:D6334" si="97">IF(ISBLANK(B6271),"OK",IF(A6271-B6271=0,"OK","Error?"))</f>
        <v>Error?</v>
      </c>
      <c r="E6271" s="2" t="s">
        <v>190</v>
      </c>
    </row>
    <row r="6272" spans="1:5">
      <c r="A6272">
        <v>6211</v>
      </c>
      <c r="B6272" s="137">
        <f>'Acct Summary 7-8'!H82</f>
        <v>122095</v>
      </c>
      <c r="D6272" s="2" t="str">
        <f t="shared" si="97"/>
        <v>Error?</v>
      </c>
      <c r="E6272" s="2" t="s">
        <v>190</v>
      </c>
    </row>
    <row r="6273" spans="1:5">
      <c r="A6273">
        <v>6212</v>
      </c>
      <c r="B6273" s="137">
        <f>'Acct Summary 7-8'!I82</f>
        <v>350136</v>
      </c>
      <c r="D6273" s="2" t="str">
        <f t="shared" si="97"/>
        <v>Error?</v>
      </c>
      <c r="E6273" s="2" t="s">
        <v>190</v>
      </c>
    </row>
    <row r="6274" spans="1:5">
      <c r="A6274">
        <v>6213</v>
      </c>
      <c r="B6274" s="137">
        <f>'Acct Summary 7-8'!J82</f>
        <v>242161</v>
      </c>
      <c r="D6274" s="2" t="str">
        <f t="shared" si="97"/>
        <v>Error?</v>
      </c>
      <c r="E6274" s="2" t="s">
        <v>190</v>
      </c>
    </row>
    <row r="6275" spans="1:5">
      <c r="A6275">
        <v>6214</v>
      </c>
      <c r="B6275" s="137">
        <f>'Acct Summary 7-8'!K82</f>
        <v>947</v>
      </c>
      <c r="D6275" s="2" t="str">
        <f t="shared" si="97"/>
        <v>Error?</v>
      </c>
      <c r="E6275" s="2" t="s">
        <v>190</v>
      </c>
    </row>
    <row r="6276" spans="1:5">
      <c r="A6276">
        <v>6215</v>
      </c>
      <c r="B6276" s="137">
        <f>'Acct Summary 7-8'!C83</f>
        <v>1.3445824062776621</v>
      </c>
      <c r="D6276" s="2" t="str">
        <f t="shared" si="97"/>
        <v>Error?</v>
      </c>
      <c r="E6276" s="2" t="s">
        <v>190</v>
      </c>
    </row>
    <row r="6277" spans="1:5">
      <c r="A6277">
        <v>6216</v>
      </c>
      <c r="B6277" s="137">
        <f>'Acct Summary 7-8'!D83</f>
        <v>-1.7282280042656704</v>
      </c>
      <c r="D6277" s="2" t="str">
        <f t="shared" si="97"/>
        <v>Error?</v>
      </c>
      <c r="E6277" s="2" t="s">
        <v>190</v>
      </c>
    </row>
    <row r="6278" spans="1:5">
      <c r="A6278">
        <v>6217</v>
      </c>
      <c r="B6278" s="137">
        <f>'Acct Summary 7-8'!E83</f>
        <v>8.5563062056010941E-2</v>
      </c>
      <c r="D6278" s="2" t="str">
        <f t="shared" si="97"/>
        <v>Error?</v>
      </c>
      <c r="E6278" s="2" t="s">
        <v>190</v>
      </c>
    </row>
    <row r="6279" spans="1:5">
      <c r="A6279">
        <v>6218</v>
      </c>
      <c r="B6279" s="137">
        <f>'Acct Summary 7-8'!F83</f>
        <v>-0.2588004918801497</v>
      </c>
      <c r="D6279" s="2" t="str">
        <f t="shared" si="97"/>
        <v>Error?</v>
      </c>
      <c r="E6279" s="2" t="s">
        <v>190</v>
      </c>
    </row>
    <row r="6280" spans="1:5">
      <c r="A6280">
        <v>6219</v>
      </c>
      <c r="B6280" s="137">
        <f>'Acct Summary 7-8'!G83</f>
        <v>0.65523047216895725</v>
      </c>
      <c r="D6280" s="2" t="str">
        <f t="shared" si="97"/>
        <v>Error?</v>
      </c>
      <c r="E6280" s="2" t="s">
        <v>190</v>
      </c>
    </row>
    <row r="6281" spans="1:5">
      <c r="A6281">
        <v>6220</v>
      </c>
      <c r="B6281" s="137">
        <f>'Acct Summary 7-8'!H83</f>
        <v>0.17210829311200324</v>
      </c>
      <c r="D6281" s="2" t="str">
        <f t="shared" si="97"/>
        <v>Error?</v>
      </c>
      <c r="E6281" s="2" t="s">
        <v>190</v>
      </c>
    </row>
    <row r="6282" spans="1:5">
      <c r="A6282">
        <v>6221</v>
      </c>
      <c r="B6282" s="137">
        <f>'Acct Summary 7-8'!I83</f>
        <v>3.3989351292413886E-2</v>
      </c>
      <c r="D6282" s="2" t="str">
        <f t="shared" si="97"/>
        <v>Error?</v>
      </c>
      <c r="E6282" s="2" t="s">
        <v>190</v>
      </c>
    </row>
    <row r="6283" spans="1:5">
      <c r="A6283">
        <v>6222</v>
      </c>
      <c r="B6283" s="137">
        <f>'Acct Summary 7-8'!J83</f>
        <v>0.61304875054112418</v>
      </c>
      <c r="D6283" s="2" t="str">
        <f t="shared" si="97"/>
        <v>Error?</v>
      </c>
      <c r="E6283" s="2" t="s">
        <v>190</v>
      </c>
    </row>
    <row r="6284" spans="1:5">
      <c r="A6284">
        <v>6223</v>
      </c>
      <c r="B6284" s="137">
        <f>'Acct Summary 7-8'!K83</f>
        <v>-0.19907504729871767</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575245</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575245</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7188</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7188</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26907</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26907</v>
      </c>
      <c r="D6351" s="2" t="str">
        <f t="shared" si="98"/>
        <v>Error?</v>
      </c>
      <c r="E6351" s="2" t="s">
        <v>190</v>
      </c>
    </row>
    <row r="6352" spans="1:5">
      <c r="A6352">
        <v>6291</v>
      </c>
      <c r="B6352" s="137">
        <f>'Revenues 9-14'!J109</f>
        <v>609340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1909</v>
      </c>
    </row>
    <row r="6383" spans="1:6">
      <c r="A6383" s="128">
        <v>6322</v>
      </c>
      <c r="D6383" s="2" t="str">
        <f t="shared" si="98"/>
        <v>OK</v>
      </c>
      <c r="E6383" s="2" t="s">
        <v>190</v>
      </c>
      <c r="F6383" s="1" t="s">
        <v>1909</v>
      </c>
    </row>
    <row r="6384" spans="1:6">
      <c r="A6384" s="128">
        <v>6323</v>
      </c>
      <c r="D6384" s="2" t="str">
        <f t="shared" si="98"/>
        <v>OK</v>
      </c>
      <c r="E6384" s="2" t="s">
        <v>190</v>
      </c>
      <c r="F6384" s="1" t="s">
        <v>1909</v>
      </c>
    </row>
    <row r="6385" spans="1:6">
      <c r="A6385" s="128">
        <v>6324</v>
      </c>
      <c r="D6385" s="2" t="str">
        <f t="shared" si="98"/>
        <v>OK</v>
      </c>
      <c r="E6385" s="2" t="s">
        <v>190</v>
      </c>
      <c r="F6385" s="1" t="s">
        <v>1909</v>
      </c>
    </row>
    <row r="6386" spans="1:6">
      <c r="A6386" s="128">
        <v>6325</v>
      </c>
      <c r="D6386" s="2" t="str">
        <f t="shared" si="98"/>
        <v>OK</v>
      </c>
      <c r="E6386" s="2" t="s">
        <v>190</v>
      </c>
      <c r="F6386" s="1" t="s">
        <v>1909</v>
      </c>
    </row>
    <row r="6387" spans="1:6">
      <c r="A6387" s="128">
        <v>6326</v>
      </c>
      <c r="D6387" s="2" t="str">
        <f t="shared" si="98"/>
        <v>OK</v>
      </c>
      <c r="E6387" s="2" t="s">
        <v>190</v>
      </c>
      <c r="F6387" s="1" t="s">
        <v>1909</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1909</v>
      </c>
    </row>
    <row r="6411" spans="1:6">
      <c r="A6411" s="128">
        <v>6350</v>
      </c>
      <c r="D6411" s="2" t="str">
        <f t="shared" si="99"/>
        <v>OK</v>
      </c>
      <c r="E6411" s="2" t="s">
        <v>190</v>
      </c>
      <c r="F6411" s="1" t="s">
        <v>1909</v>
      </c>
    </row>
    <row r="6412" spans="1:6">
      <c r="A6412" s="128">
        <v>6351</v>
      </c>
      <c r="D6412" s="2" t="str">
        <f t="shared" si="99"/>
        <v>OK</v>
      </c>
      <c r="E6412" s="2" t="s">
        <v>190</v>
      </c>
      <c r="F6412" s="1" t="s">
        <v>1909</v>
      </c>
    </row>
    <row r="6413" spans="1:6">
      <c r="A6413" s="128">
        <v>6352</v>
      </c>
      <c r="D6413" s="2" t="str">
        <f t="shared" si="99"/>
        <v>OK</v>
      </c>
      <c r="E6413" s="2" t="s">
        <v>190</v>
      </c>
      <c r="F6413" s="1" t="s">
        <v>1909</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1909</v>
      </c>
    </row>
    <row r="6842" spans="1:5">
      <c r="A6842" s="128">
        <v>6781</v>
      </c>
      <c r="D6842" s="2" t="str">
        <f t="shared" si="105"/>
        <v>OK</v>
      </c>
      <c r="E6842" s="1" t="s">
        <v>1909</v>
      </c>
    </row>
    <row r="6843" spans="1:5">
      <c r="A6843" s="128">
        <v>6782</v>
      </c>
      <c r="D6843" s="2" t="str">
        <f t="shared" si="105"/>
        <v>OK</v>
      </c>
      <c r="E6843" s="1" t="s">
        <v>1909</v>
      </c>
    </row>
    <row r="6844" spans="1:5">
      <c r="A6844">
        <v>6783</v>
      </c>
      <c r="B6844" s="137">
        <f>'Expenditures 15-22'!I5</f>
        <v>20957</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1442</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425501</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22399</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27378</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27378</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27378</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5120</v>
      </c>
      <c r="D6993" s="2" t="str">
        <f t="shared" si="108"/>
        <v>Error?</v>
      </c>
    </row>
    <row r="6994" spans="1:4">
      <c r="A6994">
        <v>6933</v>
      </c>
      <c r="B6994" s="137">
        <f>'Expenditures 15-22'!K91</f>
        <v>5120</v>
      </c>
      <c r="D6994" s="2" t="str">
        <f t="shared" si="108"/>
        <v>Error?</v>
      </c>
    </row>
    <row r="6995" spans="1:4">
      <c r="A6995">
        <v>6934</v>
      </c>
      <c r="B6995" s="137">
        <f>'Expenditures 15-22'!H92</f>
        <v>5120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176472</v>
      </c>
      <c r="D7016" s="2" t="str">
        <f t="shared" si="108"/>
        <v>Error?</v>
      </c>
    </row>
    <row r="7017" spans="1:4">
      <c r="A7017">
        <v>6956</v>
      </c>
      <c r="B7017" s="137">
        <f>'Expenditures 15-22'!K111</f>
        <v>176472</v>
      </c>
      <c r="D7017" s="2" t="str">
        <f t="shared" si="108"/>
        <v>Error?</v>
      </c>
    </row>
    <row r="7018" spans="1:4">
      <c r="A7018">
        <v>6957</v>
      </c>
      <c r="B7018" s="137">
        <f>'Expenditures 15-22'!H112</f>
        <v>176472</v>
      </c>
      <c r="D7018" s="2" t="str">
        <f t="shared" si="108"/>
        <v>Error?</v>
      </c>
    </row>
    <row r="7019" spans="1:4">
      <c r="A7019">
        <v>6958</v>
      </c>
      <c r="B7019" s="137">
        <f>'Expenditures 15-22'!K112</f>
        <v>176472</v>
      </c>
      <c r="D7019" s="2" t="str">
        <f t="shared" si="108"/>
        <v>Error?</v>
      </c>
    </row>
    <row r="7020" spans="1:4">
      <c r="A7020">
        <v>6959</v>
      </c>
      <c r="B7020" s="137">
        <f>'Expenditures 15-22'!I114</f>
        <v>49777</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19432</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19432</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19432</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367179</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123745</v>
      </c>
      <c r="D7049" s="2" t="str">
        <f t="shared" si="109"/>
        <v>Error?</v>
      </c>
    </row>
    <row r="7050" spans="1:5">
      <c r="A7050">
        <v>6989</v>
      </c>
      <c r="B7050" s="137">
        <f>'Expenditures 15-22'!K148</f>
        <v>123745</v>
      </c>
      <c r="D7050" s="2" t="str">
        <f t="shared" si="109"/>
        <v>Error?</v>
      </c>
    </row>
    <row r="7051" spans="1:5">
      <c r="A7051">
        <v>6990</v>
      </c>
      <c r="B7051" s="137">
        <f>'Expenditures 15-22'!I151</f>
        <v>19432</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609340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12448</v>
      </c>
      <c r="D7075" s="2" t="str">
        <f t="shared" si="109"/>
        <v>Error?</v>
      </c>
    </row>
    <row r="7076" spans="1:4">
      <c r="A7076">
        <v>7015</v>
      </c>
      <c r="B7076" s="137">
        <f>'Expenditures 15-22'!K218</f>
        <v>12448</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192136</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192136</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22971</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22971</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367179</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367179</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367179</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367179</v>
      </c>
      <c r="D7224" s="2" t="str">
        <f t="shared" si="111"/>
        <v>Error?</v>
      </c>
    </row>
    <row r="7225" spans="1:4">
      <c r="A7225">
        <v>7164</v>
      </c>
      <c r="B7225" s="137">
        <f>'Expenditures 15-22'!K343</f>
        <v>242161</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23</v>
      </c>
      <c r="D7240" s="2" t="str">
        <f t="shared" si="112"/>
        <v>Error?</v>
      </c>
    </row>
    <row r="7241" spans="1:4">
      <c r="A7241">
        <v>7180</v>
      </c>
      <c r="B7241" s="137">
        <f>'Expenditures 15-22'!K363</f>
        <v>23</v>
      </c>
      <c r="D7241" s="2" t="str">
        <f t="shared" si="112"/>
        <v>Error?</v>
      </c>
    </row>
    <row r="7242" spans="1:4">
      <c r="A7242">
        <v>7181</v>
      </c>
      <c r="B7242" s="137">
        <f>'Expenditures 15-22'!H365</f>
        <v>23</v>
      </c>
      <c r="D7242" s="2" t="str">
        <f t="shared" si="112"/>
        <v>Error?</v>
      </c>
    </row>
    <row r="7243" spans="1:4">
      <c r="A7243">
        <v>7182</v>
      </c>
      <c r="B7243" s="137">
        <f>'Expenditures 15-22'!K365</f>
        <v>23</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304794</v>
      </c>
      <c r="D7251" s="2" t="str">
        <f t="shared" si="112"/>
        <v>Error?</v>
      </c>
    </row>
    <row r="7252" spans="1:4">
      <c r="A7252">
        <f t="shared" si="113"/>
        <v>7191</v>
      </c>
      <c r="B7252" s="137">
        <f>'Expenditures 15-22'!D9</f>
        <v>111800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8907</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69209</v>
      </c>
      <c r="D7624" s="2" t="str">
        <f t="shared" si="124"/>
        <v>Error?</v>
      </c>
      <c r="E7624" s="2" t="s">
        <v>19</v>
      </c>
    </row>
    <row r="7625" spans="1:5">
      <c r="A7625">
        <f t="shared" si="123"/>
        <v>7564</v>
      </c>
      <c r="B7625" s="137">
        <f>'Cap Outlay Deprec 26'!I17</f>
        <v>6920.9</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1762550.9</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152072</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152072</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0</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2116431</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29'!D142</f>
        <v>72864</v>
      </c>
      <c r="D7797" s="2" t="str">
        <f t="shared" si="127"/>
        <v>Error?</v>
      </c>
      <c r="E7797" s="4" t="s">
        <v>1875</v>
      </c>
    </row>
    <row r="7798" spans="1:5">
      <c r="A7798">
        <v>7737</v>
      </c>
      <c r="B7798" s="137">
        <f>'Contracts Paid in CY 29'!F142</f>
        <v>50000</v>
      </c>
      <c r="D7798" s="2" t="str">
        <f t="shared" si="127"/>
        <v>Error?</v>
      </c>
      <c r="E7798" s="4" t="s">
        <v>1875</v>
      </c>
    </row>
    <row r="7799" spans="1:5">
      <c r="A7799">
        <v>7738</v>
      </c>
      <c r="B7799" s="137">
        <f>'Contracts Paid in CY 29'!G142</f>
        <v>22864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1911</v>
      </c>
    </row>
    <row r="7802" spans="1:5">
      <c r="A7802">
        <v>7741</v>
      </c>
      <c r="B7802" s="137">
        <f>'Revenues 9-14'!D120</f>
        <v>0</v>
      </c>
      <c r="D7802" s="2" t="str">
        <f t="shared" si="127"/>
        <v>Error?</v>
      </c>
      <c r="E7802" s="4" t="s">
        <v>1911</v>
      </c>
    </row>
    <row r="7803" spans="1:5">
      <c r="A7803">
        <v>7742</v>
      </c>
      <c r="B7803" s="137">
        <f>'Revenues 9-14'!E120</f>
        <v>0</v>
      </c>
      <c r="D7803" s="2" t="str">
        <f t="shared" si="127"/>
        <v>Error?</v>
      </c>
      <c r="E7803" s="4" t="s">
        <v>1911</v>
      </c>
    </row>
    <row r="7804" spans="1:5">
      <c r="A7804">
        <v>7743</v>
      </c>
      <c r="B7804" s="137">
        <f>'Revenues 9-14'!F120</f>
        <v>0</v>
      </c>
      <c r="D7804" s="2" t="str">
        <f t="shared" si="127"/>
        <v>Error?</v>
      </c>
      <c r="E7804" s="4" t="s">
        <v>1911</v>
      </c>
    </row>
    <row r="7805" spans="1:5">
      <c r="A7805">
        <v>7744</v>
      </c>
      <c r="B7805" s="137">
        <f>'Revenues 9-14'!G120</f>
        <v>0</v>
      </c>
      <c r="D7805" s="2" t="str">
        <f t="shared" si="127"/>
        <v>Error?</v>
      </c>
      <c r="E7805" s="4" t="s">
        <v>1911</v>
      </c>
    </row>
    <row r="7806" spans="1:5">
      <c r="A7806">
        <v>7745</v>
      </c>
      <c r="B7806" s="137">
        <f>'Revenues 9-14'!H120</f>
        <v>0</v>
      </c>
      <c r="D7806" s="2" t="str">
        <f t="shared" si="127"/>
        <v>Error?</v>
      </c>
      <c r="E7806" s="4" t="s">
        <v>1911</v>
      </c>
    </row>
    <row r="7807" spans="1:5">
      <c r="A7807">
        <v>7746</v>
      </c>
      <c r="B7807" s="137">
        <f>'Revenues 9-14'!J120</f>
        <v>0</v>
      </c>
      <c r="D7807" s="2" t="str">
        <f t="shared" ref="D7807:D7816" si="128">IF(ISBLANK(B7807),"OK",IF(A7807-B7807=0,"OK","Error?"))</f>
        <v>Error?</v>
      </c>
      <c r="E7807" s="4" t="s">
        <v>1911</v>
      </c>
    </row>
    <row r="7808" spans="1:5">
      <c r="A7808">
        <v>7747</v>
      </c>
      <c r="B7808" s="137">
        <f>'Revenues 9-14'!K120</f>
        <v>0</v>
      </c>
      <c r="D7808" s="2" t="str">
        <f t="shared" si="128"/>
        <v>Error?</v>
      </c>
      <c r="E7808" s="4" t="s">
        <v>1911</v>
      </c>
    </row>
    <row r="7809" spans="1:5">
      <c r="A7809">
        <v>7748</v>
      </c>
      <c r="B7809" s="137">
        <f>'Revenues 9-14'!C261</f>
        <v>0</v>
      </c>
      <c r="D7809" s="2" t="str">
        <f t="shared" si="128"/>
        <v>Error?</v>
      </c>
      <c r="E7809" s="4" t="s">
        <v>1912</v>
      </c>
    </row>
    <row r="7810" spans="1:5">
      <c r="A7810">
        <v>7749</v>
      </c>
      <c r="B7810" s="137">
        <f>'Revenues 9-14'!D261</f>
        <v>0</v>
      </c>
      <c r="D7810" s="2" t="str">
        <f t="shared" si="128"/>
        <v>Error?</v>
      </c>
      <c r="E7810" s="4" t="s">
        <v>1912</v>
      </c>
    </row>
    <row r="7811" spans="1:5">
      <c r="A7811">
        <v>7750</v>
      </c>
      <c r="B7811" s="137">
        <f>'Revenues 9-14'!F261</f>
        <v>0</v>
      </c>
      <c r="D7811" s="2" t="str">
        <f t="shared" si="128"/>
        <v>Error?</v>
      </c>
      <c r="E7811" s="4" t="s">
        <v>1912</v>
      </c>
    </row>
    <row r="7812" spans="1:5">
      <c r="A7812">
        <v>7751</v>
      </c>
      <c r="B7812" s="137">
        <f>'Revenues 9-14'!G261</f>
        <v>0</v>
      </c>
      <c r="D7812" s="2" t="str">
        <f t="shared" si="128"/>
        <v>Error?</v>
      </c>
      <c r="E7812" s="4" t="s">
        <v>1912</v>
      </c>
    </row>
    <row r="7813" spans="1:5">
      <c r="A7813">
        <v>7752</v>
      </c>
      <c r="B7813" s="137">
        <f>'Revenues 9-14'!C262</f>
        <v>0</v>
      </c>
      <c r="D7813" s="2" t="str">
        <f t="shared" si="128"/>
        <v>Error?</v>
      </c>
      <c r="E7813" s="4" t="s">
        <v>1913</v>
      </c>
    </row>
    <row r="7814" spans="1:5">
      <c r="A7814">
        <v>7753</v>
      </c>
      <c r="B7814" s="137">
        <f>'Revenues 9-14'!D262</f>
        <v>0</v>
      </c>
      <c r="D7814" s="2" t="str">
        <f t="shared" si="128"/>
        <v>Error?</v>
      </c>
      <c r="E7814" s="4" t="s">
        <v>1913</v>
      </c>
    </row>
    <row r="7815" spans="1:5">
      <c r="A7815">
        <v>7754</v>
      </c>
      <c r="B7815" s="137">
        <f>'Revenues 9-14'!F262</f>
        <v>0</v>
      </c>
      <c r="D7815" s="2" t="str">
        <f t="shared" si="128"/>
        <v>Error?</v>
      </c>
      <c r="E7815" s="4" t="s">
        <v>1913</v>
      </c>
    </row>
    <row r="7816" spans="1:5">
      <c r="A7816">
        <v>7755</v>
      </c>
      <c r="B7816" s="137">
        <f>'Revenues 9-14'!G262</f>
        <v>0</v>
      </c>
      <c r="D7816" s="2" t="str">
        <f t="shared" si="128"/>
        <v>Error?</v>
      </c>
      <c r="E7816" s="4" t="s">
        <v>1913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CCFF"/>
    <pageSetUpPr fitToPage="1"/>
  </sheetPr>
  <dimension ref="A1:AC59"/>
  <sheetViews>
    <sheetView showGridLines="0" showZeros="0" zoomScale="110" zoomScaleNormal="110" workbookViewId="0">
      <selection activeCell="D5" sqref="D5"/>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17" t="s">
        <v>1191</v>
      </c>
      <c r="B2" s="2417"/>
      <c r="C2" s="2417"/>
      <c r="D2" s="2417"/>
      <c r="E2" s="2417"/>
      <c r="F2" s="2417"/>
      <c r="G2" s="2417"/>
      <c r="H2" s="2417"/>
      <c r="I2" s="2417"/>
      <c r="J2" s="2417"/>
      <c r="K2" s="2417"/>
      <c r="L2" s="2417"/>
    </row>
    <row r="3" spans="1:29" ht="13.5" customHeight="1">
      <c r="A3" s="2448" t="s">
        <v>1190</v>
      </c>
      <c r="B3" s="2448"/>
      <c r="C3" s="2448"/>
      <c r="D3" s="2448"/>
      <c r="E3" s="2448"/>
      <c r="F3" s="2448"/>
      <c r="G3" s="2448"/>
      <c r="H3" s="2448"/>
      <c r="I3" s="2448"/>
      <c r="J3" s="2448"/>
      <c r="K3" s="2448"/>
      <c r="L3" s="2448"/>
    </row>
    <row r="4" spans="1:29" ht="13.5" customHeight="1">
      <c r="A4" s="2417" t="s">
        <v>1959</v>
      </c>
      <c r="B4" s="2438"/>
      <c r="C4" s="2438"/>
      <c r="D4" s="2438"/>
      <c r="E4" s="2438"/>
      <c r="F4" s="2438"/>
      <c r="G4" s="2438"/>
      <c r="H4" s="2438"/>
      <c r="I4" s="2438"/>
      <c r="J4" s="2438"/>
      <c r="K4" s="2438"/>
      <c r="L4" s="2438"/>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439" t="str">
        <f>COVER!A17</f>
        <v>Oak Lawn - Hometown SD 123</v>
      </c>
      <c r="B7" s="2440"/>
      <c r="C7" s="2440"/>
      <c r="D7" s="2441"/>
      <c r="E7" s="2442">
        <f>COVER!A13</f>
        <v>7016123002</v>
      </c>
      <c r="F7" s="2443"/>
      <c r="G7" s="2449" t="str">
        <f>COVER!T23</f>
        <v>066-003346</v>
      </c>
      <c r="H7" s="2450"/>
      <c r="I7" s="2450"/>
      <c r="J7" s="2450"/>
      <c r="K7" s="2450"/>
      <c r="L7" s="2451"/>
    </row>
    <row r="8" spans="1:29" ht="13.5" customHeight="1">
      <c r="A8" s="1183" t="s">
        <v>1508</v>
      </c>
      <c r="B8" s="1184"/>
      <c r="C8" s="1185"/>
      <c r="D8" s="1185"/>
      <c r="E8" s="1190"/>
      <c r="F8" s="1189"/>
      <c r="G8" s="1191" t="s">
        <v>1186</v>
      </c>
      <c r="H8" s="1192"/>
      <c r="I8" s="1192"/>
      <c r="J8" s="1192"/>
      <c r="K8" s="1192"/>
      <c r="L8" s="1193"/>
    </row>
    <row r="9" spans="1:29" ht="13.5" customHeight="1">
      <c r="A9" s="2452"/>
      <c r="B9" s="2453"/>
      <c r="C9" s="2453"/>
      <c r="D9" s="2453"/>
      <c r="E9" s="2453"/>
      <c r="F9" s="2454"/>
      <c r="G9" s="2423" t="str">
        <f>COVER!T13</f>
        <v>RSM US LLP</v>
      </c>
      <c r="H9" s="2455"/>
      <c r="I9" s="2455"/>
      <c r="J9" s="2455"/>
      <c r="K9" s="2455"/>
      <c r="L9" s="2456"/>
    </row>
    <row r="10" spans="1:29" ht="13.5" customHeight="1">
      <c r="A10" s="2429" t="str">
        <f>COVER!A38</f>
        <v>Paul Enderle</v>
      </c>
      <c r="B10" s="2430"/>
      <c r="C10" s="2430"/>
      <c r="D10" s="2430"/>
      <c r="E10" s="2430"/>
      <c r="F10" s="2431"/>
      <c r="G10" s="2423" t="str">
        <f>COVER!T17</f>
        <v>1 South Wacker, Suite 800</v>
      </c>
      <c r="H10" s="2424"/>
      <c r="I10" s="2424"/>
      <c r="J10" s="2424"/>
      <c r="K10" s="2424"/>
      <c r="L10" s="2425"/>
    </row>
    <row r="11" spans="1:29" ht="13.5" customHeight="1">
      <c r="A11" s="1183" t="s">
        <v>1510</v>
      </c>
      <c r="B11" s="1184"/>
      <c r="C11" s="1185"/>
      <c r="D11" s="1190"/>
      <c r="E11" s="1185"/>
      <c r="F11" s="1189"/>
      <c r="G11" s="2423" t="str">
        <f>COVER!T19</f>
        <v>Chicago</v>
      </c>
      <c r="H11" s="2424"/>
      <c r="I11" s="2424"/>
      <c r="J11" s="2424"/>
      <c r="K11" s="2424"/>
      <c r="L11" s="2425"/>
    </row>
    <row r="12" spans="1:29" ht="13.5" customHeight="1">
      <c r="A12" s="2432" t="s">
        <v>1509</v>
      </c>
      <c r="B12" s="2433"/>
      <c r="C12" s="2433"/>
      <c r="D12" s="2433"/>
      <c r="E12" s="2433"/>
      <c r="F12" s="2434"/>
      <c r="G12" s="2426"/>
      <c r="H12" s="2427"/>
      <c r="I12" s="2427"/>
      <c r="J12" s="2427"/>
      <c r="K12" s="2427"/>
      <c r="L12" s="2428"/>
    </row>
    <row r="13" spans="1:29" ht="13.5" customHeight="1">
      <c r="A13" s="2423"/>
      <c r="B13" s="2424"/>
      <c r="C13" s="2424"/>
      <c r="D13" s="2424"/>
      <c r="E13" s="2424"/>
      <c r="F13" s="2425"/>
      <c r="G13" s="2418" t="s">
        <v>1511</v>
      </c>
      <c r="H13" s="2419"/>
      <c r="I13" s="2435" t="str">
        <f>COVER!T25</f>
        <v>kelly.kirkman@rsmus.com</v>
      </c>
      <c r="J13" s="2436"/>
      <c r="K13" s="2436"/>
      <c r="L13" s="2437"/>
    </row>
    <row r="14" spans="1:29" ht="13.5" customHeight="1">
      <c r="A14" s="2423" t="str">
        <f>COVER!A19</f>
        <v>4201 W. 93rd Street</v>
      </c>
      <c r="B14" s="2424"/>
      <c r="C14" s="2424"/>
      <c r="D14" s="2424"/>
      <c r="E14" s="2424"/>
      <c r="F14" s="2425"/>
      <c r="G14" s="1194" t="s">
        <v>1185</v>
      </c>
      <c r="H14" s="1192"/>
      <c r="I14" s="1192"/>
      <c r="J14" s="1192"/>
      <c r="K14" s="1192"/>
      <c r="L14" s="1193"/>
    </row>
    <row r="15" spans="1:29" ht="13.5" customHeight="1">
      <c r="A15" s="2423" t="str">
        <f>COVER!A21</f>
        <v>Oak Lawn</v>
      </c>
      <c r="B15" s="2424"/>
      <c r="C15" s="2424"/>
      <c r="D15" s="2424"/>
      <c r="E15" s="2424"/>
      <c r="F15" s="2425"/>
      <c r="G15" s="2420" t="str">
        <f>COVER!T15</f>
        <v>Kelly Kirkman</v>
      </c>
      <c r="H15" s="2421"/>
      <c r="I15" s="2421"/>
      <c r="J15" s="2421"/>
      <c r="K15" s="2421"/>
      <c r="L15" s="2422"/>
    </row>
    <row r="16" spans="1:29" ht="12.2" customHeight="1">
      <c r="A16" s="2445" t="str">
        <f>COVER!A25</f>
        <v>604453-1907</v>
      </c>
      <c r="B16" s="2446"/>
      <c r="C16" s="2446"/>
      <c r="D16" s="2446"/>
      <c r="E16" s="2446"/>
      <c r="F16" s="2447"/>
      <c r="G16" s="2457"/>
      <c r="H16" s="2458"/>
      <c r="I16" s="2458"/>
      <c r="J16" s="2458"/>
      <c r="K16" s="2458"/>
      <c r="L16" s="2459"/>
    </row>
    <row r="17" spans="1:13" ht="12.2" customHeight="1">
      <c r="A17" s="2460"/>
      <c r="B17" s="2446"/>
      <c r="C17" s="2446"/>
      <c r="D17" s="2446"/>
      <c r="E17" s="2446"/>
      <c r="F17" s="2447"/>
      <c r="G17" s="1194" t="s">
        <v>1184</v>
      </c>
      <c r="H17" s="1192"/>
      <c r="I17" s="1192"/>
      <c r="J17" s="1192"/>
      <c r="K17" s="1196" t="s">
        <v>1183</v>
      </c>
      <c r="L17" s="1189"/>
      <c r="M17" s="1182"/>
    </row>
    <row r="18" spans="1:13" ht="12.2" customHeight="1">
      <c r="A18" s="2429"/>
      <c r="B18" s="2430"/>
      <c r="C18" s="2430"/>
      <c r="D18" s="2430"/>
      <c r="E18" s="2430"/>
      <c r="F18" s="2431"/>
      <c r="G18" s="2439" t="str">
        <f>COVER!T21</f>
        <v>312-634-4407</v>
      </c>
      <c r="H18" s="2440"/>
      <c r="I18" s="2440"/>
      <c r="J18" s="2440"/>
      <c r="K18" s="2439" t="str">
        <f>COVER!X21</f>
        <v>312-634-5523</v>
      </c>
      <c r="L18" s="2444"/>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1683</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6"/>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CFF"/>
    <pageSetUpPr fitToPage="1"/>
  </sheetPr>
  <dimension ref="A1:K127"/>
  <sheetViews>
    <sheetView showGridLines="0" topLeftCell="A19" zoomScale="125" zoomScaleNormal="125" workbookViewId="0">
      <selection activeCell="D43" sqref="D43"/>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61" t="str">
        <f>'Single Audit Cover'!A7</f>
        <v>Oak Lawn - Hometown SD 123</v>
      </c>
      <c r="B1" s="2438"/>
      <c r="C1" s="2438"/>
      <c r="D1" s="2438"/>
    </row>
    <row r="2" spans="1:11" s="1211" customFormat="1" ht="12.75">
      <c r="A2" s="2462">
        <f>'Single Audit Cover'!E7</f>
        <v>7016123002</v>
      </c>
      <c r="B2" s="2463"/>
      <c r="C2" s="2463"/>
      <c r="D2" s="2463"/>
    </row>
    <row r="3" spans="1:11" s="1211" customFormat="1" ht="12.75">
      <c r="A3" s="2461" t="s">
        <v>1504</v>
      </c>
      <c r="B3" s="2438"/>
      <c r="C3" s="2438"/>
      <c r="D3" s="2438"/>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1209</v>
      </c>
    </row>
    <row r="60" spans="1:4" ht="10.5" customHeight="1">
      <c r="A60" s="1218"/>
      <c r="D60" s="1241" t="s">
        <v>1584</v>
      </c>
    </row>
    <row r="61" spans="1:4" ht="10.5" customHeight="1">
      <c r="A61" s="1218"/>
      <c r="C61" s="1240"/>
      <c r="D61" s="1233" t="s">
        <v>1696</v>
      </c>
    </row>
    <row r="62" spans="1:4" ht="10.5" customHeight="1">
      <c r="A62" s="1218"/>
      <c r="D62" s="1242" t="s">
        <v>1208</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1207</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1206</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1704</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B13" sqref="B13"/>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65" t="str">
        <f>'Single Audit Cover'!A7</f>
        <v>Oak Lawn - Hometown SD 123</v>
      </c>
      <c r="B1" s="2465"/>
      <c r="C1" s="2465"/>
      <c r="D1" s="2465"/>
      <c r="E1" s="2465"/>
    </row>
    <row r="2" spans="1:5">
      <c r="A2" s="2466">
        <f>'Single Audit Cover'!E7</f>
        <v>7016123002</v>
      </c>
      <c r="B2" s="2466"/>
      <c r="C2" s="2466"/>
      <c r="D2" s="2466"/>
      <c r="E2" s="2466"/>
    </row>
    <row r="3" spans="1:5" ht="4.5" customHeight="1"/>
    <row r="4" spans="1:5">
      <c r="A4" s="2465" t="s">
        <v>1245</v>
      </c>
      <c r="B4" s="2465"/>
      <c r="C4" s="2465"/>
      <c r="D4" s="2465"/>
      <c r="E4" s="2465"/>
    </row>
    <row r="5" spans="1:5">
      <c r="A5" s="2468" t="str">
        <f>'Single Audit Cover'!A4</f>
        <v>Year Ending June 30, 2019</v>
      </c>
      <c r="B5" s="2468"/>
      <c r="C5" s="2468"/>
      <c r="D5" s="2468"/>
      <c r="E5" s="2468"/>
    </row>
    <row r="6" spans="1:5">
      <c r="A6" s="2465" t="s">
        <v>1244</v>
      </c>
      <c r="B6" s="2465"/>
      <c r="C6" s="2465"/>
      <c r="D6" s="2465"/>
      <c r="E6" s="2465"/>
    </row>
    <row r="8" spans="1:5">
      <c r="A8" s="1256" t="s">
        <v>1243</v>
      </c>
    </row>
    <row r="10" spans="1:5">
      <c r="A10" s="1257" t="s">
        <v>1242</v>
      </c>
      <c r="B10" s="1258" t="s">
        <v>1241</v>
      </c>
      <c r="C10" s="1258"/>
      <c r="D10" s="1259">
        <f>SUM('Acct Summary 7-8'!C7:K7)</f>
        <v>2468309</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1712</v>
      </c>
      <c r="B14" s="1258"/>
      <c r="C14" s="1258"/>
      <c r="D14" s="1260">
        <f>'ICR Computation 30'!E11</f>
        <v>79850</v>
      </c>
    </row>
    <row r="15" spans="1:5">
      <c r="A15" s="1257"/>
      <c r="B15" s="1258"/>
      <c r="C15" s="1258"/>
    </row>
    <row r="16" spans="1:5">
      <c r="A16" s="1257" t="s">
        <v>1815</v>
      </c>
      <c r="B16" s="1258"/>
      <c r="C16" s="1258"/>
    </row>
    <row r="17" spans="1:4">
      <c r="A17" s="1257" t="s">
        <v>2030</v>
      </c>
      <c r="B17" s="1258" t="s">
        <v>1236</v>
      </c>
      <c r="C17" s="1258"/>
      <c r="D17" s="1260">
        <f>-SUM('Revenues 9-14'!C264:D264,'Revenues 9-14'!F264:G264)</f>
        <v>-104735</v>
      </c>
    </row>
    <row r="19" spans="1:4" ht="13.5" thickBot="1">
      <c r="A19" s="1261" t="s">
        <v>1235</v>
      </c>
      <c r="D19" s="1262">
        <f>SUM(D10:D17)</f>
        <v>2443424</v>
      </c>
    </row>
    <row r="20" spans="1:4" ht="21.75" customHeight="1" thickTop="1"/>
    <row r="21" spans="1:4">
      <c r="A21" s="1256" t="s">
        <v>1234</v>
      </c>
    </row>
    <row r="22" spans="1:4" ht="8.25" customHeight="1"/>
    <row r="23" spans="1:4">
      <c r="A23" s="1263" t="s">
        <v>1228</v>
      </c>
    </row>
    <row r="24" spans="1:4">
      <c r="A24" s="2467"/>
      <c r="B24" s="2467"/>
      <c r="D24" s="1264"/>
    </row>
    <row r="25" spans="1:4">
      <c r="A25" s="2464"/>
      <c r="B25" s="2464"/>
      <c r="D25" s="1264"/>
    </row>
    <row r="26" spans="1:4">
      <c r="A26" s="2464"/>
      <c r="B26" s="2464"/>
      <c r="D26" s="1264"/>
    </row>
    <row r="27" spans="1:4">
      <c r="A27" s="2464"/>
      <c r="B27" s="2464"/>
      <c r="D27" s="1264"/>
    </row>
    <row r="28" spans="1:4">
      <c r="A28" s="2464"/>
      <c r="B28" s="2464"/>
      <c r="D28" s="1264"/>
    </row>
    <row r="29" spans="1:4">
      <c r="A29" s="2464"/>
      <c r="B29" s="2464"/>
      <c r="D29" s="1264"/>
    </row>
    <row r="30" spans="1:4">
      <c r="A30" s="2464"/>
      <c r="B30" s="2464"/>
      <c r="D30" s="1264"/>
    </row>
    <row r="32" spans="1:4">
      <c r="A32" s="1256" t="s">
        <v>1233</v>
      </c>
      <c r="D32" s="1259">
        <f>SUM(D19:D30)</f>
        <v>2443424</v>
      </c>
    </row>
    <row r="33" spans="1:4">
      <c r="D33" s="1265"/>
    </row>
    <row r="34" spans="1:4">
      <c r="A34" s="316" t="s">
        <v>1232</v>
      </c>
    </row>
    <row r="35" spans="1:4">
      <c r="A35" s="316" t="s">
        <v>1231</v>
      </c>
      <c r="B35" s="1254" t="s">
        <v>1230</v>
      </c>
      <c r="D35" s="1266">
        <f>SEFA!E93</f>
        <v>2442746.9900000002</v>
      </c>
    </row>
    <row r="37" spans="1:4">
      <c r="A37" s="1256" t="s">
        <v>1229</v>
      </c>
    </row>
    <row r="39" spans="1:4" ht="13.35" customHeight="1">
      <c r="A39" s="1263" t="s">
        <v>1228</v>
      </c>
    </row>
    <row r="40" spans="1:4">
      <c r="A40" s="2464" t="s">
        <v>2179</v>
      </c>
      <c r="B40" s="2464"/>
      <c r="D40" s="1264">
        <v>677</v>
      </c>
    </row>
    <row r="41" spans="1:4">
      <c r="A41" s="2464"/>
      <c r="B41" s="2464"/>
      <c r="D41" s="1267"/>
    </row>
    <row r="42" spans="1:4">
      <c r="A42" s="2464"/>
      <c r="B42" s="2464"/>
      <c r="D42" s="1267"/>
    </row>
    <row r="43" spans="1:4">
      <c r="A43" s="2464"/>
      <c r="B43" s="2464"/>
      <c r="D43" s="1267"/>
    </row>
    <row r="44" spans="1:4">
      <c r="A44" s="2464"/>
      <c r="B44" s="2464"/>
      <c r="D44" s="1267"/>
    </row>
    <row r="45" spans="1:4">
      <c r="A45" s="2464"/>
      <c r="B45" s="2464"/>
      <c r="D45" s="1267"/>
    </row>
    <row r="47" spans="1:4">
      <c r="B47" s="1268" t="s">
        <v>1227</v>
      </c>
      <c r="C47" s="1268"/>
      <c r="D47" s="1269">
        <f>SUM(D35:D45)</f>
        <v>2443423.9900000002</v>
      </c>
    </row>
    <row r="49" spans="2:4">
      <c r="B49" s="1268" t="s">
        <v>1226</v>
      </c>
      <c r="C49" s="1268"/>
      <c r="D49" s="1269">
        <f>D32-D47</f>
        <v>9.9999997764825821E-3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57"/>
  <sheetViews>
    <sheetView topLeftCell="A11" zoomScale="85" zoomScaleNormal="85" workbookViewId="0"/>
  </sheetViews>
  <sheetFormatPr defaultColWidth="10.85546875" defaultRowHeight="12.75"/>
  <cols>
    <col min="1" max="1" width="60.5703125" style="1874" customWidth="1"/>
    <col min="2" max="2" width="11.140625" style="1874" customWidth="1"/>
    <col min="3" max="3" width="12.140625" style="1874" bestFit="1" customWidth="1"/>
    <col min="4" max="6" width="11.85546875" style="1874" bestFit="1" customWidth="1"/>
    <col min="7" max="7" width="11.85546875" style="1874" customWidth="1"/>
    <col min="8" max="9" width="11.85546875" style="1951" customWidth="1"/>
    <col min="10" max="10" width="13.5703125" style="1874" bestFit="1" customWidth="1"/>
    <col min="11" max="11" width="11.85546875" style="1874" bestFit="1" customWidth="1"/>
    <col min="12" max="12" width="12.85546875" style="1874" customWidth="1"/>
    <col min="13" max="13" width="10.85546875" style="1874" bestFit="1" customWidth="1"/>
    <col min="14" max="14" width="10.85546875" style="1874"/>
    <col min="15" max="15" width="13.42578125" style="1874" bestFit="1" customWidth="1"/>
    <col min="16" max="16" width="11.140625" style="1874" bestFit="1" customWidth="1"/>
    <col min="17" max="17" width="12.42578125" style="1874" bestFit="1" customWidth="1"/>
    <col min="18" max="18" width="11.140625" style="1874" bestFit="1" customWidth="1"/>
    <col min="19" max="19" width="12.42578125" style="1874" bestFit="1" customWidth="1"/>
    <col min="20" max="20" width="11.140625" style="1874" bestFit="1" customWidth="1"/>
    <col min="21" max="21" width="12.42578125" style="1874" bestFit="1" customWidth="1"/>
    <col min="22" max="23" width="11.140625" style="1874" bestFit="1" customWidth="1"/>
    <col min="24" max="24" width="12.42578125" style="1874" bestFit="1" customWidth="1"/>
    <col min="25" max="16384" width="10.85546875" style="1874"/>
  </cols>
  <sheetData>
    <row r="1" spans="1:13">
      <c r="A1" s="1871"/>
      <c r="B1" s="1871"/>
      <c r="C1" s="1872"/>
      <c r="D1" s="1871"/>
      <c r="E1" s="1871"/>
      <c r="F1" s="1871"/>
      <c r="G1" s="1871"/>
      <c r="H1" s="1880"/>
      <c r="I1" s="1880"/>
      <c r="J1" s="1871"/>
      <c r="K1" s="1871"/>
      <c r="L1" s="1871"/>
      <c r="M1" s="1873"/>
    </row>
    <row r="2" spans="1:13">
      <c r="A2" s="1875" t="s">
        <v>2069</v>
      </c>
      <c r="B2" s="1872"/>
      <c r="C2" s="1872" t="s">
        <v>2070</v>
      </c>
      <c r="D2" s="1892" t="s">
        <v>15</v>
      </c>
      <c r="E2" s="1892" t="s">
        <v>15</v>
      </c>
      <c r="F2" s="1892" t="s">
        <v>16</v>
      </c>
      <c r="G2" s="1893" t="s">
        <v>2073</v>
      </c>
      <c r="H2" s="1946" t="s">
        <v>16</v>
      </c>
      <c r="I2" s="1962" t="s">
        <v>2074</v>
      </c>
      <c r="J2" s="1872"/>
      <c r="K2" s="1872"/>
      <c r="L2" s="1872"/>
      <c r="M2" s="1873"/>
    </row>
    <row r="3" spans="1:13">
      <c r="A3" s="1875" t="s">
        <v>2071</v>
      </c>
      <c r="B3" s="1872" t="s">
        <v>1257</v>
      </c>
      <c r="C3" s="1872" t="s">
        <v>2072</v>
      </c>
      <c r="D3" s="1956" t="s">
        <v>2073</v>
      </c>
      <c r="E3" s="1872" t="s">
        <v>2074</v>
      </c>
      <c r="F3" s="1956" t="s">
        <v>2073</v>
      </c>
      <c r="G3" s="1956" t="s">
        <v>2078</v>
      </c>
      <c r="H3" s="1933" t="s">
        <v>2074</v>
      </c>
      <c r="I3" s="1957" t="s">
        <v>2078</v>
      </c>
      <c r="J3" s="1872" t="s">
        <v>1256</v>
      </c>
      <c r="K3" s="1872" t="s">
        <v>2075</v>
      </c>
      <c r="L3" s="1872"/>
      <c r="M3" s="1873"/>
    </row>
    <row r="4" spans="1:13">
      <c r="A4" s="1875" t="s">
        <v>2076</v>
      </c>
      <c r="B4" s="1872" t="s">
        <v>2077</v>
      </c>
      <c r="C4" s="1872" t="s">
        <v>2077</v>
      </c>
      <c r="D4" s="1956" t="s">
        <v>2078</v>
      </c>
      <c r="E4" s="1956" t="s">
        <v>2079</v>
      </c>
      <c r="F4" s="1956" t="s">
        <v>2078</v>
      </c>
      <c r="G4" s="1956" t="s">
        <v>2181</v>
      </c>
      <c r="H4" s="1957" t="s">
        <v>2079</v>
      </c>
      <c r="I4" s="1957" t="s">
        <v>2181</v>
      </c>
      <c r="J4" s="1872" t="s">
        <v>2080</v>
      </c>
      <c r="K4" s="1872" t="s">
        <v>1255</v>
      </c>
      <c r="L4" s="1872" t="s">
        <v>30</v>
      </c>
      <c r="M4" s="1873"/>
    </row>
    <row r="5" spans="1:13">
      <c r="A5" s="1876"/>
      <c r="B5" s="1878" t="s">
        <v>1254</v>
      </c>
      <c r="C5" s="1878" t="s">
        <v>1253</v>
      </c>
      <c r="D5" s="1878" t="s">
        <v>1252</v>
      </c>
      <c r="E5" s="1878" t="s">
        <v>1251</v>
      </c>
      <c r="F5" s="1878" t="s">
        <v>1250</v>
      </c>
      <c r="G5" s="1878" t="s">
        <v>2182</v>
      </c>
      <c r="H5" s="1958" t="s">
        <v>1249</v>
      </c>
      <c r="I5" s="1958" t="s">
        <v>2182</v>
      </c>
      <c r="J5" s="1878" t="s">
        <v>1248</v>
      </c>
      <c r="K5" s="1878" t="s">
        <v>1247</v>
      </c>
      <c r="L5" s="1878" t="s">
        <v>1246</v>
      </c>
      <c r="M5" s="1873"/>
    </row>
    <row r="6" spans="1:13">
      <c r="A6" s="1871"/>
      <c r="B6" s="1871"/>
      <c r="C6" s="1872"/>
      <c r="D6" s="1871"/>
      <c r="E6" s="1871"/>
      <c r="F6" s="1871"/>
      <c r="G6" s="1871"/>
      <c r="H6" s="1880"/>
      <c r="I6" s="1880"/>
      <c r="J6" s="1871"/>
      <c r="K6" s="1871"/>
      <c r="L6" s="1871"/>
      <c r="M6" s="1873"/>
    </row>
    <row r="7" spans="1:13">
      <c r="A7" s="1871" t="s">
        <v>2081</v>
      </c>
      <c r="B7" s="1871"/>
      <c r="C7" s="1872"/>
      <c r="D7" s="1871"/>
      <c r="E7" s="1871"/>
      <c r="F7" s="1871"/>
      <c r="G7" s="1871"/>
      <c r="H7" s="1880"/>
      <c r="I7" s="1880"/>
      <c r="J7" s="1871"/>
      <c r="K7" s="1871"/>
      <c r="L7" s="1871"/>
      <c r="M7" s="1873"/>
    </row>
    <row r="8" spans="1:13">
      <c r="A8" s="1875" t="s">
        <v>2082</v>
      </c>
      <c r="B8" s="1871"/>
      <c r="C8" s="1872"/>
      <c r="D8" s="1871"/>
      <c r="E8" s="1871"/>
      <c r="F8" s="1871"/>
      <c r="G8" s="1871"/>
      <c r="H8" s="1880"/>
      <c r="I8" s="1880"/>
      <c r="J8" s="1871"/>
      <c r="K8" s="1871"/>
      <c r="L8" s="1871"/>
      <c r="M8" s="1873"/>
    </row>
    <row r="9" spans="1:13">
      <c r="A9" s="1877" t="s">
        <v>2083</v>
      </c>
      <c r="B9" s="1876"/>
      <c r="C9" s="1878"/>
      <c r="D9" s="1876"/>
      <c r="E9" s="1879"/>
      <c r="F9" s="1876"/>
      <c r="G9" s="1879"/>
      <c r="H9" s="1940"/>
      <c r="I9" s="1940"/>
      <c r="J9" s="1876"/>
      <c r="K9" s="1876"/>
      <c r="L9" s="1876"/>
      <c r="M9" s="1873"/>
    </row>
    <row r="10" spans="1:13">
      <c r="A10" s="1871"/>
      <c r="B10" s="1871"/>
      <c r="C10" s="1872"/>
      <c r="D10" s="1880"/>
      <c r="E10" s="1880"/>
      <c r="F10" s="1880"/>
      <c r="G10" s="1880"/>
      <c r="H10" s="1880"/>
      <c r="I10" s="1880"/>
      <c r="J10" s="1880"/>
      <c r="K10" s="1880"/>
      <c r="L10" s="1880"/>
      <c r="M10" s="1873"/>
    </row>
    <row r="11" spans="1:13">
      <c r="A11" s="1881" t="s">
        <v>2084</v>
      </c>
      <c r="B11" s="1871"/>
      <c r="C11" s="1872"/>
      <c r="D11" s="1880"/>
      <c r="E11" s="1880"/>
      <c r="F11" s="1880"/>
      <c r="G11" s="1880"/>
      <c r="H11" s="1880"/>
      <c r="I11" s="1880"/>
      <c r="J11" s="1880"/>
      <c r="K11" s="1880"/>
      <c r="L11" s="1880"/>
      <c r="M11" s="1873"/>
    </row>
    <row r="12" spans="1:13">
      <c r="A12" s="1882" t="s">
        <v>2085</v>
      </c>
      <c r="B12" s="1883" t="s">
        <v>2086</v>
      </c>
      <c r="C12" s="1872" t="s">
        <v>2087</v>
      </c>
      <c r="D12" s="1884">
        <v>0</v>
      </c>
      <c r="E12" s="1886">
        <f>384881+208742</f>
        <v>593623</v>
      </c>
      <c r="F12" s="1884">
        <v>0</v>
      </c>
      <c r="G12" s="1884">
        <v>0</v>
      </c>
      <c r="H12" s="1942">
        <v>593623</v>
      </c>
      <c r="I12" s="1963">
        <v>0</v>
      </c>
      <c r="J12" s="1885">
        <v>0</v>
      </c>
      <c r="K12" s="1886">
        <f>F12+H12+J12</f>
        <v>593623</v>
      </c>
      <c r="L12" s="1886">
        <v>798280</v>
      </c>
      <c r="M12" s="1887"/>
    </row>
    <row r="13" spans="1:13">
      <c r="C13" s="1872" t="s">
        <v>2088</v>
      </c>
      <c r="D13" s="1888">
        <v>471739</v>
      </c>
      <c r="E13" s="1886">
        <v>38152</v>
      </c>
      <c r="F13" s="1888">
        <v>471739</v>
      </c>
      <c r="G13" s="1888">
        <v>0</v>
      </c>
      <c r="H13" s="1942">
        <v>38152</v>
      </c>
      <c r="I13" s="1963">
        <v>0</v>
      </c>
      <c r="J13" s="1885">
        <v>0</v>
      </c>
      <c r="K13" s="1886">
        <f>F13+H13+J13</f>
        <v>509891</v>
      </c>
      <c r="L13" s="1886">
        <v>904196</v>
      </c>
      <c r="M13" s="1887"/>
    </row>
    <row r="14" spans="1:13">
      <c r="A14" s="1879"/>
      <c r="B14" s="1889"/>
      <c r="C14" s="1889" t="s">
        <v>2089</v>
      </c>
      <c r="D14" s="1886">
        <v>2280</v>
      </c>
      <c r="E14" s="1886">
        <v>0</v>
      </c>
      <c r="F14" s="1886">
        <v>2280</v>
      </c>
      <c r="G14" s="1886">
        <v>0</v>
      </c>
      <c r="H14" s="1942">
        <v>0</v>
      </c>
      <c r="I14" s="1963">
        <v>0</v>
      </c>
      <c r="J14" s="1885">
        <v>0</v>
      </c>
      <c r="K14" s="1890">
        <f>F14+H14+J14</f>
        <v>2280</v>
      </c>
      <c r="L14" s="1886">
        <v>759921</v>
      </c>
      <c r="M14" s="1887"/>
    </row>
    <row r="15" spans="1:13" s="1873" customFormat="1">
      <c r="A15" s="1891"/>
      <c r="B15" s="1892"/>
      <c r="C15" s="1893"/>
      <c r="D15" s="1894">
        <f>SUM(D13:D14)</f>
        <v>474019</v>
      </c>
      <c r="E15" s="1894">
        <f>SUM(E12:E14)</f>
        <v>631775</v>
      </c>
      <c r="F15" s="1894">
        <f>SUM(F13:F14)</f>
        <v>474019</v>
      </c>
      <c r="G15" s="1894">
        <v>0</v>
      </c>
      <c r="H15" s="1941">
        <f>SUM(H12:H14)</f>
        <v>631775</v>
      </c>
      <c r="I15" s="1964">
        <v>0</v>
      </c>
      <c r="J15" s="1895"/>
      <c r="K15" s="1941">
        <f>SUM(K12:K14)</f>
        <v>1105794</v>
      </c>
      <c r="L15" s="1941">
        <f>SUM(L12:L14)</f>
        <v>2462397</v>
      </c>
      <c r="M15" s="1887"/>
    </row>
    <row r="16" spans="1:13">
      <c r="A16" s="1891"/>
      <c r="B16" s="1892"/>
      <c r="C16" s="1893"/>
      <c r="D16" s="1886"/>
      <c r="E16" s="1886"/>
      <c r="F16" s="1886"/>
      <c r="G16" s="1886"/>
      <c r="H16" s="1942"/>
      <c r="I16" s="1963"/>
      <c r="J16" s="1886"/>
      <c r="K16" s="1886"/>
      <c r="L16" s="1886"/>
      <c r="M16" s="1887"/>
    </row>
    <row r="17" spans="1:13">
      <c r="A17" s="1891"/>
      <c r="B17" s="1892"/>
      <c r="C17" s="1893"/>
      <c r="D17" s="1886"/>
      <c r="E17" s="1886"/>
      <c r="F17" s="1886"/>
      <c r="G17" s="1886"/>
      <c r="H17" s="1942"/>
      <c r="I17" s="1963"/>
      <c r="J17" s="1886"/>
      <c r="K17" s="1886"/>
      <c r="L17" s="1886"/>
      <c r="M17" s="1887"/>
    </row>
    <row r="18" spans="1:13">
      <c r="A18" s="1896" t="s">
        <v>2090</v>
      </c>
      <c r="B18" s="1892"/>
      <c r="C18" s="1893"/>
      <c r="D18" s="1886"/>
      <c r="E18" s="1886"/>
      <c r="F18" s="1886"/>
      <c r="G18" s="1886"/>
      <c r="H18" s="1942"/>
      <c r="I18" s="1963"/>
      <c r="J18" s="1886"/>
      <c r="K18" s="1886"/>
      <c r="L18" s="1886"/>
      <c r="M18" s="1887"/>
    </row>
    <row r="19" spans="1:13">
      <c r="A19" s="1897" t="s">
        <v>2091</v>
      </c>
      <c r="B19" s="1898" t="s">
        <v>2092</v>
      </c>
      <c r="C19" s="1892" t="s">
        <v>2093</v>
      </c>
      <c r="D19" s="1886">
        <v>0</v>
      </c>
      <c r="E19" s="1886">
        <v>0</v>
      </c>
      <c r="F19" s="1886">
        <v>0</v>
      </c>
      <c r="G19" s="1886">
        <v>0</v>
      </c>
      <c r="H19" s="1942">
        <v>0</v>
      </c>
      <c r="I19" s="1963">
        <v>0</v>
      </c>
      <c r="J19" s="1899">
        <v>0</v>
      </c>
      <c r="K19" s="1886">
        <f>F19+H19+J19</f>
        <v>0</v>
      </c>
      <c r="L19" s="1886">
        <v>0</v>
      </c>
      <c r="M19" s="1887"/>
    </row>
    <row r="20" spans="1:13">
      <c r="A20" s="1897"/>
      <c r="B20" s="1898"/>
      <c r="C20" s="1892" t="s">
        <v>2094</v>
      </c>
      <c r="D20" s="1886">
        <v>108</v>
      </c>
      <c r="E20" s="1886">
        <v>229</v>
      </c>
      <c r="F20" s="1886">
        <v>108</v>
      </c>
      <c r="G20" s="1886">
        <v>0</v>
      </c>
      <c r="H20" s="1942">
        <v>229</v>
      </c>
      <c r="I20" s="1963">
        <v>0</v>
      </c>
      <c r="J20" s="1899"/>
      <c r="K20" s="1886">
        <f>F20+H20+J20</f>
        <v>337</v>
      </c>
      <c r="L20" s="1886">
        <v>414</v>
      </c>
      <c r="M20" s="1887"/>
    </row>
    <row r="21" spans="1:13">
      <c r="A21" s="1897"/>
      <c r="B21" s="1898"/>
      <c r="C21" s="1892" t="s">
        <v>2095</v>
      </c>
      <c r="D21" s="1886">
        <v>847</v>
      </c>
      <c r="E21" s="1886">
        <v>0</v>
      </c>
      <c r="F21" s="1886">
        <v>100</v>
      </c>
      <c r="G21" s="1886">
        <v>0</v>
      </c>
      <c r="H21" s="1942">
        <v>0</v>
      </c>
      <c r="I21" s="1963">
        <v>0</v>
      </c>
      <c r="J21" s="1899"/>
      <c r="K21" s="1886">
        <f>F21+H21+J21</f>
        <v>100</v>
      </c>
      <c r="L21" s="1886">
        <v>5327</v>
      </c>
      <c r="M21" s="1887"/>
    </row>
    <row r="22" spans="1:13">
      <c r="A22" s="1891"/>
      <c r="B22" s="1892"/>
      <c r="C22" s="1893"/>
      <c r="D22" s="1894">
        <f>SUM(D19:D21)</f>
        <v>955</v>
      </c>
      <c r="E22" s="1894">
        <f>SUM(E19:E21)</f>
        <v>229</v>
      </c>
      <c r="F22" s="1894">
        <f>SUM(F19:F21)</f>
        <v>208</v>
      </c>
      <c r="G22" s="1894">
        <v>0</v>
      </c>
      <c r="H22" s="1941">
        <f>SUM(H19:H21)</f>
        <v>229</v>
      </c>
      <c r="I22" s="1964">
        <v>0</v>
      </c>
      <c r="J22" s="1895"/>
      <c r="K22" s="1894">
        <f>SUM(K19:K21)</f>
        <v>437</v>
      </c>
      <c r="L22" s="1894">
        <f>SUM(L19:L21)</f>
        <v>5741</v>
      </c>
      <c r="M22" s="1887"/>
    </row>
    <row r="23" spans="1:13">
      <c r="A23" s="1891"/>
      <c r="B23" s="1892"/>
      <c r="C23" s="1893"/>
      <c r="D23" s="1886"/>
      <c r="E23" s="1886"/>
      <c r="F23" s="1886"/>
      <c r="G23" s="1886"/>
      <c r="H23" s="1942"/>
      <c r="I23" s="1963"/>
      <c r="J23" s="1886"/>
      <c r="K23" s="1886"/>
      <c r="L23" s="1886"/>
      <c r="M23" s="1887"/>
    </row>
    <row r="24" spans="1:13">
      <c r="A24" s="1896" t="s">
        <v>2090</v>
      </c>
      <c r="B24" s="1892"/>
      <c r="C24" s="1893"/>
      <c r="D24" s="1886"/>
      <c r="E24" s="1886"/>
      <c r="F24" s="1886"/>
      <c r="G24" s="1886"/>
      <c r="H24" s="1942"/>
      <c r="I24" s="1963"/>
      <c r="J24" s="1886"/>
      <c r="K24" s="1886"/>
      <c r="L24" s="1886"/>
      <c r="M24" s="1887"/>
    </row>
    <row r="25" spans="1:13">
      <c r="A25" s="1897" t="s">
        <v>2096</v>
      </c>
      <c r="B25" s="1898" t="s">
        <v>2092</v>
      </c>
      <c r="C25" s="1892" t="s">
        <v>2097</v>
      </c>
      <c r="D25" s="1886">
        <v>0</v>
      </c>
      <c r="E25" s="1886">
        <v>57469</v>
      </c>
      <c r="F25" s="1884">
        <v>0</v>
      </c>
      <c r="G25" s="1884">
        <v>0</v>
      </c>
      <c r="H25" s="1942">
        <v>57469</v>
      </c>
      <c r="I25" s="1963">
        <v>0</v>
      </c>
      <c r="J25" s="1886">
        <v>0</v>
      </c>
      <c r="K25" s="1886">
        <f>F25+H25+J25</f>
        <v>57469</v>
      </c>
      <c r="L25" s="1886">
        <v>73063</v>
      </c>
      <c r="M25" s="1887"/>
    </row>
    <row r="26" spans="1:13">
      <c r="C26" s="1892" t="s">
        <v>2098</v>
      </c>
      <c r="D26" s="1886">
        <v>45020</v>
      </c>
      <c r="E26" s="1886">
        <v>5794</v>
      </c>
      <c r="F26" s="1886">
        <v>45020</v>
      </c>
      <c r="G26" s="1886">
        <v>0</v>
      </c>
      <c r="H26" s="1942">
        <v>5794</v>
      </c>
      <c r="I26" s="1963">
        <v>0</v>
      </c>
      <c r="J26" s="1886">
        <v>0</v>
      </c>
      <c r="K26" s="1886">
        <f>F26+H26+J26</f>
        <v>50814</v>
      </c>
      <c r="L26" s="1886">
        <v>73477</v>
      </c>
      <c r="M26" s="1887"/>
    </row>
    <row r="27" spans="1:13">
      <c r="A27" s="1873"/>
      <c r="B27" s="1873"/>
      <c r="C27" s="1900" t="s">
        <v>2099</v>
      </c>
      <c r="D27" s="1886">
        <v>20855</v>
      </c>
      <c r="E27" s="1886">
        <v>0</v>
      </c>
      <c r="F27" s="1886">
        <v>3149</v>
      </c>
      <c r="G27" s="1886">
        <v>0</v>
      </c>
      <c r="H27" s="1942">
        <v>0</v>
      </c>
      <c r="I27" s="1963">
        <v>0</v>
      </c>
      <c r="J27" s="1886">
        <v>0</v>
      </c>
      <c r="K27" s="1886">
        <f>F27+H27+J27</f>
        <v>3149</v>
      </c>
      <c r="L27" s="1886">
        <v>58923</v>
      </c>
      <c r="M27" s="1887"/>
    </row>
    <row r="28" spans="1:13">
      <c r="A28" s="1873"/>
      <c r="B28" s="1873"/>
      <c r="C28" s="1900"/>
      <c r="D28" s="1894">
        <f>SUM(D25:D27)</f>
        <v>65875</v>
      </c>
      <c r="E28" s="1894">
        <f>SUM(E25:E27)</f>
        <v>63263</v>
      </c>
      <c r="F28" s="1894">
        <f>SUM(F25:F27)</f>
        <v>48169</v>
      </c>
      <c r="G28" s="1894">
        <v>0</v>
      </c>
      <c r="H28" s="1941">
        <f>SUM(H25:H27)</f>
        <v>63263</v>
      </c>
      <c r="I28" s="1964">
        <v>0</v>
      </c>
      <c r="J28" s="1895"/>
      <c r="K28" s="1894">
        <f>SUM(K25:K27)</f>
        <v>111432</v>
      </c>
      <c r="L28" s="1894">
        <f>SUM(L25:L27)</f>
        <v>205463</v>
      </c>
      <c r="M28" s="1887"/>
    </row>
    <row r="29" spans="1:13">
      <c r="A29" s="1873"/>
      <c r="C29" s="1900"/>
      <c r="D29" s="1886"/>
      <c r="E29" s="1886"/>
      <c r="F29" s="1886"/>
      <c r="G29" s="1886"/>
      <c r="H29" s="1942"/>
      <c r="I29" s="1963"/>
      <c r="J29" s="1886"/>
      <c r="K29" s="1886"/>
      <c r="L29" s="1886"/>
      <c r="M29" s="1887"/>
    </row>
    <row r="30" spans="1:13" s="1873" customFormat="1">
      <c r="C30" s="1900"/>
      <c r="D30" s="1886"/>
      <c r="E30" s="1886"/>
      <c r="F30" s="1886"/>
      <c r="G30" s="1886"/>
      <c r="H30" s="1942"/>
      <c r="I30" s="1963"/>
      <c r="J30" s="1886"/>
      <c r="K30" s="1886"/>
      <c r="L30" s="1886"/>
      <c r="M30" s="1887"/>
    </row>
    <row r="31" spans="1:13">
      <c r="I31" s="1965"/>
    </row>
    <row r="32" spans="1:13">
      <c r="A32" s="1896" t="s">
        <v>2100</v>
      </c>
      <c r="B32" s="1892"/>
      <c r="C32" s="1893"/>
      <c r="D32" s="1886"/>
      <c r="E32" s="1886"/>
      <c r="F32" s="1886"/>
      <c r="G32" s="1886"/>
      <c r="H32" s="1942"/>
      <c r="I32" s="1963"/>
      <c r="J32" s="1886"/>
      <c r="K32" s="1886"/>
      <c r="L32" s="1886"/>
      <c r="M32" s="1887"/>
    </row>
    <row r="33" spans="1:17">
      <c r="A33" s="1897" t="s">
        <v>2101</v>
      </c>
      <c r="B33" s="1883" t="s">
        <v>2102</v>
      </c>
      <c r="C33" s="1892" t="s">
        <v>2103</v>
      </c>
      <c r="E33" s="1886">
        <v>74080</v>
      </c>
      <c r="F33" s="1884">
        <v>0</v>
      </c>
      <c r="G33" s="1884">
        <v>0</v>
      </c>
      <c r="H33" s="1942">
        <v>74080</v>
      </c>
      <c r="I33" s="1963">
        <v>0</v>
      </c>
      <c r="J33" s="1886">
        <v>0</v>
      </c>
      <c r="K33" s="1886">
        <f>F33+H33+J33</f>
        <v>74080</v>
      </c>
      <c r="L33" s="1886">
        <v>135224</v>
      </c>
      <c r="M33" s="1887"/>
    </row>
    <row r="34" spans="1:17">
      <c r="C34" s="1892" t="s">
        <v>2104</v>
      </c>
      <c r="D34" s="1886">
        <v>132213</v>
      </c>
      <c r="E34" s="1886">
        <v>11318</v>
      </c>
      <c r="F34" s="1886">
        <v>132213</v>
      </c>
      <c r="G34" s="1886">
        <v>0</v>
      </c>
      <c r="H34" s="1942">
        <v>11318</v>
      </c>
      <c r="I34" s="1963">
        <v>0</v>
      </c>
      <c r="J34" s="1886">
        <v>0</v>
      </c>
      <c r="K34" s="1886">
        <f>F34+H34+J34</f>
        <v>143531</v>
      </c>
      <c r="L34" s="1886">
        <v>164915</v>
      </c>
      <c r="M34" s="1887"/>
    </row>
    <row r="35" spans="1:17">
      <c r="A35" s="1901"/>
      <c r="B35" s="1901"/>
      <c r="C35" s="1902" t="s">
        <v>2105</v>
      </c>
      <c r="D35" s="1886">
        <v>26318</v>
      </c>
      <c r="E35" s="1890">
        <v>0</v>
      </c>
      <c r="F35" s="1890">
        <v>10265</v>
      </c>
      <c r="G35" s="1890">
        <v>0</v>
      </c>
      <c r="H35" s="1940">
        <v>0</v>
      </c>
      <c r="I35" s="1966">
        <v>0</v>
      </c>
      <c r="J35" s="1890">
        <v>0</v>
      </c>
      <c r="K35" s="1890">
        <f>F35+H35+J35</f>
        <v>10265</v>
      </c>
      <c r="L35" s="1886">
        <v>122216</v>
      </c>
      <c r="M35" s="1887"/>
    </row>
    <row r="36" spans="1:17">
      <c r="A36" s="1891"/>
      <c r="B36" s="1892"/>
      <c r="C36" s="1893"/>
      <c r="D36" s="1894">
        <f>SUM(D34:D35)</f>
        <v>158531</v>
      </c>
      <c r="E36" s="1894">
        <f>SUM(E33:E35)</f>
        <v>85398</v>
      </c>
      <c r="F36" s="1894">
        <f>SUM(F34:F35)</f>
        <v>142478</v>
      </c>
      <c r="G36" s="1894">
        <v>0</v>
      </c>
      <c r="H36" s="1941">
        <f>SUM(H33:H35)</f>
        <v>85398</v>
      </c>
      <c r="I36" s="1964">
        <v>0</v>
      </c>
      <c r="J36" s="1961"/>
      <c r="K36" s="1894">
        <f>SUM(K33:K35)</f>
        <v>227876</v>
      </c>
      <c r="L36" s="1894">
        <f>SUM(L33:L35)</f>
        <v>422355</v>
      </c>
      <c r="M36" s="1887"/>
    </row>
    <row r="37" spans="1:17">
      <c r="A37" s="1909" t="s">
        <v>2082</v>
      </c>
      <c r="B37" s="1905"/>
      <c r="C37" s="1883"/>
      <c r="D37" s="1908"/>
      <c r="E37" s="1908"/>
      <c r="F37" s="1908"/>
      <c r="G37" s="1908"/>
      <c r="H37" s="1944"/>
      <c r="I37" s="1967"/>
      <c r="J37" s="1908"/>
      <c r="K37" s="1908"/>
      <c r="L37" s="1908"/>
      <c r="M37" s="1908"/>
      <c r="N37" s="1908"/>
      <c r="O37" s="1908"/>
      <c r="P37" s="1908"/>
      <c r="Q37" s="1908"/>
    </row>
    <row r="38" spans="1:17">
      <c r="A38" s="1897" t="s">
        <v>2110</v>
      </c>
      <c r="B38" s="1905" t="s">
        <v>2111</v>
      </c>
      <c r="C38" s="1892" t="s">
        <v>2112</v>
      </c>
      <c r="D38" s="1908">
        <v>0</v>
      </c>
      <c r="E38" s="1886">
        <v>23762</v>
      </c>
      <c r="F38" s="1908">
        <v>0</v>
      </c>
      <c r="G38" s="1908">
        <v>0</v>
      </c>
      <c r="H38" s="1942">
        <v>23762</v>
      </c>
      <c r="I38" s="1963">
        <v>0</v>
      </c>
      <c r="J38" s="1908">
        <v>0</v>
      </c>
      <c r="K38" s="1886">
        <f>F38+H38+J38</f>
        <v>23762</v>
      </c>
      <c r="L38" s="1886">
        <v>25178</v>
      </c>
      <c r="M38" s="1908"/>
      <c r="N38" s="1908"/>
      <c r="O38" s="1908"/>
      <c r="P38" s="1908"/>
      <c r="Q38" s="1908"/>
    </row>
    <row r="39" spans="1:17">
      <c r="B39" s="1905"/>
      <c r="C39" s="1892" t="s">
        <v>2113</v>
      </c>
      <c r="D39" s="1886">
        <v>24579</v>
      </c>
      <c r="E39" s="1886">
        <v>0</v>
      </c>
      <c r="F39" s="1886">
        <v>24579</v>
      </c>
      <c r="G39" s="1886">
        <v>0</v>
      </c>
      <c r="H39" s="1942">
        <v>0</v>
      </c>
      <c r="I39" s="1963">
        <v>0</v>
      </c>
      <c r="J39" s="1886">
        <v>0</v>
      </c>
      <c r="K39" s="1886">
        <f>F39+H39+J39</f>
        <v>24579</v>
      </c>
      <c r="L39" s="1886">
        <v>28020</v>
      </c>
    </row>
    <row r="40" spans="1:17">
      <c r="A40" s="1897"/>
      <c r="B40" s="1905"/>
      <c r="C40" s="1892" t="s">
        <v>2114</v>
      </c>
      <c r="D40" s="1886">
        <v>6221</v>
      </c>
      <c r="E40" s="1886">
        <v>0</v>
      </c>
      <c r="F40" s="1886">
        <v>6221</v>
      </c>
      <c r="G40" s="1886">
        <v>0</v>
      </c>
      <c r="H40" s="1942">
        <v>0</v>
      </c>
      <c r="I40" s="1963">
        <v>0</v>
      </c>
      <c r="J40" s="1886">
        <v>0</v>
      </c>
      <c r="K40" s="1890">
        <f>F40+H40+J40</f>
        <v>6221</v>
      </c>
      <c r="L40" s="1886">
        <v>24277</v>
      </c>
    </row>
    <row r="41" spans="1:17">
      <c r="B41" s="1905"/>
      <c r="D41" s="1894">
        <f>SUM(D39:D40)</f>
        <v>30800</v>
      </c>
      <c r="E41" s="1894">
        <f>SUM(E38:E40)</f>
        <v>23762</v>
      </c>
      <c r="F41" s="1894">
        <f>SUM(F39:F40)</f>
        <v>30800</v>
      </c>
      <c r="G41" s="1894">
        <v>0</v>
      </c>
      <c r="H41" s="1941">
        <f>SUM(H38:H40)</f>
        <v>23762</v>
      </c>
      <c r="I41" s="1964">
        <v>0</v>
      </c>
      <c r="J41" s="1895"/>
      <c r="K41" s="1894">
        <f>SUM(K39:K40)</f>
        <v>30800</v>
      </c>
      <c r="L41" s="1894">
        <f>SUM(L39:L40)</f>
        <v>52297</v>
      </c>
    </row>
    <row r="42" spans="1:17">
      <c r="A42" s="1909"/>
      <c r="B42" s="1905"/>
      <c r="C42" s="1883"/>
      <c r="D42" s="1908"/>
      <c r="E42" s="1908"/>
      <c r="F42" s="1908"/>
      <c r="G42" s="1908"/>
      <c r="H42" s="1944"/>
      <c r="I42" s="1967"/>
      <c r="J42" s="1908"/>
      <c r="K42" s="1908"/>
      <c r="L42" s="1908"/>
      <c r="M42" s="1908"/>
      <c r="N42" s="1908"/>
      <c r="O42" s="1908"/>
      <c r="P42" s="1908"/>
      <c r="Q42" s="1908"/>
    </row>
    <row r="43" spans="1:17">
      <c r="A43" s="1897" t="s">
        <v>2106</v>
      </c>
      <c r="B43" s="1905">
        <v>84.027000000000001</v>
      </c>
      <c r="C43" s="1892" t="s">
        <v>2107</v>
      </c>
      <c r="D43" s="1886">
        <v>0</v>
      </c>
      <c r="E43" s="1886">
        <v>909467</v>
      </c>
      <c r="F43" s="1886">
        <v>0</v>
      </c>
      <c r="G43" s="1886">
        <v>0</v>
      </c>
      <c r="H43" s="1942">
        <v>909467</v>
      </c>
      <c r="I43" s="1963">
        <v>0</v>
      </c>
      <c r="J43" s="1886">
        <v>0</v>
      </c>
      <c r="K43" s="1886">
        <f>F43+H43+J43</f>
        <v>909467</v>
      </c>
      <c r="L43" s="1886">
        <v>920738</v>
      </c>
      <c r="M43" s="1908"/>
      <c r="N43" s="1908"/>
      <c r="O43" s="1908"/>
      <c r="P43" s="1908"/>
      <c r="Q43" s="1908"/>
    </row>
    <row r="44" spans="1:17">
      <c r="A44" s="1897"/>
      <c r="B44" s="1905"/>
      <c r="C44" s="1892" t="s">
        <v>2108</v>
      </c>
      <c r="D44" s="1886">
        <v>865436</v>
      </c>
      <c r="E44" s="1886">
        <v>18541</v>
      </c>
      <c r="F44" s="1886">
        <v>865436</v>
      </c>
      <c r="G44" s="1886">
        <v>0</v>
      </c>
      <c r="H44" s="1942">
        <v>18541</v>
      </c>
      <c r="I44" s="1963">
        <v>0</v>
      </c>
      <c r="J44" s="1886">
        <v>0</v>
      </c>
      <c r="K44" s="1886">
        <f>F44+H44+J44</f>
        <v>883977</v>
      </c>
      <c r="L44" s="1886">
        <v>865436</v>
      </c>
      <c r="M44" s="1908"/>
      <c r="N44" s="1908"/>
      <c r="O44" s="1908"/>
      <c r="P44" s="1908"/>
      <c r="Q44" s="1908"/>
    </row>
    <row r="45" spans="1:17">
      <c r="A45" s="1897"/>
      <c r="B45" s="1905"/>
      <c r="C45" s="1892" t="s">
        <v>2109</v>
      </c>
      <c r="D45" s="1886">
        <v>40642</v>
      </c>
      <c r="E45" s="1886">
        <v>0</v>
      </c>
      <c r="F45" s="1886">
        <v>0</v>
      </c>
      <c r="G45" s="1886">
        <v>0</v>
      </c>
      <c r="H45" s="1942">
        <v>0</v>
      </c>
      <c r="I45" s="1963">
        <v>0</v>
      </c>
      <c r="J45" s="1886"/>
      <c r="K45" s="1890">
        <f>F45+H45+J45</f>
        <v>0</v>
      </c>
      <c r="L45" s="1886">
        <v>805974</v>
      </c>
      <c r="M45" s="1908"/>
      <c r="N45" s="1908"/>
      <c r="O45" s="1908"/>
      <c r="P45" s="1908"/>
      <c r="Q45" s="1908"/>
    </row>
    <row r="46" spans="1:17">
      <c r="D46" s="1894">
        <f>SUM(D44:D45)</f>
        <v>906078</v>
      </c>
      <c r="E46" s="1894">
        <f>SUM(E43:E45)</f>
        <v>928008</v>
      </c>
      <c r="F46" s="1894">
        <f>SUM(F44:F45)</f>
        <v>865436</v>
      </c>
      <c r="G46" s="1894">
        <v>0</v>
      </c>
      <c r="H46" s="1941">
        <f>SUM(H43:H45)</f>
        <v>928008</v>
      </c>
      <c r="I46" s="1964">
        <v>0</v>
      </c>
      <c r="J46" s="1895"/>
      <c r="K46" s="1894">
        <f>SUM(K44:K45)</f>
        <v>883977</v>
      </c>
      <c r="L46" s="1894">
        <f>SUM(L44:L45)</f>
        <v>1671410</v>
      </c>
      <c r="M46" s="1908"/>
      <c r="N46" s="1908"/>
      <c r="O46" s="1908"/>
      <c r="P46" s="1908"/>
      <c r="Q46" s="1908"/>
    </row>
    <row r="47" spans="1:17">
      <c r="A47" s="1909"/>
      <c r="B47" s="1892"/>
      <c r="C47" s="1883"/>
      <c r="D47" s="1908"/>
      <c r="E47" s="1908"/>
      <c r="F47" s="1908"/>
      <c r="G47" s="1908"/>
      <c r="H47" s="1944"/>
      <c r="I47" s="1967"/>
      <c r="J47" s="1908"/>
      <c r="K47" s="1908"/>
      <c r="L47" s="1908"/>
      <c r="M47" s="1908"/>
      <c r="N47" s="1908"/>
      <c r="O47" s="1908"/>
      <c r="P47" s="1908"/>
      <c r="Q47" s="1908"/>
    </row>
    <row r="48" spans="1:17" hidden="1">
      <c r="A48" s="1904" t="s">
        <v>2115</v>
      </c>
      <c r="C48" s="1883"/>
      <c r="D48" s="1908"/>
      <c r="E48" s="1908"/>
      <c r="F48" s="1908"/>
      <c r="G48" s="1908"/>
      <c r="H48" s="1944"/>
      <c r="I48" s="1967"/>
      <c r="J48" s="1908"/>
      <c r="K48" s="1908"/>
      <c r="L48" s="1908"/>
      <c r="M48" s="1908"/>
      <c r="N48" s="1908"/>
      <c r="O48" s="1908"/>
      <c r="P48" s="1908"/>
      <c r="Q48" s="1908"/>
    </row>
    <row r="49" spans="1:24" hidden="1">
      <c r="A49" s="1897" t="s">
        <v>2116</v>
      </c>
      <c r="B49" s="1905">
        <v>84.027000000000001</v>
      </c>
      <c r="C49" s="1892" t="s">
        <v>2117</v>
      </c>
      <c r="D49" s="1884">
        <v>0</v>
      </c>
      <c r="E49" s="1906">
        <v>0</v>
      </c>
      <c r="F49" s="1884">
        <v>0</v>
      </c>
      <c r="G49" s="1884"/>
      <c r="H49" s="1942">
        <v>0</v>
      </c>
      <c r="I49" s="1963"/>
      <c r="J49" s="1908"/>
      <c r="K49" s="1886">
        <f>F49+H49+J49</f>
        <v>0</v>
      </c>
      <c r="L49" s="1910" t="s">
        <v>2118</v>
      </c>
      <c r="M49" s="1908"/>
      <c r="N49" s="1908"/>
      <c r="O49" s="1908"/>
      <c r="P49" s="1908"/>
      <c r="Q49" s="1908"/>
    </row>
    <row r="50" spans="1:24" hidden="1">
      <c r="A50" s="1897"/>
      <c r="B50" s="1892"/>
      <c r="C50" s="1892" t="s">
        <v>2119</v>
      </c>
      <c r="D50" s="1906">
        <v>0</v>
      </c>
      <c r="E50" s="1906">
        <v>0</v>
      </c>
      <c r="F50" s="1886">
        <v>0</v>
      </c>
      <c r="G50" s="1886"/>
      <c r="H50" s="1942">
        <v>0</v>
      </c>
      <c r="I50" s="1963"/>
      <c r="J50" s="1908"/>
      <c r="K50" s="1886">
        <f>F50+H50+J50</f>
        <v>0</v>
      </c>
      <c r="L50" s="1910" t="s">
        <v>2118</v>
      </c>
      <c r="M50" s="1908"/>
      <c r="N50" s="1908"/>
      <c r="O50" s="1908"/>
      <c r="P50" s="1908"/>
      <c r="Q50" s="1908"/>
    </row>
    <row r="51" spans="1:24" hidden="1">
      <c r="A51" s="1897"/>
      <c r="B51" s="1892"/>
      <c r="C51" s="1892" t="s">
        <v>2120</v>
      </c>
      <c r="D51" s="1906">
        <v>0</v>
      </c>
      <c r="E51" s="1906"/>
      <c r="F51" s="1886">
        <v>0</v>
      </c>
      <c r="G51" s="1886"/>
      <c r="H51" s="1942"/>
      <c r="I51" s="1963"/>
      <c r="J51" s="1908"/>
      <c r="K51" s="1890">
        <f>F51+H51+J51</f>
        <v>0</v>
      </c>
      <c r="L51" s="1910"/>
      <c r="M51" s="1908"/>
      <c r="N51" s="1908"/>
      <c r="O51" s="1908"/>
      <c r="P51" s="1908"/>
      <c r="Q51" s="1908"/>
    </row>
    <row r="52" spans="1:24" hidden="1">
      <c r="A52" s="1907"/>
      <c r="B52" s="1883"/>
      <c r="C52" s="1883"/>
      <c r="D52" s="1894">
        <f>SUM(D50:D51)</f>
        <v>0</v>
      </c>
      <c r="E52" s="1894">
        <f>SUM(E49:E50)</f>
        <v>0</v>
      </c>
      <c r="F52" s="1894">
        <f>SUM(F50:F51)</f>
        <v>0</v>
      </c>
      <c r="G52" s="1894"/>
      <c r="H52" s="1941">
        <f>SUM(H49:H50)</f>
        <v>0</v>
      </c>
      <c r="I52" s="1963"/>
      <c r="J52" s="1886"/>
      <c r="K52" s="1894">
        <f>SUM(K49:K51)</f>
        <v>0</v>
      </c>
      <c r="L52" s="1894">
        <f>SUM(L49:L50)</f>
        <v>0</v>
      </c>
      <c r="M52" s="1887"/>
    </row>
    <row r="53" spans="1:24">
      <c r="A53" s="1911"/>
      <c r="B53" s="1898"/>
      <c r="C53" s="1900"/>
      <c r="D53" s="1886"/>
      <c r="E53" s="1886"/>
      <c r="F53" s="1886"/>
      <c r="G53" s="1886"/>
      <c r="H53" s="1942"/>
      <c r="I53" s="1963"/>
      <c r="J53" s="1886"/>
      <c r="K53" s="1873"/>
      <c r="L53" s="1912"/>
      <c r="M53" s="1887"/>
    </row>
    <row r="54" spans="1:24">
      <c r="A54" s="1913" t="s">
        <v>2121</v>
      </c>
      <c r="B54" s="1871"/>
      <c r="C54" s="1872"/>
      <c r="D54" s="1906">
        <f>D52+D36+D28+D15+D22+D41+D46</f>
        <v>1636258</v>
      </c>
      <c r="E54" s="1906">
        <f>E52+E36+E28+E15+E22+E41+E46</f>
        <v>1732435</v>
      </c>
      <c r="F54" s="1906">
        <f>F52+F36+F28+F15+F22+F41+F46</f>
        <v>1561110</v>
      </c>
      <c r="G54" s="1906">
        <v>0</v>
      </c>
      <c r="H54" s="1880">
        <f>H52+H36+H28+H15+H22+H41+H46</f>
        <v>1732435</v>
      </c>
      <c r="I54" s="1968">
        <v>0</v>
      </c>
      <c r="J54" s="1906">
        <f>J52+J36+J28+J15+J22</f>
        <v>0</v>
      </c>
      <c r="K54" s="1906">
        <f>K52+K36+K28+K15+K22+K41+K46</f>
        <v>2360316</v>
      </c>
      <c r="L54" s="1906">
        <f>L52+L36+L28+L15+L22+L41+L46</f>
        <v>4819663</v>
      </c>
      <c r="M54" s="1873"/>
      <c r="O54" s="1914"/>
      <c r="P54" s="1914"/>
      <c r="Q54" s="1914"/>
      <c r="R54" s="1914"/>
      <c r="S54" s="1914"/>
      <c r="T54" s="1914"/>
      <c r="U54" s="1914"/>
      <c r="V54" s="1914"/>
      <c r="W54" s="1914"/>
      <c r="X54" s="1914"/>
    </row>
    <row r="55" spans="1:24" s="1901" customFormat="1">
      <c r="A55" s="1879"/>
      <c r="B55" s="1879"/>
      <c r="C55" s="1889"/>
      <c r="D55" s="1890"/>
      <c r="E55" s="1890"/>
      <c r="F55" s="1890"/>
      <c r="G55" s="1890"/>
      <c r="H55" s="1940"/>
      <c r="I55" s="1966"/>
      <c r="J55" s="1890"/>
      <c r="K55" s="1890"/>
      <c r="L55" s="1915"/>
    </row>
    <row r="56" spans="1:24">
      <c r="A56" s="1891"/>
      <c r="B56" s="1891"/>
      <c r="C56" s="1892"/>
      <c r="D56" s="1886"/>
      <c r="E56" s="1886"/>
      <c r="F56" s="1886"/>
      <c r="G56" s="1886"/>
      <c r="H56" s="1942"/>
      <c r="I56" s="1963"/>
      <c r="J56" s="1886"/>
      <c r="K56" s="1886"/>
      <c r="L56" s="1886"/>
      <c r="M56" s="1873"/>
    </row>
    <row r="57" spans="1:24">
      <c r="A57" s="1871" t="s">
        <v>2122</v>
      </c>
      <c r="B57" s="1871"/>
      <c r="C57" s="1872"/>
      <c r="D57" s="1906"/>
      <c r="E57" s="1906"/>
      <c r="F57" s="1906"/>
      <c r="G57" s="1906"/>
      <c r="H57" s="1880"/>
      <c r="I57" s="1968"/>
      <c r="J57" s="1906"/>
      <c r="K57" s="1906"/>
      <c r="L57" s="1906"/>
      <c r="M57" s="1873"/>
    </row>
    <row r="58" spans="1:24">
      <c r="A58" s="1909" t="s">
        <v>2123</v>
      </c>
      <c r="B58" s="1891"/>
      <c r="C58" s="1892"/>
      <c r="D58" s="1886"/>
      <c r="E58" s="1886"/>
      <c r="F58" s="1886"/>
      <c r="G58" s="1886"/>
      <c r="H58" s="1942"/>
      <c r="I58" s="1963"/>
      <c r="J58" s="1886"/>
      <c r="K58" s="1886"/>
      <c r="L58" s="1886"/>
      <c r="M58" s="1873"/>
    </row>
    <row r="59" spans="1:24">
      <c r="A59" s="1911" t="s">
        <v>1058</v>
      </c>
      <c r="B59" s="1905">
        <v>10.555</v>
      </c>
      <c r="C59" s="1892" t="s">
        <v>2124</v>
      </c>
      <c r="D59" s="1884">
        <v>0</v>
      </c>
      <c r="E59" s="1886">
        <v>443709</v>
      </c>
      <c r="F59" s="1884">
        <v>0</v>
      </c>
      <c r="G59" s="1884">
        <v>0</v>
      </c>
      <c r="H59" s="1942">
        <f>E59</f>
        <v>443709</v>
      </c>
      <c r="I59" s="1963">
        <v>0</v>
      </c>
      <c r="J59" s="1886">
        <v>0</v>
      </c>
      <c r="K59" s="1886">
        <f>F59+H59+J59</f>
        <v>443709</v>
      </c>
      <c r="L59" s="1912" t="s">
        <v>2118</v>
      </c>
      <c r="M59" s="1887"/>
    </row>
    <row r="60" spans="1:24">
      <c r="C60" s="1892" t="s">
        <v>2125</v>
      </c>
      <c r="D60" s="1886">
        <v>432255</v>
      </c>
      <c r="E60" s="1886">
        <v>76573</v>
      </c>
      <c r="F60" s="1886">
        <v>432255</v>
      </c>
      <c r="G60" s="1886">
        <v>0</v>
      </c>
      <c r="H60" s="1942">
        <v>76573</v>
      </c>
      <c r="I60" s="1963">
        <v>0</v>
      </c>
      <c r="J60" s="1886">
        <v>0</v>
      </c>
      <c r="K60" s="1886">
        <f>F60+H60+J60</f>
        <v>508828</v>
      </c>
      <c r="L60" s="1912" t="s">
        <v>2118</v>
      </c>
      <c r="M60" s="1887"/>
    </row>
    <row r="61" spans="1:24">
      <c r="A61" s="1916"/>
      <c r="B61" s="1916"/>
      <c r="C61" s="1917" t="s">
        <v>2126</v>
      </c>
      <c r="D61" s="1886">
        <v>86313</v>
      </c>
      <c r="E61" s="1890">
        <v>0</v>
      </c>
      <c r="F61" s="1886">
        <v>86313</v>
      </c>
      <c r="G61" s="1886">
        <v>0</v>
      </c>
      <c r="H61" s="1940">
        <v>0</v>
      </c>
      <c r="I61" s="1966">
        <v>0</v>
      </c>
      <c r="J61" s="1890">
        <v>0</v>
      </c>
      <c r="K61" s="1890">
        <f>F61+H61+J61</f>
        <v>86313</v>
      </c>
      <c r="L61" s="1915" t="s">
        <v>2118</v>
      </c>
      <c r="M61" s="1918"/>
    </row>
    <row r="62" spans="1:24">
      <c r="A62" s="1919"/>
      <c r="B62" s="1919"/>
      <c r="C62" s="1920"/>
      <c r="D62" s="1894">
        <f>SUM(D60:D61)</f>
        <v>518568</v>
      </c>
      <c r="E62" s="1894">
        <f>SUM(E59:E61)</f>
        <v>520282</v>
      </c>
      <c r="F62" s="1894">
        <f>SUM(F60:F61)</f>
        <v>518568</v>
      </c>
      <c r="G62" s="1894">
        <v>0</v>
      </c>
      <c r="H62" s="1941">
        <f>SUM(H59:H61)</f>
        <v>520282</v>
      </c>
      <c r="I62" s="1964">
        <v>0</v>
      </c>
      <c r="J62" s="1895"/>
      <c r="K62" s="1894">
        <f>SUM(K59:K61)</f>
        <v>1038850</v>
      </c>
      <c r="L62" s="1894"/>
      <c r="M62" s="1918"/>
    </row>
    <row r="63" spans="1:24">
      <c r="A63" s="1919"/>
      <c r="B63" s="1919"/>
      <c r="C63" s="1919"/>
      <c r="D63" s="1919"/>
      <c r="E63" s="1919"/>
      <c r="F63" s="1919"/>
      <c r="G63" s="1919"/>
      <c r="H63" s="1945"/>
      <c r="I63" s="1969"/>
      <c r="J63" s="1919"/>
      <c r="K63" s="1919"/>
      <c r="L63" s="1919"/>
      <c r="M63" s="1919"/>
      <c r="N63" s="1919"/>
      <c r="O63" s="1919"/>
      <c r="P63" s="1919"/>
    </row>
    <row r="64" spans="1:24">
      <c r="A64" s="1911" t="s">
        <v>2127</v>
      </c>
      <c r="B64" s="1905">
        <v>10.555</v>
      </c>
      <c r="C64" s="1892" t="s">
        <v>2128</v>
      </c>
      <c r="D64" s="1884">
        <v>0</v>
      </c>
      <c r="E64" s="1886">
        <v>37806</v>
      </c>
      <c r="F64" s="1884">
        <v>0</v>
      </c>
      <c r="G64" s="1884">
        <v>0</v>
      </c>
      <c r="H64" s="1942">
        <f>E64</f>
        <v>37806</v>
      </c>
      <c r="I64" s="1963">
        <v>0</v>
      </c>
      <c r="J64" s="1886">
        <v>0</v>
      </c>
      <c r="K64" s="1886">
        <f>F64+H64+J64</f>
        <v>37806</v>
      </c>
      <c r="L64" s="1912" t="s">
        <v>2118</v>
      </c>
      <c r="M64" s="1887"/>
    </row>
    <row r="65" spans="1:13">
      <c r="C65" s="1892" t="s">
        <v>2129</v>
      </c>
      <c r="D65" s="1886">
        <v>39992</v>
      </c>
      <c r="E65" s="1886">
        <v>0</v>
      </c>
      <c r="F65" s="1886">
        <v>39992</v>
      </c>
      <c r="G65" s="1886">
        <v>0</v>
      </c>
      <c r="H65" s="1942">
        <f>E65</f>
        <v>0</v>
      </c>
      <c r="I65" s="1963">
        <v>0</v>
      </c>
      <c r="J65" s="1886">
        <v>0</v>
      </c>
      <c r="K65" s="1886">
        <f>F65+H65+J65</f>
        <v>39992</v>
      </c>
      <c r="L65" s="1912" t="s">
        <v>2118</v>
      </c>
      <c r="M65" s="1887"/>
    </row>
    <row r="66" spans="1:13">
      <c r="A66" s="1879"/>
      <c r="B66" s="1879"/>
      <c r="C66" s="1917" t="s">
        <v>2130</v>
      </c>
      <c r="D66" s="1890">
        <v>0</v>
      </c>
      <c r="E66" s="1890">
        <v>0</v>
      </c>
      <c r="F66" s="1890">
        <v>0</v>
      </c>
      <c r="G66" s="1890">
        <v>0</v>
      </c>
      <c r="H66" s="1940">
        <v>0</v>
      </c>
      <c r="I66" s="1966">
        <v>0</v>
      </c>
      <c r="J66" s="1890">
        <v>0</v>
      </c>
      <c r="K66" s="1890">
        <f>F66+H66+J66</f>
        <v>0</v>
      </c>
      <c r="L66" s="1915" t="s">
        <v>2118</v>
      </c>
      <c r="M66" s="1887"/>
    </row>
    <row r="67" spans="1:13" ht="15.95" customHeight="1">
      <c r="A67" s="1891"/>
      <c r="B67" s="1891"/>
      <c r="C67" s="1892"/>
      <c r="D67" s="1894">
        <f>SUM(D65:D66)</f>
        <v>39992</v>
      </c>
      <c r="E67" s="1894">
        <f>SUM(E64:E66)</f>
        <v>37806</v>
      </c>
      <c r="F67" s="1894">
        <f>SUM(F65:F66)</f>
        <v>39992</v>
      </c>
      <c r="G67" s="1894">
        <v>0</v>
      </c>
      <c r="H67" s="1941">
        <f>SUM(H64:H66)</f>
        <v>37806</v>
      </c>
      <c r="I67" s="1964">
        <v>0</v>
      </c>
      <c r="J67" s="1895"/>
      <c r="K67" s="1894">
        <f>SUM(K64:K66)</f>
        <v>77798</v>
      </c>
      <c r="L67" s="1894"/>
      <c r="M67" s="1873"/>
    </row>
    <row r="68" spans="1:13">
      <c r="A68" s="1891"/>
      <c r="B68" s="1891"/>
      <c r="C68" s="1892"/>
      <c r="D68" s="1892"/>
      <c r="E68" s="1892"/>
      <c r="F68" s="1892"/>
      <c r="G68" s="1892"/>
      <c r="H68" s="1946"/>
      <c r="I68" s="1970"/>
      <c r="J68" s="1892"/>
      <c r="K68" s="1892"/>
      <c r="L68" s="1892"/>
      <c r="M68" s="1892"/>
    </row>
    <row r="69" spans="1:13">
      <c r="A69" s="1871" t="s">
        <v>2131</v>
      </c>
      <c r="B69" s="1892"/>
      <c r="C69" s="1920"/>
      <c r="D69" s="1886"/>
      <c r="E69" s="1886"/>
      <c r="F69" s="1886"/>
      <c r="G69" s="1886"/>
      <c r="H69" s="1947"/>
      <c r="I69" s="1971"/>
      <c r="J69" s="1892"/>
      <c r="K69" s="1892"/>
      <c r="L69" s="1892"/>
      <c r="M69" s="1892"/>
    </row>
    <row r="70" spans="1:13">
      <c r="A70" s="1909" t="s">
        <v>2123</v>
      </c>
      <c r="B70" s="1892"/>
      <c r="C70" s="1920"/>
      <c r="D70" s="1886"/>
      <c r="E70" s="1886"/>
      <c r="F70" s="1886"/>
      <c r="G70" s="1886"/>
      <c r="H70" s="1947"/>
      <c r="I70" s="1971"/>
      <c r="J70" s="1892"/>
      <c r="K70" s="1892"/>
      <c r="L70" s="1892"/>
      <c r="M70" s="1892"/>
    </row>
    <row r="71" spans="1:13">
      <c r="A71" s="1911" t="s">
        <v>2132</v>
      </c>
      <c r="B71" s="1905">
        <v>10.555</v>
      </c>
      <c r="C71" s="1920" t="s">
        <v>2133</v>
      </c>
      <c r="D71" s="1884">
        <v>0</v>
      </c>
      <c r="E71" s="1886">
        <v>42043.99</v>
      </c>
      <c r="F71" s="1884">
        <v>0</v>
      </c>
      <c r="G71" s="1884">
        <v>0</v>
      </c>
      <c r="H71" s="1942">
        <f>E71</f>
        <v>42043.99</v>
      </c>
      <c r="I71" s="1963">
        <v>0</v>
      </c>
      <c r="J71" s="1892"/>
      <c r="K71" s="1892">
        <f>F71+H71</f>
        <v>42043.99</v>
      </c>
      <c r="L71" s="1912" t="s">
        <v>2118</v>
      </c>
      <c r="M71" s="1892"/>
    </row>
    <row r="72" spans="1:13" s="1873" customFormat="1">
      <c r="A72" s="1921"/>
      <c r="B72" s="1889"/>
      <c r="C72" s="1917" t="s">
        <v>2134</v>
      </c>
      <c r="D72" s="1890">
        <v>41630</v>
      </c>
      <c r="E72" s="1890">
        <v>0</v>
      </c>
      <c r="F72" s="1886">
        <v>41630</v>
      </c>
      <c r="G72" s="1886">
        <v>0</v>
      </c>
      <c r="H72" s="1940">
        <v>0</v>
      </c>
      <c r="I72" s="1963">
        <v>0</v>
      </c>
      <c r="J72" s="1892"/>
      <c r="K72" s="1889">
        <f>F72+H72</f>
        <v>41630</v>
      </c>
      <c r="L72" s="1915" t="s">
        <v>2118</v>
      </c>
      <c r="M72" s="1892"/>
    </row>
    <row r="73" spans="1:13">
      <c r="A73" s="1891"/>
      <c r="B73" s="1891"/>
      <c r="C73" s="1892"/>
      <c r="D73" s="1894">
        <f>SUM(D71:D72)</f>
        <v>41630</v>
      </c>
      <c r="E73" s="1922">
        <f>SUM(E71:E72)</f>
        <v>42043.99</v>
      </c>
      <c r="F73" s="1922">
        <f>SUM(F71:F72)</f>
        <v>41630</v>
      </c>
      <c r="G73" s="1922">
        <v>0</v>
      </c>
      <c r="H73" s="1948">
        <f>SUM(H71:H72)</f>
        <v>42043.99</v>
      </c>
      <c r="I73" s="1972">
        <v>0</v>
      </c>
      <c r="J73" s="1923"/>
      <c r="K73" s="1922">
        <f>SUM(K71:K72)</f>
        <v>83673.989999999991</v>
      </c>
      <c r="L73" s="1894"/>
      <c r="M73" s="1892"/>
    </row>
    <row r="74" spans="1:13">
      <c r="A74" s="1891"/>
      <c r="B74" s="1891"/>
      <c r="C74" s="1892"/>
      <c r="D74" s="1892"/>
      <c r="E74" s="1892"/>
      <c r="F74" s="1892"/>
      <c r="G74" s="1892"/>
      <c r="H74" s="1946"/>
      <c r="I74" s="1970"/>
      <c r="J74" s="1892"/>
      <c r="K74" s="1892"/>
      <c r="L74" s="1892"/>
      <c r="M74" s="1892"/>
    </row>
    <row r="75" spans="1:13">
      <c r="A75" s="1891"/>
      <c r="B75" s="1891"/>
      <c r="C75" s="1892"/>
      <c r="D75" s="1886"/>
      <c r="E75" s="1886"/>
      <c r="F75" s="1886"/>
      <c r="G75" s="1886"/>
      <c r="H75" s="1942"/>
      <c r="I75" s="1963"/>
      <c r="J75" s="1886"/>
      <c r="K75" s="1886"/>
      <c r="L75" s="1886"/>
      <c r="M75" s="1873"/>
    </row>
    <row r="76" spans="1:13">
      <c r="A76" s="1911" t="s">
        <v>1059</v>
      </c>
      <c r="B76" s="1893" t="s">
        <v>2135</v>
      </c>
      <c r="C76" s="1892" t="s">
        <v>2136</v>
      </c>
      <c r="D76" s="1886"/>
      <c r="E76" s="1886">
        <v>59327</v>
      </c>
      <c r="F76" s="1886">
        <f>D76</f>
        <v>0</v>
      </c>
      <c r="G76" s="1886">
        <v>0</v>
      </c>
      <c r="H76" s="1951">
        <f>E76</f>
        <v>59327</v>
      </c>
      <c r="I76" s="1965">
        <v>0</v>
      </c>
      <c r="J76" s="1886">
        <v>0</v>
      </c>
      <c r="K76" s="1886">
        <f>F76+H76+J76</f>
        <v>59327</v>
      </c>
      <c r="L76" s="1912" t="s">
        <v>2118</v>
      </c>
      <c r="M76" s="1887"/>
    </row>
    <row r="77" spans="1:13">
      <c r="C77" s="1892" t="s">
        <v>2137</v>
      </c>
      <c r="D77" s="1886">
        <v>57323</v>
      </c>
      <c r="E77" s="1886">
        <v>6666</v>
      </c>
      <c r="F77" s="1886">
        <v>57323</v>
      </c>
      <c r="G77" s="1886">
        <v>0</v>
      </c>
      <c r="H77" s="1951">
        <v>6666</v>
      </c>
      <c r="I77" s="1965">
        <v>0</v>
      </c>
      <c r="J77" s="1886">
        <v>0</v>
      </c>
      <c r="K77" s="1886">
        <f>F77+H77+J77</f>
        <v>63989</v>
      </c>
      <c r="L77" s="1912" t="s">
        <v>2118</v>
      </c>
      <c r="M77" s="1887"/>
    </row>
    <row r="78" spans="1:13">
      <c r="A78" s="1916"/>
      <c r="B78" s="1916"/>
      <c r="C78" s="1889" t="s">
        <v>2138</v>
      </c>
      <c r="D78" s="1886">
        <v>23396</v>
      </c>
      <c r="E78" s="1890">
        <v>0</v>
      </c>
      <c r="F78" s="1886">
        <v>23396</v>
      </c>
      <c r="G78" s="1886">
        <v>0</v>
      </c>
      <c r="H78" s="1940">
        <v>0</v>
      </c>
      <c r="I78" s="1966">
        <v>0</v>
      </c>
      <c r="J78" s="1890">
        <v>0</v>
      </c>
      <c r="K78" s="1886">
        <f>F78+H78+J78</f>
        <v>23396</v>
      </c>
      <c r="L78" s="1915" t="s">
        <v>2118</v>
      </c>
      <c r="M78" s="1887"/>
    </row>
    <row r="79" spans="1:13">
      <c r="A79" s="1891"/>
      <c r="B79" s="1891"/>
      <c r="C79" s="1892"/>
      <c r="D79" s="1894">
        <f>SUM(D76:D78)</f>
        <v>80719</v>
      </c>
      <c r="E79" s="1894">
        <f>SUM(E76:E78)</f>
        <v>65993</v>
      </c>
      <c r="F79" s="1894">
        <f>SUM(F76:F78)</f>
        <v>80719</v>
      </c>
      <c r="G79" s="1894">
        <v>0</v>
      </c>
      <c r="H79" s="1941">
        <f>SUM(H76:H78)</f>
        <v>65993</v>
      </c>
      <c r="I79" s="1964">
        <v>0</v>
      </c>
      <c r="J79" s="1895"/>
      <c r="K79" s="1894">
        <f>SUM(K76:K78)</f>
        <v>146712</v>
      </c>
      <c r="L79" s="1895"/>
      <c r="M79" s="1873"/>
    </row>
    <row r="80" spans="1:13">
      <c r="A80" s="1891"/>
      <c r="B80" s="1891"/>
      <c r="C80" s="1892"/>
      <c r="D80" s="1886"/>
      <c r="E80" s="1886"/>
      <c r="F80" s="1886"/>
      <c r="G80" s="1886"/>
      <c r="H80" s="1942"/>
      <c r="I80" s="1963"/>
      <c r="J80" s="1886"/>
      <c r="K80" s="1886"/>
      <c r="L80" s="1886"/>
      <c r="M80" s="1873"/>
    </row>
    <row r="81" spans="1:25">
      <c r="A81" s="1913" t="s">
        <v>2139</v>
      </c>
      <c r="B81" s="1891"/>
      <c r="C81" s="1892"/>
      <c r="D81" s="1886">
        <f>D79+D67+D62+D73</f>
        <v>680909</v>
      </c>
      <c r="E81" s="1886">
        <f>E79+E67+E62+E73</f>
        <v>666124.99</v>
      </c>
      <c r="F81" s="1886">
        <f>F79+F67+F62+F73</f>
        <v>680909</v>
      </c>
      <c r="G81" s="1886">
        <v>0</v>
      </c>
      <c r="H81" s="1942">
        <f>H79+H67+H62+H73</f>
        <v>666124.99</v>
      </c>
      <c r="I81" s="1963">
        <v>0</v>
      </c>
      <c r="J81" s="1886">
        <f>SUM(J61:J79)</f>
        <v>0</v>
      </c>
      <c r="K81" s="1886">
        <f>K79+K67+K62+K73</f>
        <v>1347033.99</v>
      </c>
      <c r="L81" s="1912" t="s">
        <v>2118</v>
      </c>
      <c r="M81" s="1873"/>
    </row>
    <row r="82" spans="1:25">
      <c r="A82" s="1879"/>
      <c r="B82" s="1879"/>
      <c r="C82" s="1889"/>
      <c r="D82" s="1890"/>
      <c r="E82" s="1890"/>
      <c r="F82" s="1890"/>
      <c r="G82" s="1890"/>
      <c r="H82" s="1940"/>
      <c r="I82" s="1966"/>
      <c r="J82" s="1890"/>
      <c r="K82" s="1890"/>
      <c r="L82" s="1890"/>
      <c r="M82" s="1873"/>
    </row>
    <row r="83" spans="1:25">
      <c r="A83" s="1891"/>
      <c r="B83" s="1891"/>
      <c r="C83" s="1892"/>
      <c r="D83" s="1886"/>
      <c r="E83" s="1886"/>
      <c r="F83" s="1886"/>
      <c r="G83" s="1886"/>
      <c r="H83" s="1942"/>
      <c r="I83" s="1963"/>
      <c r="J83" s="1886"/>
      <c r="K83" s="1886"/>
      <c r="L83" s="1886"/>
      <c r="M83" s="1873"/>
    </row>
    <row r="84" spans="1:25">
      <c r="A84" s="1891" t="s">
        <v>2140</v>
      </c>
      <c r="B84" s="1891"/>
      <c r="C84" s="1892"/>
      <c r="D84" s="1886"/>
      <c r="E84" s="1886"/>
      <c r="F84" s="1886"/>
      <c r="G84" s="1886"/>
      <c r="H84" s="1942"/>
      <c r="I84" s="1963"/>
      <c r="J84" s="1886"/>
      <c r="K84" s="1886"/>
      <c r="L84" s="1886"/>
      <c r="M84" s="1873"/>
    </row>
    <row r="85" spans="1:25">
      <c r="A85" s="1875" t="s">
        <v>2141</v>
      </c>
      <c r="B85" s="1871"/>
      <c r="C85" s="1872"/>
      <c r="D85" s="1906"/>
      <c r="E85" s="1906"/>
      <c r="F85" s="1906"/>
      <c r="G85" s="1906"/>
      <c r="H85" s="1880"/>
      <c r="I85" s="1968"/>
      <c r="J85" s="1906"/>
      <c r="K85" s="1906"/>
      <c r="L85" s="1906"/>
      <c r="M85" s="1873"/>
    </row>
    <row r="86" spans="1:25">
      <c r="A86" s="1924" t="s">
        <v>2142</v>
      </c>
      <c r="B86" s="1925">
        <v>93.778000000000006</v>
      </c>
      <c r="C86" s="1872" t="s">
        <v>2143</v>
      </c>
      <c r="D86" s="1884">
        <v>0</v>
      </c>
      <c r="E86" s="1906">
        <v>44187</v>
      </c>
      <c r="F86" s="1906">
        <v>0</v>
      </c>
      <c r="G86" s="1906">
        <v>0</v>
      </c>
      <c r="H86" s="1880">
        <v>44187</v>
      </c>
      <c r="I86" s="1968">
        <v>0</v>
      </c>
      <c r="J86" s="1906">
        <v>0</v>
      </c>
      <c r="K86" s="1886">
        <f>F86+H86+J86</f>
        <v>44187</v>
      </c>
      <c r="L86" s="1910" t="s">
        <v>2118</v>
      </c>
      <c r="M86" s="1887"/>
    </row>
    <row r="87" spans="1:25">
      <c r="C87" s="1872" t="s">
        <v>2144</v>
      </c>
      <c r="D87" s="1906">
        <v>54407</v>
      </c>
      <c r="E87" s="1906">
        <v>0</v>
      </c>
      <c r="F87" s="1906">
        <v>54407</v>
      </c>
      <c r="G87" s="1906">
        <v>0</v>
      </c>
      <c r="H87" s="1880">
        <v>0</v>
      </c>
      <c r="I87" s="1968">
        <v>0</v>
      </c>
      <c r="J87" s="1906">
        <v>0</v>
      </c>
      <c r="K87" s="1886">
        <f>F87+H87+J87</f>
        <v>54407</v>
      </c>
      <c r="L87" s="1910" t="s">
        <v>2118</v>
      </c>
      <c r="M87" s="1887"/>
    </row>
    <row r="88" spans="1:25">
      <c r="A88" s="1926"/>
      <c r="B88" s="1902"/>
      <c r="C88" s="1889" t="s">
        <v>2145</v>
      </c>
      <c r="D88" s="1890">
        <v>52004</v>
      </c>
      <c r="E88" s="1927">
        <v>0</v>
      </c>
      <c r="F88" s="1927">
        <v>0</v>
      </c>
      <c r="G88" s="1927">
        <v>0</v>
      </c>
      <c r="H88" s="1949">
        <v>0</v>
      </c>
      <c r="I88" s="1973">
        <v>0</v>
      </c>
      <c r="J88" s="1927">
        <v>0</v>
      </c>
      <c r="K88" s="1890">
        <f>F88+H88+J88</f>
        <v>0</v>
      </c>
      <c r="L88" s="1928" t="s">
        <v>2118</v>
      </c>
      <c r="M88" s="1887"/>
    </row>
    <row r="89" spans="1:25">
      <c r="A89" s="1891"/>
      <c r="B89" s="1925"/>
      <c r="C89" s="1925"/>
      <c r="D89" s="1886"/>
      <c r="E89" s="1886"/>
      <c r="F89" s="1886"/>
      <c r="G89" s="1886"/>
      <c r="H89" s="1942"/>
      <c r="I89" s="1963"/>
      <c r="J89" s="1886"/>
      <c r="K89" s="1886"/>
      <c r="L89" s="1912"/>
      <c r="M89" s="1873"/>
    </row>
    <row r="90" spans="1:25">
      <c r="A90" s="1913" t="s">
        <v>2146</v>
      </c>
      <c r="B90" s="1925"/>
      <c r="C90" s="1925"/>
      <c r="D90" s="1886">
        <f t="shared" ref="D90:K90" si="0">SUM(D86:D88)</f>
        <v>106411</v>
      </c>
      <c r="E90" s="1886">
        <f t="shared" si="0"/>
        <v>44187</v>
      </c>
      <c r="F90" s="1886">
        <f t="shared" si="0"/>
        <v>54407</v>
      </c>
      <c r="G90" s="1886">
        <v>0</v>
      </c>
      <c r="H90" s="1942">
        <f t="shared" si="0"/>
        <v>44187</v>
      </c>
      <c r="I90" s="1963">
        <v>0</v>
      </c>
      <c r="J90" s="1886">
        <f t="shared" si="0"/>
        <v>0</v>
      </c>
      <c r="K90" s="1886">
        <f t="shared" si="0"/>
        <v>98594</v>
      </c>
      <c r="L90" s="1910" t="s">
        <v>2118</v>
      </c>
      <c r="M90" s="1873"/>
    </row>
    <row r="91" spans="1:25">
      <c r="A91" s="1879"/>
      <c r="B91" s="1929"/>
      <c r="C91" s="1929"/>
      <c r="D91" s="1890"/>
      <c r="E91" s="1890"/>
      <c r="F91" s="1890"/>
      <c r="G91" s="1890"/>
      <c r="H91" s="1940"/>
      <c r="I91" s="1966"/>
      <c r="J91" s="1890"/>
      <c r="K91" s="1890"/>
      <c r="L91" s="1915"/>
      <c r="M91" s="1873"/>
    </row>
    <row r="92" spans="1:25">
      <c r="A92" s="1891"/>
      <c r="B92" s="1925"/>
      <c r="C92" s="1925"/>
      <c r="D92" s="1886"/>
      <c r="E92" s="1886"/>
      <c r="F92" s="1886"/>
      <c r="G92" s="1886"/>
      <c r="H92" s="1942"/>
      <c r="I92" s="1963"/>
      <c r="J92" s="1886"/>
      <c r="K92" s="1886"/>
      <c r="L92" s="1912"/>
      <c r="M92" s="1873"/>
    </row>
    <row r="93" spans="1:25" ht="13.5" thickBot="1">
      <c r="A93" s="1913" t="s">
        <v>2147</v>
      </c>
      <c r="B93" s="1871"/>
      <c r="C93" s="1872"/>
      <c r="D93" s="1930">
        <f>D54+D81+D90</f>
        <v>2423578</v>
      </c>
      <c r="E93" s="1930">
        <f>E54+E81+E90</f>
        <v>2442746.9900000002</v>
      </c>
      <c r="F93" s="1930">
        <f>F54+F81+F90</f>
        <v>2296426</v>
      </c>
      <c r="G93" s="1930">
        <v>0</v>
      </c>
      <c r="H93" s="1950">
        <f>H54+H81+H90</f>
        <v>2442746.9900000002</v>
      </c>
      <c r="I93" s="1974">
        <v>0</v>
      </c>
      <c r="J93" s="1930">
        <f>J54+J81+J90</f>
        <v>0</v>
      </c>
      <c r="K93" s="1930">
        <f>K54+K81+K90</f>
        <v>3805943.99</v>
      </c>
      <c r="L93" s="1931" t="s">
        <v>2118</v>
      </c>
      <c r="M93" s="1873"/>
      <c r="O93" s="1914"/>
      <c r="P93" s="1914"/>
      <c r="Q93" s="1914"/>
      <c r="R93" s="1914"/>
      <c r="S93" s="1914"/>
      <c r="T93" s="1914"/>
      <c r="U93" s="1914"/>
      <c r="V93" s="1914"/>
      <c r="W93" s="1914"/>
      <c r="X93" s="1914"/>
      <c r="Y93" s="1914"/>
    </row>
    <row r="94" spans="1:25" ht="13.5" thickTop="1">
      <c r="A94" s="1871"/>
      <c r="B94" s="1871"/>
      <c r="C94" s="1872"/>
      <c r="D94" s="1959"/>
      <c r="E94" s="1880"/>
      <c r="F94" s="1959"/>
      <c r="G94" s="1959"/>
      <c r="H94" s="1880"/>
      <c r="I94" s="1968"/>
      <c r="J94" s="1871"/>
      <c r="K94" s="1871"/>
      <c r="L94" s="1871"/>
      <c r="M94" s="1873"/>
    </row>
    <row r="95" spans="1:25">
      <c r="A95" s="1871" t="s">
        <v>2148</v>
      </c>
      <c r="B95" s="1871"/>
      <c r="C95" s="1872"/>
      <c r="D95" s="1871"/>
      <c r="E95" s="1871"/>
      <c r="F95" s="1871"/>
      <c r="G95" s="1871"/>
      <c r="H95" s="1880"/>
      <c r="I95" s="1968"/>
      <c r="J95" s="1871"/>
      <c r="K95" s="1871"/>
      <c r="L95" s="1871"/>
      <c r="M95" s="1873"/>
    </row>
    <row r="96" spans="1:25">
      <c r="A96" s="1932" t="s">
        <v>2149</v>
      </c>
      <c r="B96" s="1871"/>
      <c r="C96" s="1872"/>
      <c r="D96" s="1880"/>
      <c r="F96" s="1892"/>
      <c r="G96" s="1892"/>
      <c r="H96" s="1946"/>
      <c r="I96" s="1970"/>
      <c r="J96" s="1880"/>
      <c r="K96" s="1880"/>
      <c r="L96" s="1933"/>
      <c r="M96" s="1873"/>
    </row>
    <row r="97" spans="1:15">
      <c r="A97" s="1934"/>
      <c r="B97" s="1871"/>
      <c r="C97" s="1872"/>
      <c r="F97" s="1873"/>
      <c r="G97" s="1873"/>
      <c r="H97" s="1946"/>
      <c r="I97" s="1970"/>
      <c r="J97" s="1880"/>
      <c r="K97" s="1880"/>
      <c r="L97" s="1880"/>
      <c r="M97" s="1873"/>
    </row>
    <row r="98" spans="1:15">
      <c r="A98" s="1934" t="s">
        <v>2150</v>
      </c>
      <c r="C98" s="1935"/>
      <c r="E98" s="1873"/>
      <c r="F98" s="1873"/>
      <c r="G98" s="1873"/>
      <c r="H98" s="1943"/>
      <c r="I98" s="1975"/>
      <c r="M98" s="1873"/>
    </row>
    <row r="99" spans="1:15">
      <c r="A99" s="1934"/>
      <c r="B99" s="1960"/>
      <c r="I99" s="1965"/>
      <c r="M99" s="1873"/>
    </row>
    <row r="100" spans="1:15">
      <c r="A100" s="1934"/>
      <c r="C100" s="1935"/>
      <c r="E100" s="1873"/>
      <c r="F100" s="1936"/>
      <c r="G100" s="1936"/>
      <c r="H100" s="1952"/>
      <c r="I100" s="1976"/>
      <c r="M100" s="1873"/>
    </row>
    <row r="101" spans="1:15" s="1873" customFormat="1">
      <c r="F101" s="1892"/>
      <c r="G101" s="1892"/>
      <c r="H101" s="1946"/>
      <c r="I101" s="1970"/>
    </row>
    <row r="102" spans="1:15" s="1873" customFormat="1">
      <c r="A102" s="1937"/>
      <c r="H102" s="1943"/>
      <c r="I102" s="1975"/>
    </row>
    <row r="103" spans="1:15" s="1873" customFormat="1">
      <c r="A103" s="1938"/>
      <c r="H103" s="1943"/>
      <c r="I103" s="1975"/>
    </row>
    <row r="104" spans="1:15" s="1873" customFormat="1">
      <c r="A104" s="1938"/>
      <c r="H104" s="1943"/>
      <c r="I104" s="1975"/>
    </row>
    <row r="105" spans="1:15" s="1873" customFormat="1">
      <c r="A105" s="1938"/>
      <c r="F105" s="1936"/>
      <c r="G105" s="1936"/>
      <c r="H105" s="1952"/>
      <c r="I105" s="1976"/>
    </row>
    <row r="106" spans="1:15" s="1873" customFormat="1">
      <c r="A106" s="1938"/>
      <c r="F106" s="1936"/>
      <c r="G106" s="1936"/>
      <c r="H106" s="1952"/>
      <c r="I106" s="1976"/>
    </row>
    <row r="107" spans="1:15" s="1873" customFormat="1">
      <c r="A107" s="1938"/>
      <c r="F107" s="1903"/>
      <c r="G107" s="1903"/>
      <c r="H107" s="1943"/>
      <c r="I107" s="1975"/>
    </row>
    <row r="108" spans="1:15" s="1873" customFormat="1">
      <c r="A108" s="1938"/>
      <c r="F108" s="1936"/>
      <c r="G108" s="1936"/>
      <c r="H108" s="1952"/>
      <c r="I108" s="1952"/>
    </row>
    <row r="109" spans="1:15" s="1873" customFormat="1">
      <c r="A109" s="1938"/>
      <c r="H109" s="1943"/>
      <c r="I109" s="1943"/>
      <c r="O109" s="1936"/>
    </row>
    <row r="110" spans="1:15" s="1873" customFormat="1">
      <c r="A110" s="1938"/>
      <c r="H110" s="1943"/>
      <c r="I110" s="1943"/>
      <c r="O110" s="1936"/>
    </row>
    <row r="111" spans="1:15" s="1873" customFormat="1">
      <c r="A111" s="1919"/>
      <c r="F111" s="1936"/>
      <c r="G111" s="1936"/>
      <c r="H111" s="1952"/>
      <c r="I111" s="1952"/>
    </row>
    <row r="112" spans="1:15" s="1873" customFormat="1">
      <c r="F112" s="1936"/>
      <c r="G112" s="1936"/>
      <c r="H112" s="1952"/>
      <c r="I112" s="1952"/>
    </row>
    <row r="113" spans="1:9" s="1873" customFormat="1">
      <c r="F113" s="1936"/>
      <c r="G113" s="1936"/>
      <c r="H113" s="1952"/>
      <c r="I113" s="1952"/>
    </row>
    <row r="114" spans="1:9" s="1873" customFormat="1">
      <c r="F114" s="1936"/>
      <c r="G114" s="1936"/>
      <c r="H114" s="1952"/>
      <c r="I114" s="1952"/>
    </row>
    <row r="115" spans="1:9" s="1873" customFormat="1">
      <c r="F115" s="1936"/>
      <c r="G115" s="1936"/>
      <c r="H115" s="1952"/>
      <c r="I115" s="1952"/>
    </row>
    <row r="116" spans="1:9" s="1873" customFormat="1">
      <c r="F116" s="1936"/>
      <c r="G116" s="1936"/>
      <c r="H116" s="1952"/>
      <c r="I116" s="1952"/>
    </row>
    <row r="117" spans="1:9" s="1873" customFormat="1">
      <c r="F117" s="1936"/>
      <c r="G117" s="1936"/>
      <c r="H117" s="1952"/>
      <c r="I117" s="1952"/>
    </row>
    <row r="118" spans="1:9" s="1873" customFormat="1">
      <c r="F118" s="1936"/>
      <c r="G118" s="1936"/>
      <c r="H118" s="1952"/>
      <c r="I118" s="1952"/>
    </row>
    <row r="119" spans="1:9" s="1873" customFormat="1">
      <c r="H119" s="1943"/>
      <c r="I119" s="1943"/>
    </row>
    <row r="120" spans="1:9" s="1873" customFormat="1">
      <c r="H120" s="1943"/>
      <c r="I120" s="1943"/>
    </row>
    <row r="121" spans="1:9" s="1873" customFormat="1">
      <c r="A121" s="1919"/>
      <c r="H121" s="1943"/>
      <c r="I121" s="1943"/>
    </row>
    <row r="122" spans="1:9" s="1873" customFormat="1">
      <c r="H122" s="1943"/>
      <c r="I122" s="1943"/>
    </row>
    <row r="123" spans="1:9" s="1873" customFormat="1">
      <c r="H123" s="1943"/>
      <c r="I123" s="1943"/>
    </row>
    <row r="124" spans="1:9" s="1873" customFormat="1">
      <c r="H124" s="1943"/>
      <c r="I124" s="1943"/>
    </row>
    <row r="125" spans="1:9" s="1873" customFormat="1">
      <c r="A125" s="1937"/>
      <c r="H125" s="1943"/>
      <c r="I125" s="1943"/>
    </row>
    <row r="126" spans="1:9" s="1873" customFormat="1">
      <c r="A126" s="1938"/>
      <c r="H126" s="1943"/>
      <c r="I126" s="1943"/>
    </row>
    <row r="127" spans="1:9" s="1873" customFormat="1">
      <c r="H127" s="1943"/>
      <c r="I127" s="1943"/>
    </row>
    <row r="128" spans="1:9" s="1873" customFormat="1">
      <c r="H128" s="1943"/>
      <c r="I128" s="1943"/>
    </row>
    <row r="129" spans="1:9" s="1873" customFormat="1">
      <c r="A129" s="1937"/>
      <c r="H129" s="1943"/>
      <c r="I129" s="1943"/>
    </row>
    <row r="130" spans="1:9" s="1873" customFormat="1">
      <c r="A130" s="1907"/>
      <c r="H130" s="1943"/>
      <c r="I130" s="1943"/>
    </row>
    <row r="131" spans="1:9" s="1873" customFormat="1">
      <c r="A131" s="1938"/>
      <c r="H131" s="1943"/>
      <c r="I131" s="1943"/>
    </row>
    <row r="132" spans="1:9" s="1873" customFormat="1">
      <c r="A132" s="1937"/>
      <c r="H132" s="1943"/>
      <c r="I132" s="1943"/>
    </row>
    <row r="133" spans="1:9" s="1873" customFormat="1">
      <c r="A133" s="1938"/>
      <c r="H133" s="1943"/>
      <c r="I133" s="1943"/>
    </row>
    <row r="134" spans="1:9" s="1873" customFormat="1">
      <c r="A134" s="1938"/>
      <c r="H134" s="1943"/>
      <c r="I134" s="1943"/>
    </row>
    <row r="135" spans="1:9" s="1873" customFormat="1">
      <c r="A135" s="1938"/>
      <c r="H135" s="1943"/>
      <c r="I135" s="1943"/>
    </row>
    <row r="136" spans="1:9" s="1873" customFormat="1">
      <c r="A136" s="1939"/>
      <c r="H136" s="1943"/>
      <c r="I136" s="1943"/>
    </row>
    <row r="137" spans="1:9" s="1873" customFormat="1">
      <c r="H137" s="1943"/>
      <c r="I137" s="1943"/>
    </row>
    <row r="138" spans="1:9" s="1873" customFormat="1">
      <c r="H138" s="1943"/>
      <c r="I138" s="1943"/>
    </row>
    <row r="139" spans="1:9" s="1873" customFormat="1">
      <c r="H139" s="1943"/>
      <c r="I139" s="1943"/>
    </row>
    <row r="140" spans="1:9" s="1873" customFormat="1">
      <c r="H140" s="1943"/>
      <c r="I140" s="1943"/>
    </row>
    <row r="141" spans="1:9" s="1873" customFormat="1">
      <c r="A141" s="1937"/>
      <c r="H141" s="1943"/>
      <c r="I141" s="1943"/>
    </row>
    <row r="142" spans="1:9" s="1873" customFormat="1">
      <c r="A142" s="1907"/>
      <c r="H142" s="1943"/>
      <c r="I142" s="1943"/>
    </row>
    <row r="143" spans="1:9" s="1873" customFormat="1">
      <c r="A143" s="1938"/>
      <c r="H143" s="1943"/>
      <c r="I143" s="1943"/>
    </row>
    <row r="144" spans="1:9" s="1873" customFormat="1">
      <c r="H144" s="1943"/>
      <c r="I144" s="1943"/>
    </row>
    <row r="145" spans="1:9" s="1873" customFormat="1">
      <c r="H145" s="1943"/>
      <c r="I145" s="1943"/>
    </row>
    <row r="146" spans="1:9" s="1873" customFormat="1">
      <c r="A146" s="1937"/>
      <c r="H146" s="1943"/>
      <c r="I146" s="1943"/>
    </row>
    <row r="147" spans="1:9" s="1873" customFormat="1">
      <c r="A147" s="1937"/>
      <c r="H147" s="1943"/>
      <c r="I147" s="1943"/>
    </row>
    <row r="148" spans="1:9" s="1873" customFormat="1">
      <c r="A148" s="1938"/>
      <c r="H148" s="1943"/>
      <c r="I148" s="1943"/>
    </row>
    <row r="149" spans="1:9" s="1873" customFormat="1">
      <c r="A149" s="1937"/>
      <c r="H149" s="1943"/>
      <c r="I149" s="1943"/>
    </row>
    <row r="150" spans="1:9" s="1873" customFormat="1">
      <c r="A150" s="1938"/>
      <c r="H150" s="1943"/>
      <c r="I150" s="1943"/>
    </row>
    <row r="151" spans="1:9" s="1873" customFormat="1">
      <c r="A151" s="1937"/>
      <c r="H151" s="1943"/>
      <c r="I151" s="1943"/>
    </row>
    <row r="152" spans="1:9" s="1873" customFormat="1">
      <c r="H152" s="1943"/>
      <c r="I152" s="1943"/>
    </row>
    <row r="153" spans="1:9" s="1873" customFormat="1">
      <c r="H153" s="1943"/>
      <c r="I153" s="1943"/>
    </row>
    <row r="154" spans="1:9" s="1873" customFormat="1">
      <c r="H154" s="1943"/>
      <c r="I154" s="1943"/>
    </row>
    <row r="155" spans="1:9" s="1873" customFormat="1">
      <c r="D155" s="1874"/>
      <c r="E155" s="1874"/>
      <c r="H155" s="1943"/>
      <c r="I155" s="1943"/>
    </row>
    <row r="156" spans="1:9" s="1873" customFormat="1">
      <c r="D156" s="1874"/>
      <c r="E156" s="1874"/>
      <c r="H156" s="1943"/>
      <c r="I156" s="1943"/>
    </row>
    <row r="157" spans="1:9" s="1873" customFormat="1">
      <c r="D157" s="1874"/>
      <c r="E157" s="1874"/>
      <c r="H157" s="1943"/>
      <c r="I157" s="1943"/>
    </row>
  </sheetData>
  <pageMargins left="0.75" right="0.75" top="1" bottom="1" header="0.5" footer="0.5"/>
  <pageSetup scale="45" fitToWidth="0" fitToHeight="0" orientation="portrait" r:id="rId1"/>
  <headerFooter alignWithMargins="0">
    <oddHeader>&amp;RPage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pageSetUpPr fitToPage="1"/>
  </sheetPr>
  <dimension ref="A1:G52"/>
  <sheetViews>
    <sheetView showGridLines="0" zoomScale="90" zoomScaleNormal="90" workbookViewId="0">
      <selection activeCell="K16" sqref="K16"/>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78" t="str">
        <f>'Single Audit Cover'!A7</f>
        <v>Oak Lawn - Hometown SD 123</v>
      </c>
      <c r="B1" s="2478"/>
      <c r="C1" s="2478"/>
      <c r="D1" s="2478"/>
      <c r="E1" s="2478"/>
      <c r="F1" s="2478"/>
    </row>
    <row r="2" spans="1:7" ht="13.5" customHeight="1">
      <c r="A2" s="2479">
        <f>'Single Audit Cover'!E7</f>
        <v>7016123002</v>
      </c>
      <c r="B2" s="2479"/>
      <c r="C2" s="2479"/>
      <c r="D2" s="2479"/>
      <c r="E2" s="2479"/>
      <c r="F2" s="2479"/>
      <c r="G2" s="1271"/>
    </row>
    <row r="3" spans="1:7" ht="15.75" customHeight="1">
      <c r="A3" s="2480" t="s">
        <v>1262</v>
      </c>
      <c r="B3" s="2480"/>
      <c r="C3" s="2480"/>
      <c r="D3" s="2480"/>
      <c r="E3" s="2480"/>
      <c r="F3" s="2480"/>
    </row>
    <row r="4" spans="1:7" ht="13.5" customHeight="1">
      <c r="A4" s="2481" t="str">
        <f>'Single Audit Cover'!A4</f>
        <v>Year Ending June 30, 2019</v>
      </c>
      <c r="B4" s="2481"/>
      <c r="C4" s="2481"/>
      <c r="D4" s="2481"/>
      <c r="E4" s="2481"/>
      <c r="F4" s="2481"/>
    </row>
    <row r="5" spans="1:7" ht="8.25" customHeight="1">
      <c r="C5" s="316"/>
      <c r="D5" s="316"/>
    </row>
    <row r="6" spans="1:7" ht="13.5" customHeight="1">
      <c r="A6" s="1272" t="s">
        <v>1713</v>
      </c>
      <c r="C6" s="316"/>
      <c r="D6" s="316"/>
    </row>
    <row r="7" spans="1:7" ht="60.95" customHeight="1">
      <c r="A7" s="2477" t="s">
        <v>2151</v>
      </c>
      <c r="B7" s="2477"/>
      <c r="C7" s="2477"/>
      <c r="D7" s="2477"/>
      <c r="E7" s="2477"/>
      <c r="F7" s="2477"/>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2036</v>
      </c>
      <c r="D10" s="1276" t="s">
        <v>1539</v>
      </c>
      <c r="E10" s="1277" t="s">
        <v>1169</v>
      </c>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77" t="s">
        <v>2152</v>
      </c>
      <c r="B13" s="2477"/>
      <c r="C13" s="2477"/>
      <c r="D13" s="2477"/>
      <c r="E13" s="2477"/>
      <c r="F13" s="2477"/>
    </row>
    <row r="14" spans="1:7" ht="9.75" customHeight="1">
      <c r="C14" s="1256"/>
      <c r="D14" s="1256"/>
    </row>
    <row r="15" spans="1:7" ht="13.5" customHeight="1">
      <c r="C15" s="1777" t="s">
        <v>1261</v>
      </c>
      <c r="D15" s="2475" t="s">
        <v>1260</v>
      </c>
      <c r="E15" s="2475"/>
      <c r="F15" s="2475"/>
    </row>
    <row r="16" spans="1:7" ht="13.5" customHeight="1">
      <c r="A16" s="1278"/>
      <c r="B16" s="1272" t="s">
        <v>1259</v>
      </c>
      <c r="C16" s="1777" t="s">
        <v>1258</v>
      </c>
      <c r="D16" s="2476" t="s">
        <v>1573</v>
      </c>
      <c r="E16" s="2476"/>
      <c r="F16" s="2476"/>
    </row>
    <row r="17" spans="1:6" ht="20.45" customHeight="1">
      <c r="A17" s="1279"/>
      <c r="B17" s="1280" t="s">
        <v>2153</v>
      </c>
      <c r="C17" s="1281"/>
      <c r="D17" s="2470"/>
      <c r="E17" s="2470"/>
      <c r="F17" s="2470"/>
    </row>
    <row r="18" spans="1:6" ht="20.85" customHeight="1">
      <c r="A18" s="1279"/>
      <c r="B18" s="1280"/>
      <c r="C18" s="1281"/>
      <c r="D18" s="2470"/>
      <c r="E18" s="2470"/>
      <c r="F18" s="2470"/>
    </row>
    <row r="19" spans="1:6" ht="20.85" customHeight="1">
      <c r="A19" s="1279"/>
      <c r="B19" s="1280"/>
      <c r="C19" s="1281"/>
      <c r="D19" s="2470"/>
      <c r="E19" s="2470"/>
      <c r="F19" s="2470"/>
    </row>
    <row r="20" spans="1:6" ht="20.85" customHeight="1">
      <c r="A20" s="1279"/>
      <c r="B20" s="1280"/>
      <c r="C20" s="1281"/>
      <c r="D20" s="2470"/>
      <c r="E20" s="2470"/>
      <c r="F20" s="2470"/>
    </row>
    <row r="21" spans="1:6" ht="20.85" customHeight="1">
      <c r="A21" s="1279"/>
      <c r="B21" s="1280"/>
      <c r="C21" s="1281"/>
      <c r="D21" s="2470"/>
      <c r="E21" s="2470"/>
      <c r="F21" s="2470"/>
    </row>
    <row r="22" spans="1:6" ht="20.85" customHeight="1">
      <c r="A22" s="1279"/>
      <c r="B22" s="1280"/>
      <c r="C22" s="1281"/>
      <c r="D22" s="2470"/>
      <c r="E22" s="2470"/>
      <c r="F22" s="2470"/>
    </row>
    <row r="23" spans="1:6" ht="20.85" customHeight="1">
      <c r="A23" s="1279"/>
      <c r="B23" s="1280"/>
      <c r="C23" s="1281"/>
      <c r="D23" s="2470"/>
      <c r="E23" s="2470"/>
      <c r="F23" s="2470"/>
    </row>
    <row r="24" spans="1:6" ht="20.85" customHeight="1">
      <c r="A24" s="1279"/>
      <c r="B24" s="1280"/>
      <c r="C24" s="1281"/>
      <c r="D24" s="2470"/>
      <c r="E24" s="2470"/>
      <c r="F24" s="2470"/>
    </row>
    <row r="25" spans="1:6" ht="20.85" customHeight="1">
      <c r="A25" s="1279"/>
      <c r="B25" s="1280"/>
      <c r="C25" s="1281"/>
      <c r="D25" s="2470"/>
      <c r="E25" s="2470"/>
      <c r="F25" s="2470"/>
    </row>
    <row r="26" spans="1:6" ht="20.85" customHeight="1">
      <c r="A26" s="1279"/>
      <c r="B26" s="1280"/>
      <c r="C26" s="1281"/>
      <c r="D26" s="2470"/>
      <c r="E26" s="2470"/>
      <c r="F26" s="2470"/>
    </row>
    <row r="27" spans="1:6" ht="20.85" customHeight="1">
      <c r="A27" s="1279"/>
      <c r="B27" s="1280"/>
      <c r="C27" s="1281"/>
      <c r="D27" s="2470"/>
      <c r="E27" s="2470"/>
      <c r="F27" s="2470"/>
    </row>
    <row r="28" spans="1:6" ht="20.85" customHeight="1">
      <c r="A28" s="1279"/>
      <c r="B28" s="1280"/>
      <c r="C28" s="1281"/>
      <c r="D28" s="2470"/>
      <c r="E28" s="2470"/>
      <c r="F28" s="2470"/>
    </row>
    <row r="29" spans="1:6" ht="20.85" customHeight="1">
      <c r="A29" s="1279"/>
      <c r="B29" s="1280"/>
      <c r="C29" s="1281"/>
      <c r="D29" s="2470"/>
      <c r="E29" s="2470"/>
      <c r="F29" s="2470"/>
    </row>
    <row r="30" spans="1:6" ht="12" customHeight="1">
      <c r="A30" s="327"/>
      <c r="B30" s="327"/>
      <c r="C30" s="1394"/>
      <c r="D30" s="1834"/>
      <c r="E30" s="1282"/>
    </row>
    <row r="31" spans="1:6" ht="12" customHeight="1">
      <c r="A31" s="1283" t="s">
        <v>1540</v>
      </c>
      <c r="B31" s="327"/>
      <c r="C31" s="1394"/>
      <c r="D31" s="1834"/>
      <c r="E31" s="1282"/>
    </row>
    <row r="32" spans="1:6" ht="30" customHeight="1">
      <c r="A32" s="2471" t="s">
        <v>2180</v>
      </c>
      <c r="B32" s="2471"/>
      <c r="C32" s="2471"/>
      <c r="D32" s="2471"/>
      <c r="E32" s="2471"/>
      <c r="F32" s="2471"/>
    </row>
    <row r="33" spans="1:6" ht="13.5" customHeight="1">
      <c r="A33" s="327" t="s">
        <v>1425</v>
      </c>
      <c r="B33" s="327"/>
      <c r="C33" s="1284">
        <v>42044</v>
      </c>
      <c r="D33" s="1834"/>
      <c r="E33" s="1282"/>
    </row>
    <row r="34" spans="1:6" ht="13.5" customHeight="1">
      <c r="A34" s="327" t="s">
        <v>1812</v>
      </c>
      <c r="B34" s="327"/>
      <c r="C34" s="1285">
        <v>37806</v>
      </c>
      <c r="D34" s="1834" t="s">
        <v>1574</v>
      </c>
      <c r="E34" s="2472">
        <f>+C33+C34</f>
        <v>79850</v>
      </c>
      <c r="F34" s="2473"/>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2153</v>
      </c>
      <c r="D38" s="1834"/>
      <c r="E38" s="1282"/>
    </row>
    <row r="39" spans="1:6" ht="14.25" customHeight="1">
      <c r="A39" s="327"/>
      <c r="B39" s="327" t="s">
        <v>1427</v>
      </c>
      <c r="C39" s="1288" t="s">
        <v>2153</v>
      </c>
      <c r="D39" s="1834"/>
      <c r="E39" s="1282"/>
    </row>
    <row r="40" spans="1:6" ht="14.25" customHeight="1">
      <c r="A40" s="327"/>
      <c r="B40" s="327" t="s">
        <v>1428</v>
      </c>
      <c r="C40" s="1288" t="s">
        <v>2153</v>
      </c>
      <c r="D40" s="1834"/>
      <c r="E40" s="1282"/>
    </row>
    <row r="41" spans="1:6" ht="14.25" customHeight="1">
      <c r="A41" s="327"/>
      <c r="B41" s="327" t="s">
        <v>1429</v>
      </c>
      <c r="C41" s="1288" t="s">
        <v>2153</v>
      </c>
      <c r="D41" s="1834"/>
      <c r="E41" s="1282"/>
    </row>
    <row r="42" spans="1:6" ht="14.25" customHeight="1">
      <c r="A42" s="327" t="s">
        <v>1430</v>
      </c>
      <c r="B42" s="327"/>
      <c r="C42" s="1832" t="s">
        <v>2153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74" t="s">
        <v>1575</v>
      </c>
      <c r="C49" s="2474"/>
      <c r="D49" s="2474"/>
      <c r="E49" s="1328"/>
    </row>
    <row r="50" spans="1:5" s="1296" customFormat="1" ht="3.75" customHeight="1">
      <c r="A50" s="1295"/>
      <c r="B50" s="1776"/>
      <c r="C50" s="1776"/>
      <c r="D50" s="1776"/>
      <c r="E50" s="1328"/>
    </row>
    <row r="51" spans="1:5" s="1296" customFormat="1" ht="20.25" customHeight="1">
      <c r="A51" s="1297">
        <v>6</v>
      </c>
      <c r="B51" s="2469" t="s">
        <v>1542</v>
      </c>
      <c r="C51" s="2469"/>
      <c r="D51" s="2469"/>
    </row>
    <row r="52" spans="1:5" ht="14.25" customHeight="1">
      <c r="A52" s="1297"/>
      <c r="B52" s="2469"/>
      <c r="C52" s="2469"/>
      <c r="D52" s="24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I81" sqref="I81"/>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90" t="s">
        <v>1168</v>
      </c>
      <c r="B2" s="2090"/>
      <c r="C2" s="2090"/>
      <c r="D2" s="2090"/>
      <c r="E2" s="2090"/>
      <c r="F2" s="2090"/>
      <c r="G2" s="2090"/>
      <c r="H2" s="2090"/>
      <c r="I2" s="2090"/>
      <c r="J2" s="2090"/>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1617</v>
      </c>
    </row>
    <row r="31" spans="1:4" s="180" customFormat="1">
      <c r="A31" s="218"/>
      <c r="B31" s="225"/>
      <c r="C31" s="226">
        <v>14</v>
      </c>
      <c r="D31" s="230" t="s">
        <v>1916</v>
      </c>
    </row>
    <row r="32" spans="1:4" s="180" customFormat="1">
      <c r="A32" s="218"/>
      <c r="B32" s="235"/>
      <c r="C32" s="226"/>
      <c r="D32" s="236" t="s">
        <v>1767</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104" t="s">
        <v>1618</v>
      </c>
      <c r="B35" s="2105"/>
      <c r="C35" s="2105"/>
      <c r="D35" s="2105"/>
      <c r="E35" s="2106"/>
      <c r="F35" s="2106"/>
      <c r="G35" s="2106"/>
      <c r="H35" s="2106"/>
      <c r="I35" s="2106"/>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104" t="s">
        <v>313</v>
      </c>
      <c r="B47" s="2107"/>
      <c r="C47" s="2107"/>
      <c r="D47" s="2107"/>
      <c r="E47" s="2108"/>
      <c r="F47" s="2108"/>
      <c r="G47" s="2108"/>
      <c r="H47" s="2108"/>
      <c r="I47" s="2108"/>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1624</v>
      </c>
    </row>
    <row r="51" spans="1:10">
      <c r="B51" s="243"/>
      <c r="C51" s="244">
        <v>21</v>
      </c>
      <c r="D51" s="217" t="s">
        <v>1049</v>
      </c>
    </row>
    <row r="52" spans="1:10">
      <c r="B52" s="245"/>
      <c r="C52" s="244"/>
      <c r="D52" s="239" t="s">
        <v>840</v>
      </c>
    </row>
    <row r="53" spans="1:10" s="180" customFormat="1" ht="15.75" customHeight="1">
      <c r="A53" s="218"/>
      <c r="B53" s="219" t="s">
        <v>2036</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111"/>
      <c r="C57" s="2112"/>
      <c r="D57" s="2112"/>
      <c r="E57" s="2112"/>
      <c r="F57" s="2112"/>
      <c r="G57" s="2112"/>
      <c r="H57" s="2112"/>
      <c r="I57" s="2112"/>
      <c r="J57" s="2113"/>
    </row>
    <row r="58" spans="1:10" s="180" customFormat="1">
      <c r="A58" s="252"/>
      <c r="B58" s="2114"/>
      <c r="C58" s="2115"/>
      <c r="D58" s="2115"/>
      <c r="E58" s="2115"/>
      <c r="F58" s="2115"/>
      <c r="G58" s="2115"/>
      <c r="H58" s="2115"/>
      <c r="I58" s="2115"/>
      <c r="J58" s="2116"/>
    </row>
    <row r="59" spans="1:10" s="180" customFormat="1">
      <c r="A59" s="252"/>
      <c r="B59" s="2114"/>
      <c r="C59" s="2115"/>
      <c r="D59" s="2115"/>
      <c r="E59" s="2115"/>
      <c r="F59" s="2115"/>
      <c r="G59" s="2115"/>
      <c r="H59" s="2115"/>
      <c r="I59" s="2115"/>
      <c r="J59" s="2116"/>
    </row>
    <row r="60" spans="1:10" s="180" customFormat="1">
      <c r="A60" s="252"/>
      <c r="B60" s="2114"/>
      <c r="C60" s="2115"/>
      <c r="D60" s="2115"/>
      <c r="E60" s="2115"/>
      <c r="F60" s="2115"/>
      <c r="G60" s="2115"/>
      <c r="H60" s="2115"/>
      <c r="I60" s="2115"/>
      <c r="J60" s="2116"/>
    </row>
    <row r="61" spans="1:10" s="180" customFormat="1">
      <c r="A61" s="252"/>
      <c r="B61" s="2114"/>
      <c r="C61" s="2115"/>
      <c r="D61" s="2115"/>
      <c r="E61" s="2115"/>
      <c r="F61" s="2115"/>
      <c r="G61" s="2115"/>
      <c r="H61" s="2115"/>
      <c r="I61" s="2115"/>
      <c r="J61" s="2116"/>
    </row>
    <row r="62" spans="1:10" s="180" customFormat="1">
      <c r="A62" s="252"/>
      <c r="B62" s="2114"/>
      <c r="C62" s="2115"/>
      <c r="D62" s="2115"/>
      <c r="E62" s="2115"/>
      <c r="F62" s="2115"/>
      <c r="G62" s="2115"/>
      <c r="H62" s="2115"/>
      <c r="I62" s="2115"/>
      <c r="J62" s="2116"/>
    </row>
    <row r="63" spans="1:10" s="180" customFormat="1">
      <c r="A63" s="252"/>
      <c r="B63" s="2114"/>
      <c r="C63" s="2115"/>
      <c r="D63" s="2115"/>
      <c r="E63" s="2115"/>
      <c r="F63" s="2115"/>
      <c r="G63" s="2115"/>
      <c r="H63" s="2115"/>
      <c r="I63" s="2115"/>
      <c r="J63" s="2116"/>
    </row>
    <row r="64" spans="1:10" s="180" customFormat="1">
      <c r="A64" s="252"/>
      <c r="B64" s="2114"/>
      <c r="C64" s="2115"/>
      <c r="D64" s="2115"/>
      <c r="E64" s="2115"/>
      <c r="F64" s="2115"/>
      <c r="G64" s="2115"/>
      <c r="H64" s="2115"/>
      <c r="I64" s="2115"/>
      <c r="J64" s="2116"/>
    </row>
    <row r="65" spans="1:10" s="180" customFormat="1">
      <c r="A65" s="252"/>
      <c r="B65" s="2114"/>
      <c r="C65" s="2115"/>
      <c r="D65" s="2115"/>
      <c r="E65" s="2115"/>
      <c r="F65" s="2115"/>
      <c r="G65" s="2115"/>
      <c r="H65" s="2115"/>
      <c r="I65" s="2115"/>
      <c r="J65" s="2116"/>
    </row>
    <row r="66" spans="1:10" s="180" customFormat="1">
      <c r="A66" s="252"/>
      <c r="B66" s="2114"/>
      <c r="C66" s="2115"/>
      <c r="D66" s="2115"/>
      <c r="E66" s="2115"/>
      <c r="F66" s="2115"/>
      <c r="G66" s="2115"/>
      <c r="H66" s="2115"/>
      <c r="I66" s="2115"/>
      <c r="J66" s="2116"/>
    </row>
    <row r="67" spans="1:10" s="180" customFormat="1" ht="9" customHeight="1">
      <c r="A67" s="253"/>
      <c r="B67" s="2117"/>
      <c r="C67" s="2118"/>
      <c r="D67" s="2118"/>
      <c r="E67" s="2118"/>
      <c r="F67" s="2118"/>
      <c r="G67" s="2118"/>
      <c r="H67" s="2118"/>
      <c r="I67" s="2118"/>
      <c r="J67" s="2119"/>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04" t="s">
        <v>1314</v>
      </c>
      <c r="B70" s="2107"/>
      <c r="C70" s="2107"/>
      <c r="D70" s="2107"/>
      <c r="E70" s="2108"/>
      <c r="F70" s="2108"/>
      <c r="G70" s="2108"/>
      <c r="H70" s="2108"/>
      <c r="I70" s="2108"/>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1917</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v>43708</v>
      </c>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109" t="s">
        <v>1311</v>
      </c>
      <c r="B83" s="2109"/>
      <c r="C83" s="2109"/>
      <c r="D83" s="2110"/>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1169</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91"/>
      <c r="C102" s="2092"/>
      <c r="D102" s="2092"/>
      <c r="E102" s="2092"/>
      <c r="F102" s="2092"/>
      <c r="G102" s="2092"/>
      <c r="H102" s="2092"/>
      <c r="I102" s="2093"/>
    </row>
    <row r="103" spans="1:9" s="180" customFormat="1" ht="11.25" customHeight="1">
      <c r="A103" s="315"/>
      <c r="B103" s="2094"/>
      <c r="C103" s="2095"/>
      <c r="D103" s="2095"/>
      <c r="E103" s="2095"/>
      <c r="F103" s="2095"/>
      <c r="G103" s="2095"/>
      <c r="H103" s="2095"/>
      <c r="I103" s="2096"/>
    </row>
    <row r="104" spans="1:9" s="180" customFormat="1" ht="11.25" customHeight="1">
      <c r="A104" s="315"/>
      <c r="B104" s="2094"/>
      <c r="C104" s="2095"/>
      <c r="D104" s="2095"/>
      <c r="E104" s="2095"/>
      <c r="F104" s="2095"/>
      <c r="G104" s="2095"/>
      <c r="H104" s="2095"/>
      <c r="I104" s="2096"/>
    </row>
    <row r="105" spans="1:9" s="180" customFormat="1">
      <c r="A105" s="315"/>
      <c r="B105" s="2094"/>
      <c r="C105" s="2095"/>
      <c r="D105" s="2095"/>
      <c r="E105" s="2095"/>
      <c r="F105" s="2095"/>
      <c r="G105" s="2095"/>
      <c r="H105" s="2095"/>
      <c r="I105" s="2096"/>
    </row>
    <row r="106" spans="1:9" s="180" customFormat="1" ht="11.25" customHeight="1">
      <c r="A106" s="315"/>
      <c r="B106" s="2094"/>
      <c r="C106" s="2095"/>
      <c r="D106" s="2095"/>
      <c r="E106" s="2095"/>
      <c r="F106" s="2095"/>
      <c r="G106" s="2095"/>
      <c r="H106" s="2095"/>
      <c r="I106" s="2096"/>
    </row>
    <row r="107" spans="1:9" s="180" customFormat="1" ht="11.25" customHeight="1">
      <c r="A107" s="315"/>
      <c r="B107" s="2094"/>
      <c r="C107" s="2095"/>
      <c r="D107" s="2095"/>
      <c r="E107" s="2095"/>
      <c r="F107" s="2095"/>
      <c r="G107" s="2095"/>
      <c r="H107" s="2095"/>
      <c r="I107" s="2096"/>
    </row>
    <row r="108" spans="1:9" s="180" customFormat="1" ht="11.25" customHeight="1">
      <c r="A108" s="315"/>
      <c r="B108" s="2094"/>
      <c r="C108" s="2095"/>
      <c r="D108" s="2095"/>
      <c r="E108" s="2095"/>
      <c r="F108" s="2095"/>
      <c r="G108" s="2095"/>
      <c r="H108" s="2095"/>
      <c r="I108" s="2096"/>
    </row>
    <row r="109" spans="1:9" s="180" customFormat="1" ht="11.25" customHeight="1">
      <c r="A109" s="315"/>
      <c r="B109" s="2094"/>
      <c r="C109" s="2095"/>
      <c r="D109" s="2095"/>
      <c r="E109" s="2095"/>
      <c r="F109" s="2095"/>
      <c r="G109" s="2095"/>
      <c r="H109" s="2095"/>
      <c r="I109" s="2096"/>
    </row>
    <row r="110" spans="1:9" s="180" customFormat="1" ht="11.25" customHeight="1">
      <c r="A110" s="315"/>
      <c r="B110" s="2094"/>
      <c r="C110" s="2095"/>
      <c r="D110" s="2095"/>
      <c r="E110" s="2095"/>
      <c r="F110" s="2095"/>
      <c r="G110" s="2095"/>
      <c r="H110" s="2095"/>
      <c r="I110" s="2096"/>
    </row>
    <row r="111" spans="1:9" s="180" customFormat="1" ht="11.25" customHeight="1">
      <c r="A111" s="315"/>
      <c r="B111" s="2094"/>
      <c r="C111" s="2095"/>
      <c r="D111" s="2095"/>
      <c r="E111" s="2095"/>
      <c r="F111" s="2095"/>
      <c r="G111" s="2095"/>
      <c r="H111" s="2095"/>
      <c r="I111" s="2096"/>
    </row>
    <row r="112" spans="1:9" s="180" customFormat="1" ht="11.25" customHeight="1">
      <c r="A112" s="315"/>
      <c r="B112" s="2097"/>
      <c r="C112" s="2098"/>
      <c r="D112" s="2098"/>
      <c r="E112" s="2098"/>
      <c r="F112" s="2098"/>
      <c r="G112" s="2098"/>
      <c r="H112" s="2098"/>
      <c r="I112" s="2099"/>
    </row>
    <row r="113" spans="1:9" s="180" customFormat="1" ht="11.25" customHeight="1">
      <c r="A113" s="316"/>
      <c r="B113" s="310"/>
      <c r="C113" s="310"/>
      <c r="D113" s="310"/>
      <c r="E113" s="303"/>
      <c r="F113" s="303"/>
      <c r="G113" s="303"/>
      <c r="H113" s="303"/>
      <c r="I113" s="303"/>
    </row>
    <row r="114" spans="1:9" s="180" customFormat="1" ht="18" customHeight="1">
      <c r="A114" s="315"/>
      <c r="B114" s="316"/>
      <c r="C114" s="2100" t="s">
        <v>2051</v>
      </c>
      <c r="D114" s="2100"/>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01" t="s">
        <v>1321</v>
      </c>
      <c r="D117" s="2102"/>
      <c r="E117" s="2103"/>
      <c r="F117" s="2103"/>
      <c r="G117" s="2103"/>
      <c r="H117" s="2103"/>
      <c r="I117" s="303"/>
    </row>
    <row r="118" spans="1:9" s="180" customFormat="1" ht="24" customHeight="1">
      <c r="A118" s="315"/>
      <c r="B118" s="315"/>
      <c r="C118" s="315"/>
      <c r="D118" s="322" t="s">
        <v>2183</v>
      </c>
      <c r="E118" s="321"/>
      <c r="F118" s="323"/>
      <c r="G118" s="1771"/>
      <c r="H118" s="321"/>
      <c r="I118" s="303"/>
    </row>
    <row r="119" spans="1:9" s="180" customFormat="1" ht="11.25" customHeight="1">
      <c r="A119" s="324"/>
      <c r="B119" s="324"/>
      <c r="C119" s="325"/>
      <c r="D119" s="326" t="s">
        <v>361</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CCFF"/>
  </sheetPr>
  <dimension ref="A1:J63"/>
  <sheetViews>
    <sheetView showGridLines="0" zoomScale="110" zoomScaleNormal="110" workbookViewId="0">
      <selection activeCell="B7" sqref="B7:I7"/>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93" t="str">
        <f>'Single Audit Cover'!A7</f>
        <v>Oak Lawn - Hometown SD 123</v>
      </c>
      <c r="C1" s="2494"/>
      <c r="D1" s="2494"/>
      <c r="E1" s="2494"/>
      <c r="F1" s="2494"/>
      <c r="G1" s="2494"/>
      <c r="H1" s="2494"/>
      <c r="I1" s="2494"/>
      <c r="J1" s="1338"/>
    </row>
    <row r="2" spans="2:10" s="316" customFormat="1" ht="12.75" customHeight="1">
      <c r="B2" s="2495">
        <f>'Single Audit Cover'!E7</f>
        <v>7016123002</v>
      </c>
      <c r="C2" s="2496"/>
      <c r="D2" s="2496"/>
      <c r="E2" s="2496"/>
      <c r="F2" s="2496"/>
      <c r="G2" s="2496"/>
      <c r="H2" s="2496"/>
      <c r="I2" s="2496"/>
      <c r="J2" s="1338"/>
    </row>
    <row r="3" spans="2:10" s="316" customFormat="1" ht="12.75" customHeight="1">
      <c r="B3" s="2497" t="s">
        <v>1276</v>
      </c>
      <c r="C3" s="2498"/>
      <c r="D3" s="2498"/>
      <c r="E3" s="2498"/>
      <c r="F3" s="2498"/>
      <c r="G3" s="2498"/>
      <c r="H3" s="2498"/>
      <c r="I3" s="2498"/>
      <c r="J3" s="1339"/>
    </row>
    <row r="4" spans="2:10" s="316" customFormat="1" ht="12.75" customHeight="1">
      <c r="B4" s="2497" t="str">
        <f>'Single Audit Cover'!A4</f>
        <v>Year Ending June 30, 2019</v>
      </c>
      <c r="C4" s="2498"/>
      <c r="D4" s="2498"/>
      <c r="E4" s="2498"/>
      <c r="F4" s="2498"/>
      <c r="G4" s="2498"/>
      <c r="H4" s="2498"/>
      <c r="I4" s="2498"/>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97" t="s">
        <v>1275</v>
      </c>
      <c r="C7" s="2498"/>
      <c r="D7" s="2498"/>
      <c r="E7" s="2498"/>
      <c r="F7" s="2498"/>
      <c r="G7" s="2498"/>
      <c r="H7" s="2498"/>
      <c r="I7" s="2498"/>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99" t="s">
        <v>2154</v>
      </c>
      <c r="D11" s="2499"/>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885</v>
      </c>
      <c r="G15" s="1354" t="s">
        <v>2036</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2036</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885</v>
      </c>
      <c r="G20" s="1354" t="s">
        <v>2036</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885</v>
      </c>
      <c r="G24" s="1354" t="s">
        <v>2036</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2036</v>
      </c>
      <c r="H27" s="1296" t="s">
        <v>1267</v>
      </c>
      <c r="I27" s="1296"/>
    </row>
    <row r="28" spans="2:9" s="316" customFormat="1" ht="12.75" customHeight="1">
      <c r="B28" s="1301"/>
      <c r="C28" s="1278"/>
      <c r="E28" s="1254"/>
    </row>
    <row r="29" spans="2:9" s="316" customFormat="1" ht="12.75" customHeight="1">
      <c r="B29" s="1301" t="s">
        <v>1266</v>
      </c>
      <c r="C29" s="1278"/>
      <c r="D29" s="2500" t="s">
        <v>2154</v>
      </c>
      <c r="E29" s="2500"/>
      <c r="F29" s="2500"/>
      <c r="G29" s="2500"/>
      <c r="H29" s="2500"/>
      <c r="I29" s="2500"/>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2036</v>
      </c>
      <c r="H33" s="1296" t="s">
        <v>99</v>
      </c>
    </row>
    <row r="35" spans="2:9">
      <c r="B35" s="1357" t="s">
        <v>1723</v>
      </c>
      <c r="C35" s="1358"/>
      <c r="D35" s="1263"/>
    </row>
    <row r="36" spans="2:9" ht="6" customHeight="1">
      <c r="B36" s="1357"/>
      <c r="C36" s="1358"/>
      <c r="D36" s="1263"/>
    </row>
    <row r="37" spans="2:9" ht="17.25" customHeight="1">
      <c r="B37" s="1359" t="s">
        <v>1724</v>
      </c>
      <c r="C37" s="2501" t="s">
        <v>1725</v>
      </c>
      <c r="D37" s="2502"/>
      <c r="E37" s="2502"/>
      <c r="F37" s="2503"/>
      <c r="G37" s="2501" t="s">
        <v>1577</v>
      </c>
      <c r="H37" s="2502"/>
      <c r="I37" s="2503"/>
    </row>
    <row r="38" spans="2:9" ht="16.5" customHeight="1">
      <c r="B38" s="1360" t="s">
        <v>2155</v>
      </c>
      <c r="C38" s="2489" t="s">
        <v>2156</v>
      </c>
      <c r="D38" s="2490"/>
      <c r="E38" s="2490"/>
      <c r="F38" s="2491"/>
      <c r="G38" s="2504">
        <v>951770</v>
      </c>
      <c r="H38" s="2505"/>
      <c r="I38" s="2506"/>
    </row>
    <row r="39" spans="2:9" ht="16.5" customHeight="1">
      <c r="B39" s="1360" t="s">
        <v>2157</v>
      </c>
      <c r="C39" s="2489" t="s">
        <v>2158</v>
      </c>
      <c r="D39" s="2490"/>
      <c r="E39" s="2490"/>
      <c r="F39" s="2491"/>
      <c r="G39" s="2492">
        <v>666126</v>
      </c>
      <c r="H39" s="2492"/>
      <c r="I39" s="2492"/>
    </row>
    <row r="40" spans="2:9" ht="16.5" customHeight="1">
      <c r="B40" s="1360"/>
      <c r="C40" s="2489"/>
      <c r="D40" s="2490"/>
      <c r="E40" s="2490"/>
      <c r="F40" s="2491"/>
      <c r="G40" s="2492"/>
      <c r="H40" s="2492"/>
      <c r="I40" s="2492"/>
    </row>
    <row r="41" spans="2:9" ht="16.5" customHeight="1">
      <c r="B41" s="1360"/>
      <c r="C41" s="2489"/>
      <c r="D41" s="2490"/>
      <c r="E41" s="2490"/>
      <c r="F41" s="2491"/>
      <c r="G41" s="2492"/>
      <c r="H41" s="2492"/>
      <c r="I41" s="2492"/>
    </row>
    <row r="42" spans="2:9" ht="16.5" customHeight="1">
      <c r="B42" s="1360"/>
      <c r="C42" s="2489"/>
      <c r="D42" s="2490"/>
      <c r="E42" s="2490"/>
      <c r="F42" s="2491"/>
      <c r="G42" s="2492"/>
      <c r="H42" s="2492"/>
      <c r="I42" s="2492"/>
    </row>
    <row r="43" spans="2:9" ht="16.5" customHeight="1">
      <c r="B43" s="1360"/>
      <c r="C43" s="2482" t="s">
        <v>1578</v>
      </c>
      <c r="D43" s="2483"/>
      <c r="E43" s="2483"/>
      <c r="F43" s="2484"/>
      <c r="G43" s="2485">
        <f>SUM(G38:I42)</f>
        <v>1617896</v>
      </c>
      <c r="H43" s="2485"/>
      <c r="I43" s="2485"/>
    </row>
    <row r="44" spans="2:9" ht="12.75" customHeight="1"/>
    <row r="45" spans="2:9" ht="12.75" customHeight="1">
      <c r="B45" s="1351" t="s">
        <v>2033</v>
      </c>
      <c r="D45" s="2486">
        <v>2442748</v>
      </c>
      <c r="E45" s="2487"/>
    </row>
    <row r="46" spans="2:9" ht="5.25" customHeight="1">
      <c r="B46" s="1361"/>
      <c r="D46" s="1362"/>
      <c r="E46" s="1363"/>
    </row>
    <row r="47" spans="2:9" ht="12.75" customHeight="1">
      <c r="B47" s="1296" t="s">
        <v>1579</v>
      </c>
      <c r="C47" s="1296"/>
      <c r="D47" s="1364">
        <f>+G43/D45</f>
        <v>0.66232619983723251</v>
      </c>
      <c r="E47" s="1365"/>
      <c r="F47" s="1366"/>
      <c r="I47" s="1367"/>
    </row>
    <row r="48" spans="2:9" ht="9.9499999999999993" customHeight="1"/>
    <row r="49" spans="1:9">
      <c r="B49" s="1301" t="s">
        <v>1264</v>
      </c>
      <c r="C49" s="1278"/>
      <c r="D49" s="1278"/>
      <c r="E49" s="2488">
        <v>750000</v>
      </c>
      <c r="F49" s="2488"/>
      <c r="G49" s="2488"/>
      <c r="H49" s="321"/>
    </row>
    <row r="51" spans="1:9" ht="13.5" customHeight="1">
      <c r="B51" s="1301" t="s">
        <v>1263</v>
      </c>
      <c r="C51" s="1278"/>
      <c r="E51" s="1354"/>
      <c r="F51" s="1296" t="s">
        <v>885</v>
      </c>
      <c r="G51" s="1354" t="s">
        <v>2036</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CCFF"/>
  </sheetPr>
  <dimension ref="A1:M41"/>
  <sheetViews>
    <sheetView showGridLines="0" zoomScale="110" zoomScaleNormal="110" workbookViewId="0">
      <selection activeCell="F16" sqref="F16"/>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93" t="str">
        <f>'Single Audit Cover'!A7</f>
        <v>Oak Lawn - Hometown SD 123</v>
      </c>
      <c r="C1" s="2493"/>
      <c r="D1" s="2493"/>
      <c r="E1" s="2493"/>
      <c r="F1" s="2493"/>
      <c r="G1" s="2493"/>
      <c r="H1" s="2493"/>
      <c r="I1" s="2493"/>
      <c r="J1" s="2493"/>
      <c r="K1" s="2493"/>
      <c r="L1" s="1303"/>
      <c r="M1" s="1303"/>
    </row>
    <row r="2" spans="1:13" ht="12" customHeight="1">
      <c r="B2" s="2495">
        <f>'Single Audit Cover'!E7</f>
        <v>7016123002</v>
      </c>
      <c r="C2" s="2495"/>
      <c r="D2" s="2495"/>
      <c r="E2" s="2495"/>
      <c r="F2" s="2495"/>
      <c r="G2" s="2495"/>
      <c r="H2" s="2495"/>
      <c r="I2" s="2495"/>
      <c r="J2" s="2495"/>
      <c r="K2" s="2495"/>
      <c r="L2" s="1304"/>
      <c r="M2" s="1305"/>
    </row>
    <row r="3" spans="1:13" ht="10.35" customHeight="1">
      <c r="B3" s="2509" t="s">
        <v>1276</v>
      </c>
      <c r="C3" s="2509"/>
      <c r="D3" s="2509"/>
      <c r="E3" s="2509"/>
      <c r="F3" s="2509"/>
      <c r="G3" s="2509"/>
      <c r="H3" s="2509"/>
      <c r="I3" s="2509"/>
      <c r="J3" s="2509"/>
      <c r="K3" s="2509"/>
      <c r="L3" s="1306"/>
      <c r="M3" s="1306"/>
    </row>
    <row r="4" spans="1:13" ht="14.25" customHeight="1">
      <c r="B4" s="2510" t="str">
        <f>'Single Audit Cover'!A4</f>
        <v>Year Ending June 30, 2019</v>
      </c>
      <c r="C4" s="2510"/>
      <c r="D4" s="2510"/>
      <c r="E4" s="2510"/>
      <c r="F4" s="2510"/>
      <c r="G4" s="2510"/>
      <c r="H4" s="2510"/>
      <c r="I4" s="2510"/>
      <c r="J4" s="2510"/>
      <c r="K4" s="2510"/>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510" t="s">
        <v>1287</v>
      </c>
      <c r="C7" s="2510"/>
      <c r="D7" s="2511"/>
      <c r="E7" s="2511"/>
      <c r="F7" s="2511"/>
      <c r="G7" s="2511"/>
      <c r="H7" s="2511"/>
      <c r="I7" s="2511"/>
      <c r="J7" s="2511"/>
      <c r="K7" s="2511"/>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1960</v>
      </c>
      <c r="D10" s="1315" t="s">
        <v>2118</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508"/>
      <c r="C14" s="2508"/>
      <c r="D14" s="2508"/>
      <c r="E14" s="2508"/>
      <c r="F14" s="2508"/>
      <c r="G14" s="2508"/>
      <c r="H14" s="2508"/>
      <c r="I14" s="2508"/>
      <c r="J14" s="2508"/>
      <c r="K14" s="2508"/>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508"/>
      <c r="C17" s="2508"/>
      <c r="D17" s="2508"/>
      <c r="E17" s="2508"/>
      <c r="F17" s="2508"/>
      <c r="G17" s="2508"/>
      <c r="H17" s="2508"/>
      <c r="I17" s="2508"/>
      <c r="J17" s="2508"/>
      <c r="K17" s="2508"/>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512"/>
      <c r="C20" s="2512"/>
      <c r="D20" s="2508"/>
      <c r="E20" s="2508"/>
      <c r="F20" s="2508"/>
      <c r="G20" s="2508"/>
      <c r="H20" s="2508"/>
      <c r="I20" s="2508"/>
      <c r="J20" s="2508"/>
      <c r="K20" s="2508"/>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508"/>
      <c r="C23" s="2508"/>
      <c r="D23" s="2508"/>
      <c r="E23" s="2508"/>
      <c r="F23" s="2508"/>
      <c r="G23" s="2508"/>
      <c r="H23" s="2508"/>
      <c r="I23" s="2508"/>
      <c r="J23" s="2508"/>
      <c r="K23" s="2508"/>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508"/>
      <c r="C26" s="2508"/>
      <c r="D26" s="2508"/>
      <c r="E26" s="2508"/>
      <c r="F26" s="2508"/>
      <c r="G26" s="2508"/>
      <c r="H26" s="2508"/>
      <c r="I26" s="2508"/>
      <c r="J26" s="2508"/>
      <c r="K26" s="2508"/>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507"/>
      <c r="C29" s="2507"/>
      <c r="D29" s="2508"/>
      <c r="E29" s="2508"/>
      <c r="F29" s="2508"/>
      <c r="G29" s="2508"/>
      <c r="H29" s="2508"/>
      <c r="I29" s="2508"/>
      <c r="J29" s="2508"/>
      <c r="K29" s="2508"/>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507"/>
      <c r="C32" s="2507"/>
      <c r="D32" s="2508"/>
      <c r="E32" s="2508"/>
      <c r="F32" s="2508"/>
      <c r="G32" s="2508"/>
      <c r="H32" s="2508"/>
      <c r="I32" s="2508"/>
      <c r="J32" s="2508"/>
      <c r="K32" s="2508"/>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CCCFF"/>
  </sheetPr>
  <dimension ref="A1:L48"/>
  <sheetViews>
    <sheetView showGridLines="0" topLeftCell="A7" zoomScale="110" zoomScaleNormal="110" workbookViewId="0">
      <selection activeCell="D14" sqref="D14:F14"/>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6" t="str">
        <f>'Single Audit Cover'!A7</f>
        <v>Oak Lawn - Hometown SD 123</v>
      </c>
      <c r="C1" s="2516"/>
      <c r="D1" s="2516"/>
      <c r="E1" s="2516"/>
      <c r="F1" s="2516"/>
      <c r="G1" s="2516"/>
      <c r="H1" s="2516"/>
      <c r="I1" s="2516"/>
      <c r="J1" s="2516"/>
      <c r="K1" s="2516"/>
      <c r="L1" s="1381"/>
    </row>
    <row r="2" spans="1:12" ht="12.75" customHeight="1">
      <c r="B2" s="2517">
        <f>'Single Audit Cover'!E7</f>
        <v>7016123002</v>
      </c>
      <c r="C2" s="2517"/>
      <c r="D2" s="2517"/>
      <c r="E2" s="2517"/>
      <c r="F2" s="2517"/>
      <c r="G2" s="2517"/>
      <c r="H2" s="2517"/>
      <c r="I2" s="2517"/>
      <c r="J2" s="2517"/>
      <c r="K2" s="2517"/>
      <c r="L2" s="1382"/>
    </row>
    <row r="3" spans="1:12" ht="12.75" customHeight="1">
      <c r="B3" s="2509" t="s">
        <v>1276</v>
      </c>
      <c r="C3" s="2509"/>
      <c r="D3" s="2509"/>
      <c r="E3" s="2509"/>
      <c r="F3" s="2509"/>
      <c r="G3" s="2509"/>
      <c r="H3" s="2509"/>
      <c r="I3" s="2509"/>
      <c r="J3" s="2509"/>
      <c r="K3" s="2509"/>
      <c r="L3" s="1306"/>
    </row>
    <row r="4" spans="1:12" ht="12.75" customHeight="1">
      <c r="B4" s="2509" t="str">
        <f>'Single Audit Cover'!A4</f>
        <v>Year Ending June 30, 2019</v>
      </c>
      <c r="C4" s="2509"/>
      <c r="D4" s="2509"/>
      <c r="E4" s="2509"/>
      <c r="F4" s="2509"/>
      <c r="G4" s="2509"/>
      <c r="H4" s="2509"/>
      <c r="I4" s="2509"/>
      <c r="J4" s="2509"/>
      <c r="K4" s="2509"/>
      <c r="L4" s="1306"/>
    </row>
    <row r="5" spans="1:12" ht="5.25" customHeight="1">
      <c r="B5" s="1256" t="s">
        <v>1169</v>
      </c>
      <c r="C5" s="1256"/>
      <c r="L5" s="321"/>
    </row>
    <row r="6" spans="1:12" ht="30.75" customHeight="1">
      <c r="A6" s="321"/>
      <c r="B6" s="2518" t="s">
        <v>1299</v>
      </c>
      <c r="C6" s="2518"/>
      <c r="D6" s="2518"/>
      <c r="E6" s="2518"/>
      <c r="F6" s="2518"/>
      <c r="G6" s="2518"/>
      <c r="H6" s="2518"/>
      <c r="I6" s="2518"/>
      <c r="J6" s="2518"/>
      <c r="K6" s="2518"/>
      <c r="L6" s="321"/>
    </row>
    <row r="7" spans="1:12" ht="4.5" customHeight="1">
      <c r="B7" s="1308"/>
      <c r="C7" s="1308"/>
      <c r="D7" s="1308"/>
      <c r="E7" s="1308"/>
      <c r="F7" s="1308"/>
      <c r="G7" s="1309"/>
      <c r="H7" s="1308"/>
      <c r="I7" s="1309"/>
      <c r="J7" s="1308"/>
      <c r="K7" s="1308"/>
      <c r="L7" s="321"/>
    </row>
    <row r="8" spans="1:12" ht="13.5" customHeight="1">
      <c r="B8" s="1316" t="s">
        <v>1730</v>
      </c>
      <c r="C8" s="1383" t="s">
        <v>1960</v>
      </c>
      <c r="D8" s="1384" t="s">
        <v>2118</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500"/>
      <c r="G12" s="2500"/>
      <c r="H12" s="2500"/>
      <c r="I12" s="2500"/>
      <c r="J12" s="2500"/>
      <c r="K12" s="2500"/>
      <c r="L12" s="321"/>
    </row>
    <row r="13" spans="1:12" ht="9.6" customHeight="1">
      <c r="B13" s="1253"/>
      <c r="C13" s="1253"/>
      <c r="D13" s="303"/>
      <c r="E13" s="321"/>
      <c r="F13" s="321"/>
      <c r="G13" s="1312"/>
      <c r="H13" s="321"/>
      <c r="I13" s="1312"/>
      <c r="J13" s="321"/>
      <c r="K13" s="1348"/>
      <c r="L13" s="321"/>
    </row>
    <row r="14" spans="1:12" ht="13.5" customHeight="1">
      <c r="B14" s="1316" t="s">
        <v>1295</v>
      </c>
      <c r="C14" s="1316"/>
      <c r="D14" s="2513"/>
      <c r="E14" s="2513"/>
      <c r="F14" s="2513"/>
      <c r="H14" s="1391" t="s">
        <v>1294</v>
      </c>
      <c r="I14" s="2514"/>
      <c r="J14" s="2514"/>
      <c r="K14" s="2514"/>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514"/>
      <c r="E16" s="2514"/>
      <c r="F16" s="2514"/>
      <c r="G16" s="2514"/>
      <c r="H16" s="2514"/>
      <c r="I16" s="2514"/>
      <c r="J16" s="2514"/>
      <c r="K16" s="2514"/>
      <c r="L16" s="321"/>
    </row>
    <row r="17" spans="2:12" ht="13.5" customHeight="1">
      <c r="B17" s="1316" t="s">
        <v>1292</v>
      </c>
      <c r="C17" s="1316"/>
      <c r="D17" s="2515"/>
      <c r="E17" s="2515"/>
      <c r="F17" s="2515"/>
      <c r="G17" s="2515"/>
      <c r="H17" s="2515"/>
      <c r="I17" s="2515"/>
      <c r="J17" s="2515"/>
      <c r="K17" s="2515"/>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508"/>
      <c r="C20" s="2508"/>
      <c r="D20" s="2508"/>
      <c r="E20" s="2508"/>
      <c r="F20" s="2508"/>
      <c r="G20" s="2508"/>
      <c r="H20" s="2508"/>
      <c r="I20" s="2508"/>
      <c r="J20" s="2508"/>
      <c r="K20" s="2508"/>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508"/>
      <c r="C23" s="2508"/>
      <c r="D23" s="2508"/>
      <c r="E23" s="2508"/>
      <c r="F23" s="2508"/>
      <c r="G23" s="2508"/>
      <c r="H23" s="2508"/>
      <c r="I23" s="2508"/>
      <c r="J23" s="2508"/>
      <c r="K23" s="2508"/>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508"/>
      <c r="C26" s="2508"/>
      <c r="D26" s="2508"/>
      <c r="E26" s="2508"/>
      <c r="F26" s="2508"/>
      <c r="G26" s="2508"/>
      <c r="H26" s="2508"/>
      <c r="I26" s="2508"/>
      <c r="J26" s="2508"/>
      <c r="K26" s="2508"/>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508"/>
      <c r="C29" s="2508"/>
      <c r="D29" s="2508"/>
      <c r="E29" s="2508"/>
      <c r="F29" s="2508"/>
      <c r="G29" s="2508"/>
      <c r="H29" s="2508"/>
      <c r="I29" s="2508"/>
      <c r="J29" s="2508"/>
      <c r="K29" s="2508"/>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508"/>
      <c r="C32" s="2508"/>
      <c r="D32" s="2508"/>
      <c r="E32" s="2508"/>
      <c r="F32" s="2508"/>
      <c r="G32" s="2508"/>
      <c r="H32" s="2508"/>
      <c r="I32" s="2508"/>
      <c r="J32" s="2508"/>
      <c r="K32" s="2508"/>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508"/>
      <c r="C35" s="2508"/>
      <c r="D35" s="2508"/>
      <c r="E35" s="2508"/>
      <c r="F35" s="2508"/>
      <c r="G35" s="2508"/>
      <c r="H35" s="2508"/>
      <c r="I35" s="2508"/>
      <c r="J35" s="2508"/>
      <c r="K35" s="2508"/>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508"/>
      <c r="C38" s="2508"/>
      <c r="D38" s="2508"/>
      <c r="E38" s="2508"/>
      <c r="F38" s="2508"/>
      <c r="G38" s="2508"/>
      <c r="H38" s="2508"/>
      <c r="I38" s="2508"/>
      <c r="J38" s="2508"/>
      <c r="K38" s="2508"/>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508"/>
      <c r="C41" s="2508"/>
      <c r="D41" s="2508"/>
      <c r="E41" s="2508"/>
      <c r="F41" s="2508"/>
      <c r="G41" s="2508"/>
      <c r="H41" s="2508"/>
      <c r="I41" s="2508"/>
      <c r="J41" s="2508"/>
      <c r="K41" s="2508"/>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1:E73"/>
  <sheetViews>
    <sheetView showGridLines="0" zoomScale="110" zoomScaleNormal="110" workbookViewId="0">
      <selection activeCell="I16" sqref="I16"/>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93" t="str">
        <f>'Single Audit Cover'!A7</f>
        <v>Oak Lawn - Hometown SD 123</v>
      </c>
      <c r="C1" s="2493"/>
      <c r="D1" s="2493"/>
      <c r="E1" s="1401"/>
    </row>
    <row r="2" spans="2:5" s="1278" customFormat="1" ht="12.75" customHeight="1">
      <c r="B2" s="2495">
        <f>'Single Audit Cover'!E7</f>
        <v>7016123002</v>
      </c>
      <c r="C2" s="2495"/>
      <c r="D2" s="2495"/>
      <c r="E2" s="1402"/>
    </row>
    <row r="3" spans="2:5" ht="12.75" customHeight="1">
      <c r="B3" s="2509" t="s">
        <v>1740</v>
      </c>
      <c r="C3" s="2509"/>
      <c r="D3" s="2509"/>
      <c r="E3" s="1270"/>
    </row>
    <row r="4" spans="2:5" s="1278" customFormat="1" ht="12.75" customHeight="1">
      <c r="B4" s="2519" t="str">
        <f>'Single Audit Cover'!A4</f>
        <v>Year Ending June 30, 2019</v>
      </c>
      <c r="C4" s="2519"/>
      <c r="D4" s="2519"/>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2159</v>
      </c>
      <c r="C7" s="323" t="s">
        <v>2160</v>
      </c>
      <c r="D7" s="323" t="s">
        <v>2161</v>
      </c>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15" sqref="L15"/>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120" t="s">
        <v>386</v>
      </c>
      <c r="B1" s="2120"/>
      <c r="C1" s="2120"/>
      <c r="D1" s="2120"/>
      <c r="E1" s="2120"/>
      <c r="F1" s="2120"/>
      <c r="G1" s="2120"/>
      <c r="H1" s="2120"/>
      <c r="I1" s="2120"/>
      <c r="J1" s="2120"/>
      <c r="K1" s="2120"/>
      <c r="L1" s="2120"/>
      <c r="M1" s="2120"/>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1918</v>
      </c>
      <c r="E7" s="221"/>
      <c r="F7" s="350" t="s">
        <v>272</v>
      </c>
      <c r="G7" s="221"/>
      <c r="H7" s="221"/>
      <c r="I7" s="221"/>
      <c r="J7" s="351">
        <v>690042462</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3.6663000000000001E-2</v>
      </c>
      <c r="E10" s="355" t="s">
        <v>1005</v>
      </c>
      <c r="F10" s="354">
        <v>1.029E-3</v>
      </c>
      <c r="G10" s="355" t="s">
        <v>1005</v>
      </c>
      <c r="H10" s="354">
        <v>3.0000000000000001E-6</v>
      </c>
      <c r="I10" s="355" t="s">
        <v>1006</v>
      </c>
      <c r="J10" s="1663">
        <f>ROUND(D10+F10+H10,5)</f>
        <v>3.7699999999999997E-2</v>
      </c>
      <c r="K10" s="221"/>
      <c r="L10" s="354">
        <v>3.0000000000000001E-6</v>
      </c>
      <c r="M10" s="221"/>
    </row>
    <row r="11" spans="1:14" ht="7.5" customHeight="1">
      <c r="B11" s="221"/>
      <c r="C11" s="221"/>
      <c r="D11" s="2130" t="str">
        <f>IF(SUM(J10)&lt;=0.0999999,"","Enter the Tax Rates by moving the decimal two places to the left.")</f>
        <v/>
      </c>
      <c r="E11" s="2131"/>
      <c r="F11" s="2131"/>
      <c r="G11" s="2131"/>
      <c r="H11" s="2131"/>
      <c r="I11" s="2131"/>
      <c r="J11" s="2131"/>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40899676</v>
      </c>
      <c r="E16" s="355"/>
      <c r="F16" s="1664">
        <f>SUM('Acct Summary 7-8'!C17,'Acct Summary 7-8'!D17,'Acct Summary 7-8'!F17)</f>
        <v>39809247</v>
      </c>
      <c r="G16" s="355"/>
      <c r="H16" s="1664">
        <f>SUM(D16-F16)</f>
        <v>1090429</v>
      </c>
      <c r="I16" s="221"/>
      <c r="J16" s="1664">
        <f>SUM('Acct Summary 7-8'!C81,'Acct Summary 7-8'!D81,'Acct Summary 7-8'!F81,'Acct Summary 7-8'!I81)</f>
        <v>15407582</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1635</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2032</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2036</v>
      </c>
      <c r="C31" s="366" t="s">
        <v>586</v>
      </c>
      <c r="D31" s="236" t="s">
        <v>1072</v>
      </c>
      <c r="E31" s="221"/>
      <c r="F31" s="221"/>
      <c r="G31" s="362"/>
      <c r="H31" s="1666">
        <f>IF(B31="X",(J7*0.069),IF(B32="X",(J7*0.138),"Enter x in a.or b."))</f>
        <v>47612929.878000006</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41831821</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21"/>
      <c r="C54" s="2122"/>
      <c r="D54" s="2122"/>
      <c r="E54" s="2122"/>
      <c r="F54" s="2122"/>
      <c r="G54" s="2122"/>
      <c r="H54" s="2122"/>
      <c r="I54" s="2122"/>
      <c r="J54" s="2122"/>
      <c r="K54" s="2122"/>
      <c r="L54" s="2123"/>
      <c r="M54" s="379"/>
    </row>
    <row r="55" spans="1:13" ht="12.75" customHeight="1">
      <c r="B55" s="2124"/>
      <c r="C55" s="2125"/>
      <c r="D55" s="2125"/>
      <c r="E55" s="2125"/>
      <c r="F55" s="2125"/>
      <c r="G55" s="2125"/>
      <c r="H55" s="2125"/>
      <c r="I55" s="2125"/>
      <c r="J55" s="2125"/>
      <c r="K55" s="2125"/>
      <c r="L55" s="2126"/>
      <c r="M55" s="379"/>
    </row>
    <row r="56" spans="1:13" ht="12.75" customHeight="1">
      <c r="B56" s="2124"/>
      <c r="C56" s="2125"/>
      <c r="D56" s="2125"/>
      <c r="E56" s="2125"/>
      <c r="F56" s="2125"/>
      <c r="G56" s="2125"/>
      <c r="H56" s="2125"/>
      <c r="I56" s="2125"/>
      <c r="J56" s="2125"/>
      <c r="K56" s="2125"/>
      <c r="L56" s="2126"/>
      <c r="M56" s="221"/>
    </row>
    <row r="57" spans="1:13" ht="12.75" customHeight="1">
      <c r="B57" s="2124"/>
      <c r="C57" s="2125"/>
      <c r="D57" s="2125"/>
      <c r="E57" s="2125"/>
      <c r="F57" s="2125"/>
      <c r="G57" s="2125"/>
      <c r="H57" s="2125"/>
      <c r="I57" s="2125"/>
      <c r="J57" s="2125"/>
      <c r="K57" s="2125"/>
      <c r="L57" s="2126"/>
      <c r="M57" s="221"/>
    </row>
    <row r="58" spans="1:13">
      <c r="B58" s="2127"/>
      <c r="C58" s="2128"/>
      <c r="D58" s="2128"/>
      <c r="E58" s="2128"/>
      <c r="F58" s="2128"/>
      <c r="G58" s="2128"/>
      <c r="H58" s="2128"/>
      <c r="I58" s="2128"/>
      <c r="J58" s="2128"/>
      <c r="K58" s="2128"/>
      <c r="L58" s="2129"/>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32"/>
      <c r="D61" s="2133"/>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1" zoomScale="110" zoomScaleNormal="110" workbookViewId="0">
      <selection activeCell="H28" sqref="H28"/>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35"/>
      <c r="B1" s="2136"/>
      <c r="C1" s="2136"/>
      <c r="D1" s="383"/>
      <c r="E1" s="383"/>
      <c r="F1" s="383"/>
      <c r="G1" s="383"/>
      <c r="H1" s="383"/>
      <c r="I1" s="383"/>
      <c r="J1" s="383"/>
      <c r="K1" s="383"/>
      <c r="L1" s="383"/>
      <c r="M1" s="383"/>
      <c r="N1" s="383"/>
      <c r="O1" s="2135"/>
      <c r="P1" s="2136"/>
      <c r="Q1" s="2136"/>
    </row>
    <row r="2" spans="1:18" ht="15">
      <c r="A2" s="2139" t="s">
        <v>556</v>
      </c>
      <c r="B2" s="2139"/>
      <c r="C2" s="2139"/>
      <c r="D2" s="2139"/>
      <c r="E2" s="2139"/>
      <c r="F2" s="2139"/>
      <c r="G2" s="2139"/>
      <c r="H2" s="2139"/>
      <c r="I2" s="2139"/>
      <c r="J2" s="2139"/>
      <c r="K2" s="2139"/>
      <c r="L2" s="2139"/>
      <c r="M2" s="2139"/>
      <c r="N2" s="2139"/>
      <c r="O2" s="2139"/>
      <c r="P2" s="2139"/>
      <c r="Q2" s="2139"/>
      <c r="R2" s="2139"/>
    </row>
    <row r="3" spans="1:18" ht="12.75">
      <c r="A3" s="2140" t="s">
        <v>1404</v>
      </c>
      <c r="B3" s="2140"/>
      <c r="C3" s="2140"/>
      <c r="D3" s="2140"/>
      <c r="E3" s="2140"/>
      <c r="F3" s="2140"/>
      <c r="G3" s="2140"/>
      <c r="H3" s="2140"/>
      <c r="I3" s="2140"/>
      <c r="J3" s="2140"/>
      <c r="K3" s="2140"/>
      <c r="L3" s="2140"/>
      <c r="M3" s="2140"/>
      <c r="N3" s="2140"/>
      <c r="O3" s="2140"/>
      <c r="P3" s="2140"/>
      <c r="Q3" s="2140"/>
      <c r="R3" s="2140"/>
    </row>
    <row r="4" spans="1:18">
      <c r="A4" s="2141" t="s">
        <v>1545</v>
      </c>
      <c r="B4" s="2141"/>
      <c r="C4" s="2141"/>
      <c r="D4" s="2141"/>
      <c r="E4" s="2141"/>
      <c r="F4" s="2141"/>
      <c r="G4" s="2141"/>
      <c r="H4" s="2141"/>
      <c r="I4" s="2141"/>
      <c r="J4" s="2141"/>
      <c r="K4" s="2141"/>
      <c r="L4" s="2141"/>
      <c r="M4" s="2141"/>
      <c r="N4" s="2141"/>
      <c r="O4" s="2141"/>
      <c r="P4" s="2141"/>
      <c r="Q4" s="2141"/>
      <c r="R4" s="2141"/>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Oak Lawn - Hometown SD 123</v>
      </c>
      <c r="E7" s="390"/>
      <c r="G7" s="251"/>
      <c r="H7" s="386"/>
      <c r="I7" s="386"/>
      <c r="J7" s="386"/>
      <c r="K7" s="386"/>
      <c r="L7" s="328"/>
      <c r="M7" s="328"/>
      <c r="N7" s="328"/>
      <c r="O7" s="328"/>
      <c r="P7" s="328"/>
    </row>
    <row r="8" spans="1:18" ht="12.75">
      <c r="A8" s="328"/>
      <c r="B8" s="328"/>
      <c r="C8" s="388" t="s">
        <v>1125</v>
      </c>
      <c r="D8" s="391">
        <f>COVER!A13</f>
        <v>7016123002</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15407582</v>
      </c>
      <c r="I12" s="403"/>
      <c r="J12" s="403"/>
      <c r="K12" s="404">
        <f>TRUNC((H12/H13*100000),5)/100000</f>
        <v>0.37671648050000006</v>
      </c>
      <c r="L12" s="405"/>
      <c r="M12" s="359" t="s">
        <v>1144</v>
      </c>
      <c r="N12" s="359"/>
      <c r="O12" s="406">
        <v>0.35</v>
      </c>
      <c r="P12" s="217"/>
      <c r="Q12" s="217"/>
    </row>
    <row r="13" spans="1:18" s="407" customFormat="1" ht="12.75">
      <c r="A13" s="217"/>
      <c r="B13" s="400"/>
      <c r="C13" s="2137" t="s">
        <v>1315</v>
      </c>
      <c r="D13" s="2138"/>
      <c r="E13" s="217"/>
      <c r="F13" s="408" t="s">
        <v>793</v>
      </c>
      <c r="G13" s="401"/>
      <c r="H13" s="402">
        <f>SUM('Acct Summary 7-8'!C8+'Acct Summary 7-8'!D8+'Acct Summary 7-8'!F8+'Acct Summary 7-8'!I8)+H14</f>
        <v>40899676</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39809247</v>
      </c>
      <c r="I17" s="403"/>
      <c r="J17" s="415"/>
      <c r="K17" s="404">
        <f>TRUNC((H17/H18*100000),5)/100000</f>
        <v>0.97333893299999996</v>
      </c>
      <c r="L17" s="405"/>
      <c r="M17" s="416" t="s">
        <v>1171</v>
      </c>
      <c r="O17" s="417" t="str">
        <f>IF(AND(O16="2", J20 &gt; 2),"1",IF(AND(O16 = "1", J20 &gt; 2),"2",IF(AND(O16="1", J20 &gt;1),"1","0")))</f>
        <v>0</v>
      </c>
      <c r="P17" s="217"/>
    </row>
    <row r="18" spans="1:18" s="407" customFormat="1" ht="11.25">
      <c r="A18" s="217"/>
      <c r="B18" s="400"/>
      <c r="C18" s="2137" t="s">
        <v>1308</v>
      </c>
      <c r="D18" s="2138"/>
      <c r="E18" s="217"/>
      <c r="F18" s="418" t="s">
        <v>794</v>
      </c>
      <c r="G18" s="401"/>
      <c r="H18" s="402">
        <f>SUM('Acct Summary 7-8'!C8+'Acct Summary 7-8'!D8+'Acct Summary 7-8'!F8+'Acct Summary 7-8'!I8)+H19</f>
        <v>40899676</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c r="A24" s="217"/>
      <c r="B24" s="400"/>
      <c r="C24" s="2134" t="s">
        <v>1403</v>
      </c>
      <c r="D24" s="2134"/>
      <c r="E24" s="217"/>
      <c r="F24" s="217" t="s">
        <v>445</v>
      </c>
      <c r="G24" s="401"/>
      <c r="H24" s="402">
        <f>SUM('Assets-Liab 5-6'!C4+'Assets-Liab 5-6'!D4+'Assets-Liab 5-6'!F4+'Assets-Liab 5-6'!I4+'Assets-Liab 5-6'!C5+'Assets-Liab 5-6'!D5+'Assets-Liab 5-6'!F5+'Assets-Liab 5-6'!I5)</f>
        <v>17801244</v>
      </c>
      <c r="I24" s="421"/>
      <c r="J24" s="421"/>
      <c r="K24" s="422">
        <f>TRUNC(((H24/H25*100000)/100000),2)</f>
        <v>160.97</v>
      </c>
      <c r="L24" s="423"/>
      <c r="M24" s="359" t="s">
        <v>1144</v>
      </c>
      <c r="N24" s="359"/>
      <c r="O24" s="410">
        <v>0.1</v>
      </c>
      <c r="P24" s="217"/>
    </row>
    <row r="25" spans="1:18" s="407" customFormat="1" ht="12.75">
      <c r="A25" s="217"/>
      <c r="B25" s="400"/>
      <c r="C25" s="217" t="s">
        <v>798</v>
      </c>
      <c r="D25" s="217"/>
      <c r="E25" s="217"/>
      <c r="F25" s="217" t="s">
        <v>446</v>
      </c>
      <c r="G25" s="401"/>
      <c r="H25" s="422">
        <f>ROUND((H17/360),5)</f>
        <v>110581.24167</v>
      </c>
      <c r="I25" s="424"/>
      <c r="J25" s="424"/>
      <c r="K25" s="409"/>
      <c r="L25" s="217"/>
      <c r="M25" s="359" t="s">
        <v>1145</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22112410.694789998</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c r="A32" s="217"/>
      <c r="B32" s="400"/>
      <c r="C32" s="217" t="s">
        <v>847</v>
      </c>
      <c r="D32" s="217"/>
      <c r="E32" s="217"/>
      <c r="F32" s="217"/>
      <c r="G32" s="401"/>
      <c r="H32" s="402">
        <f>'FP Info 3'!H37</f>
        <v>41831821</v>
      </c>
      <c r="I32" s="419"/>
      <c r="J32" s="419"/>
      <c r="K32" s="422">
        <f>TRUNC(100-((((H32/H33*100))*100)/100),2)</f>
        <v>12.14</v>
      </c>
      <c r="L32" s="405"/>
      <c r="M32" s="359" t="s">
        <v>1144</v>
      </c>
      <c r="N32" s="359"/>
      <c r="O32" s="433">
        <v>0.1</v>
      </c>
    </row>
    <row r="33" spans="1:17" s="407" customFormat="1" ht="11.25">
      <c r="A33" s="217"/>
      <c r="B33" s="400"/>
      <c r="C33" s="217" t="s">
        <v>799</v>
      </c>
      <c r="D33" s="217"/>
      <c r="E33" s="217"/>
      <c r="F33" s="217"/>
      <c r="G33" s="401"/>
      <c r="H33" s="402">
        <f>IF('FP Info 3'!H31="Enter X in a or b"," ",'FP Info 3'!H31)</f>
        <v>47612929.878000006</v>
      </c>
      <c r="I33" s="419"/>
      <c r="J33" s="419"/>
      <c r="K33" s="402"/>
      <c r="L33" s="217"/>
      <c r="M33" s="434" t="s">
        <v>1145</v>
      </c>
      <c r="N33" s="434"/>
      <c r="O33" s="433">
        <f>(O31*O32)</f>
        <v>0.1</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3.5999999999999996</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1956</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E4" sqref="E4"/>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42"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43"/>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44" t="s">
        <v>973</v>
      </c>
      <c r="B3" s="2145"/>
      <c r="C3" s="1491"/>
      <c r="D3" s="1492"/>
      <c r="E3" s="1492"/>
      <c r="F3" s="1492"/>
      <c r="G3" s="1492"/>
      <c r="H3" s="1492"/>
      <c r="I3" s="1492"/>
      <c r="J3" s="1492"/>
      <c r="K3" s="1492"/>
      <c r="L3" s="1492"/>
      <c r="M3" s="1493"/>
      <c r="N3" s="1494"/>
    </row>
    <row r="4" spans="1:14" ht="13.5" customHeight="1">
      <c r="A4" s="462" t="s">
        <v>1636</v>
      </c>
      <c r="B4" s="463"/>
      <c r="C4" s="464">
        <v>4455993</v>
      </c>
      <c r="D4" s="465">
        <v>720590</v>
      </c>
      <c r="E4" s="465">
        <v>4368057</v>
      </c>
      <c r="F4" s="465">
        <v>2328046</v>
      </c>
      <c r="G4" s="465">
        <v>607447</v>
      </c>
      <c r="H4" s="465">
        <v>709408</v>
      </c>
      <c r="I4" s="465">
        <v>10296615</v>
      </c>
      <c r="J4" s="466">
        <v>404141</v>
      </c>
      <c r="K4" s="465"/>
      <c r="L4" s="465">
        <v>114543</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v>12786425</v>
      </c>
      <c r="D6" s="465">
        <v>330411</v>
      </c>
      <c r="E6" s="465">
        <v>3432964</v>
      </c>
      <c r="F6" s="465">
        <v>958</v>
      </c>
      <c r="G6" s="470">
        <v>706082</v>
      </c>
      <c r="H6" s="470"/>
      <c r="I6" s="465">
        <v>958</v>
      </c>
      <c r="J6" s="473">
        <v>271570</v>
      </c>
      <c r="K6" s="470">
        <v>958</v>
      </c>
      <c r="L6" s="474"/>
      <c r="M6" s="467"/>
      <c r="N6" s="468"/>
    </row>
    <row r="7" spans="1:14" ht="13.5" customHeight="1">
      <c r="A7" s="472" t="s">
        <v>418</v>
      </c>
      <c r="B7" s="469">
        <v>140</v>
      </c>
      <c r="C7" s="475"/>
      <c r="D7" s="466"/>
      <c r="E7" s="466"/>
      <c r="F7" s="466"/>
      <c r="G7" s="466"/>
      <c r="H7" s="466"/>
      <c r="I7" s="466">
        <v>4743</v>
      </c>
      <c r="J7" s="466"/>
      <c r="K7" s="466"/>
      <c r="L7" s="476"/>
      <c r="M7" s="467"/>
      <c r="N7" s="468"/>
    </row>
    <row r="8" spans="1:14" ht="13.5" customHeight="1">
      <c r="A8" s="472" t="s">
        <v>269</v>
      </c>
      <c r="B8" s="469">
        <v>150</v>
      </c>
      <c r="C8" s="475">
        <v>870834</v>
      </c>
      <c r="D8" s="466">
        <v>67093</v>
      </c>
      <c r="E8" s="466"/>
      <c r="F8" s="466">
        <v>277357</v>
      </c>
      <c r="G8" s="477">
        <v>1861</v>
      </c>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18113252</v>
      </c>
      <c r="D13" s="1668">
        <f t="shared" ref="D13:L13" si="0">SUM(D4:D12)</f>
        <v>1118094</v>
      </c>
      <c r="E13" s="1668">
        <f t="shared" si="0"/>
        <v>7801021</v>
      </c>
      <c r="F13" s="1668">
        <f t="shared" si="0"/>
        <v>2606361</v>
      </c>
      <c r="G13" s="1668">
        <f t="shared" si="0"/>
        <v>1315390</v>
      </c>
      <c r="H13" s="1668">
        <f t="shared" si="0"/>
        <v>709408</v>
      </c>
      <c r="I13" s="1668">
        <f t="shared" si="0"/>
        <v>10302316</v>
      </c>
      <c r="J13" s="1668">
        <f t="shared" si="0"/>
        <v>675711</v>
      </c>
      <c r="K13" s="1668">
        <f t="shared" si="0"/>
        <v>958</v>
      </c>
      <c r="L13" s="1668">
        <f t="shared" si="0"/>
        <v>114543</v>
      </c>
      <c r="M13" s="467"/>
      <c r="N13" s="468"/>
    </row>
    <row r="14" spans="1:14" ht="18" customHeight="1" thickTop="1">
      <c r="A14" s="2146" t="s">
        <v>147</v>
      </c>
      <c r="B14" s="2147"/>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v>0</v>
      </c>
      <c r="N15" s="483"/>
    </row>
    <row r="16" spans="1:14" s="484" customFormat="1" ht="12.75" customHeight="1">
      <c r="A16" s="481" t="s">
        <v>1393</v>
      </c>
      <c r="B16" s="482">
        <v>220</v>
      </c>
      <c r="C16" s="476"/>
      <c r="D16" s="476"/>
      <c r="E16" s="476"/>
      <c r="F16" s="476"/>
      <c r="G16" s="476"/>
      <c r="H16" s="476"/>
      <c r="I16" s="476"/>
      <c r="J16" s="476"/>
      <c r="K16" s="476"/>
      <c r="L16" s="476"/>
      <c r="M16" s="466">
        <v>4755000</v>
      </c>
      <c r="N16" s="483"/>
    </row>
    <row r="17" spans="1:14" s="484" customFormat="1" ht="12.75" customHeight="1">
      <c r="A17" s="481" t="s">
        <v>1394</v>
      </c>
      <c r="B17" s="482">
        <v>230</v>
      </c>
      <c r="C17" s="476"/>
      <c r="D17" s="476"/>
      <c r="E17" s="476"/>
      <c r="F17" s="476"/>
      <c r="G17" s="476"/>
      <c r="H17" s="476"/>
      <c r="I17" s="476"/>
      <c r="J17" s="476"/>
      <c r="K17" s="476"/>
      <c r="L17" s="476"/>
      <c r="M17" s="466">
        <v>32311006</v>
      </c>
      <c r="N17" s="483"/>
    </row>
    <row r="18" spans="1:14" s="484" customFormat="1" ht="12.75" customHeight="1">
      <c r="A18" s="481" t="s">
        <v>1395</v>
      </c>
      <c r="B18" s="482">
        <v>240</v>
      </c>
      <c r="C18" s="476"/>
      <c r="D18" s="476"/>
      <c r="E18" s="476"/>
      <c r="F18" s="476"/>
      <c r="G18" s="476"/>
      <c r="H18" s="476"/>
      <c r="I18" s="476"/>
      <c r="J18" s="476"/>
      <c r="K18" s="476"/>
      <c r="L18" s="476"/>
      <c r="M18" s="466">
        <v>779545</v>
      </c>
      <c r="N18" s="483"/>
    </row>
    <row r="19" spans="1:14" s="484" customFormat="1" ht="12.75" customHeight="1">
      <c r="A19" s="481" t="s">
        <v>1396</v>
      </c>
      <c r="B19" s="482">
        <v>250</v>
      </c>
      <c r="C19" s="476"/>
      <c r="D19" s="476"/>
      <c r="E19" s="476"/>
      <c r="F19" s="476"/>
      <c r="G19" s="476"/>
      <c r="H19" s="476"/>
      <c r="I19" s="476"/>
      <c r="J19" s="476"/>
      <c r="K19" s="476"/>
      <c r="L19" s="476"/>
      <c r="M19" s="466">
        <v>1508660</v>
      </c>
      <c r="N19" s="483"/>
    </row>
    <row r="20" spans="1:14" s="484" customFormat="1" ht="12.75" customHeight="1">
      <c r="A20" s="481" t="s">
        <v>1397</v>
      </c>
      <c r="B20" s="482">
        <v>260</v>
      </c>
      <c r="C20" s="476"/>
      <c r="D20" s="476"/>
      <c r="E20" s="476"/>
      <c r="F20" s="476"/>
      <c r="G20" s="476"/>
      <c r="H20" s="476"/>
      <c r="I20" s="476"/>
      <c r="J20" s="476"/>
      <c r="K20" s="476"/>
      <c r="L20" s="476"/>
      <c r="M20" s="466"/>
      <c r="N20" s="483"/>
    </row>
    <row r="21" spans="1:14" s="484" customFormat="1" ht="12.75" customHeight="1">
      <c r="A21" s="481" t="s">
        <v>1398</v>
      </c>
      <c r="B21" s="482">
        <v>340</v>
      </c>
      <c r="C21" s="476"/>
      <c r="D21" s="476"/>
      <c r="E21" s="476"/>
      <c r="F21" s="476"/>
      <c r="G21" s="476"/>
      <c r="H21" s="476"/>
      <c r="I21" s="476"/>
      <c r="J21" s="476"/>
      <c r="K21" s="476"/>
      <c r="L21" s="476"/>
      <c r="M21" s="485"/>
      <c r="N21" s="466">
        <f>E39</f>
        <v>4316407</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37515414</v>
      </c>
    </row>
    <row r="23" spans="1:14" ht="13.5" customHeight="1" thickBot="1">
      <c r="A23" s="1667" t="s">
        <v>643</v>
      </c>
      <c r="B23" s="1672"/>
      <c r="C23" s="467"/>
      <c r="D23" s="467"/>
      <c r="E23" s="467"/>
      <c r="F23" s="467"/>
      <c r="G23" s="467"/>
      <c r="H23" s="467"/>
      <c r="I23" s="467"/>
      <c r="J23" s="467"/>
      <c r="K23" s="467"/>
      <c r="L23" s="467"/>
      <c r="M23" s="1619">
        <f>SUM(M15:M22)</f>
        <v>39354211</v>
      </c>
      <c r="N23" s="1619">
        <f>SUM(N21:N22)</f>
        <v>41831821</v>
      </c>
    </row>
    <row r="24" spans="1:14" ht="18" customHeight="1" thickTop="1">
      <c r="A24" s="2148" t="s">
        <v>598</v>
      </c>
      <c r="B24" s="2149"/>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v>4743</v>
      </c>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v>156713</v>
      </c>
      <c r="D27" s="466">
        <v>59028</v>
      </c>
      <c r="E27" s="466"/>
      <c r="F27" s="466">
        <v>97424</v>
      </c>
      <c r="G27" s="466"/>
      <c r="H27" s="466"/>
      <c r="I27" s="466"/>
      <c r="J27" s="466">
        <v>5044</v>
      </c>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v>3053268</v>
      </c>
      <c r="D30" s="473">
        <v>6329</v>
      </c>
      <c r="E30" s="466"/>
      <c r="F30" s="466">
        <v>37</v>
      </c>
      <c r="G30" s="466"/>
      <c r="H30" s="466"/>
      <c r="I30" s="466"/>
      <c r="J30" s="466"/>
      <c r="K30" s="477"/>
      <c r="L30" s="467"/>
      <c r="M30" s="467"/>
      <c r="N30" s="467"/>
    </row>
    <row r="31" spans="1:14" ht="13.5" customHeight="1">
      <c r="A31" s="472" t="s">
        <v>651</v>
      </c>
      <c r="B31" s="469">
        <v>480</v>
      </c>
      <c r="C31" s="465"/>
      <c r="D31" s="466"/>
      <c r="E31" s="466"/>
      <c r="F31" s="465"/>
      <c r="G31" s="466"/>
      <c r="H31" s="466"/>
      <c r="I31" s="466"/>
      <c r="J31" s="466"/>
      <c r="K31" s="466"/>
      <c r="L31" s="467"/>
      <c r="M31" s="467"/>
      <c r="N31" s="467"/>
    </row>
    <row r="32" spans="1:14" ht="13.5" customHeight="1">
      <c r="A32" s="489" t="s">
        <v>652</v>
      </c>
      <c r="B32" s="490">
        <v>490</v>
      </c>
      <c r="C32" s="491">
        <v>13022316</v>
      </c>
      <c r="D32" s="491">
        <v>335382</v>
      </c>
      <c r="E32" s="473">
        <v>3484614</v>
      </c>
      <c r="F32" s="473">
        <v>972</v>
      </c>
      <c r="G32" s="473">
        <v>716706</v>
      </c>
      <c r="H32" s="473"/>
      <c r="I32" s="473">
        <v>972</v>
      </c>
      <c r="J32" s="473">
        <v>275656</v>
      </c>
      <c r="K32" s="478">
        <v>972</v>
      </c>
      <c r="L32" s="467"/>
      <c r="M32" s="467"/>
      <c r="N32" s="467"/>
    </row>
    <row r="33" spans="1:14" ht="13.5" customHeight="1">
      <c r="A33" s="492" t="s">
        <v>303</v>
      </c>
      <c r="B33" s="490">
        <v>493</v>
      </c>
      <c r="C33" s="466"/>
      <c r="D33" s="466"/>
      <c r="E33" s="466"/>
      <c r="F33" s="466"/>
      <c r="G33" s="466"/>
      <c r="H33" s="466"/>
      <c r="I33" s="466"/>
      <c r="J33" s="466"/>
      <c r="K33" s="466"/>
      <c r="L33" s="466">
        <v>114543</v>
      </c>
      <c r="M33" s="467"/>
      <c r="N33" s="468"/>
    </row>
    <row r="34" spans="1:14" ht="13.5" customHeight="1" thickBot="1">
      <c r="A34" s="1669" t="s">
        <v>654</v>
      </c>
      <c r="B34" s="1670"/>
      <c r="C34" s="1671">
        <f>SUM(C25:C33)</f>
        <v>16232297</v>
      </c>
      <c r="D34" s="1671">
        <f t="shared" ref="D34:K34" si="1">SUM(D25:D33)</f>
        <v>400739</v>
      </c>
      <c r="E34" s="1671">
        <f t="shared" si="1"/>
        <v>3484614</v>
      </c>
      <c r="F34" s="1671">
        <f t="shared" si="1"/>
        <v>98433</v>
      </c>
      <c r="G34" s="1671">
        <f t="shared" si="1"/>
        <v>716706</v>
      </c>
      <c r="H34" s="1671">
        <f t="shared" si="1"/>
        <v>0</v>
      </c>
      <c r="I34" s="1671">
        <f t="shared" si="1"/>
        <v>972</v>
      </c>
      <c r="J34" s="1671">
        <f t="shared" si="1"/>
        <v>280700</v>
      </c>
      <c r="K34" s="1671">
        <f t="shared" si="1"/>
        <v>5715</v>
      </c>
      <c r="L34" s="1652">
        <f>SUM(L33)</f>
        <v>114543</v>
      </c>
      <c r="M34" s="467"/>
      <c r="N34" s="479"/>
    </row>
    <row r="35" spans="1:14" ht="18" customHeight="1" thickTop="1">
      <c r="A35" s="2150" t="s">
        <v>529</v>
      </c>
      <c r="B35" s="2151"/>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41831821</v>
      </c>
    </row>
    <row r="37" spans="1:14" ht="13.5" thickBot="1">
      <c r="A37" s="1667" t="s">
        <v>653</v>
      </c>
      <c r="B37" s="1672"/>
      <c r="C37" s="476"/>
      <c r="D37" s="476"/>
      <c r="E37" s="476"/>
      <c r="F37" s="476"/>
      <c r="G37" s="476"/>
      <c r="H37" s="476"/>
      <c r="I37" s="476"/>
      <c r="J37" s="476"/>
      <c r="K37" s="476"/>
      <c r="L37" s="479"/>
      <c r="M37" s="467"/>
      <c r="N37" s="1619">
        <f>SUM(N36:N36)</f>
        <v>41831821</v>
      </c>
    </row>
    <row r="38" spans="1:14" s="328" customFormat="1" ht="13.5" customHeight="1" thickTop="1">
      <c r="A38" s="495" t="s">
        <v>420</v>
      </c>
      <c r="B38" s="482">
        <v>714</v>
      </c>
      <c r="C38" s="465"/>
      <c r="D38" s="465"/>
      <c r="E38" s="465"/>
      <c r="F38" s="465">
        <f>'Acct Summary 7-8'!F81</f>
        <v>2507928</v>
      </c>
      <c r="G38" s="465"/>
      <c r="H38" s="465">
        <f>'Acct Summary 7-8'!H81</f>
        <v>709408</v>
      </c>
      <c r="I38" s="465"/>
      <c r="J38" s="466"/>
      <c r="K38" s="465">
        <f>'Acct Summary 7-8'!K81</f>
        <v>-4757</v>
      </c>
      <c r="L38" s="480"/>
      <c r="M38" s="496"/>
      <c r="N38" s="496"/>
    </row>
    <row r="39" spans="1:14" s="328" customFormat="1" ht="13.5" customHeight="1">
      <c r="A39" s="495" t="s">
        <v>342</v>
      </c>
      <c r="B39" s="482">
        <v>730</v>
      </c>
      <c r="C39" s="465">
        <f>'Acct Summary 7-8'!C81</f>
        <v>1880955</v>
      </c>
      <c r="D39" s="465">
        <f>'Acct Summary 7-8'!D81</f>
        <v>717355</v>
      </c>
      <c r="E39" s="465">
        <f>'Acct Summary 7-8'!E81</f>
        <v>4316407</v>
      </c>
      <c r="F39" s="465"/>
      <c r="G39" s="465">
        <f>'Acct Summary 7-8'!G81</f>
        <v>598684</v>
      </c>
      <c r="H39" s="465"/>
      <c r="I39" s="465">
        <f>'Acct Summary 7-8'!I81</f>
        <v>10301344</v>
      </c>
      <c r="J39" s="466">
        <f>'Acct Summary 7-8'!J81</f>
        <v>395011</v>
      </c>
      <c r="K39" s="465"/>
      <c r="L39" s="465"/>
      <c r="M39" s="496"/>
      <c r="N39" s="496"/>
    </row>
    <row r="40" spans="1:14" s="328" customFormat="1" ht="13.5" customHeight="1">
      <c r="A40" s="497" t="s">
        <v>148</v>
      </c>
      <c r="B40" s="498"/>
      <c r="C40" s="499"/>
      <c r="D40" s="499"/>
      <c r="E40" s="499"/>
      <c r="F40" s="499"/>
      <c r="G40" s="499"/>
      <c r="H40" s="499"/>
      <c r="I40" s="499"/>
      <c r="J40" s="499"/>
      <c r="K40" s="499"/>
      <c r="L40" s="499"/>
      <c r="M40" s="466">
        <v>39354211</v>
      </c>
      <c r="N40" s="496"/>
    </row>
    <row r="41" spans="1:14" ht="13.5" customHeight="1" thickBot="1">
      <c r="A41" s="1667" t="s">
        <v>655</v>
      </c>
      <c r="B41" s="1637"/>
      <c r="C41" s="1619">
        <f>(SUM(C34,C37,C38,C39))</f>
        <v>18113252</v>
      </c>
      <c r="D41" s="1619">
        <f t="shared" ref="D41:L41" si="2">SUM(D34,D37,D38:D39)</f>
        <v>1118094</v>
      </c>
      <c r="E41" s="1619">
        <f t="shared" si="2"/>
        <v>7801021</v>
      </c>
      <c r="F41" s="1619">
        <f t="shared" si="2"/>
        <v>2606361</v>
      </c>
      <c r="G41" s="1619">
        <f t="shared" si="2"/>
        <v>1315390</v>
      </c>
      <c r="H41" s="1619">
        <f t="shared" si="2"/>
        <v>709408</v>
      </c>
      <c r="I41" s="1619">
        <f t="shared" si="2"/>
        <v>10302316</v>
      </c>
      <c r="J41" s="1619">
        <f t="shared" si="2"/>
        <v>675711</v>
      </c>
      <c r="K41" s="1619">
        <f t="shared" si="2"/>
        <v>958</v>
      </c>
      <c r="L41" s="1619">
        <f t="shared" si="2"/>
        <v>114543</v>
      </c>
      <c r="M41" s="1619">
        <f>SUM(M40)</f>
        <v>39354211</v>
      </c>
      <c r="N41" s="1619">
        <f>SUM(N37)</f>
        <v>41831821</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6" sqref="C6"/>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60"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61"/>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72" t="s">
        <v>1175</v>
      </c>
      <c r="B3" s="2173"/>
      <c r="C3" s="1505"/>
      <c r="D3" s="1506"/>
      <c r="E3" s="1506"/>
      <c r="F3" s="1506"/>
      <c r="G3" s="1506"/>
      <c r="H3" s="1506"/>
      <c r="I3" s="1506"/>
      <c r="J3" s="1506"/>
      <c r="K3" s="1507"/>
      <c r="L3" s="505"/>
    </row>
    <row r="4" spans="1:13" ht="15.75" customHeight="1">
      <c r="A4" s="1859" t="s">
        <v>1490</v>
      </c>
      <c r="B4" s="1860">
        <v>1000</v>
      </c>
      <c r="C4" s="1673">
        <f>'Revenues 9-14'!C109</f>
        <v>27516713</v>
      </c>
      <c r="D4" s="1673">
        <f>'Revenues 9-14'!D109</f>
        <v>2176474</v>
      </c>
      <c r="E4" s="1673">
        <f>'Revenues 9-14'!E109</f>
        <v>7297644</v>
      </c>
      <c r="F4" s="1673">
        <f>'Revenues 9-14'!F109</f>
        <v>39447</v>
      </c>
      <c r="G4" s="1673">
        <f>'Revenues 9-14'!G109</f>
        <v>1499748</v>
      </c>
      <c r="H4" s="1673">
        <f>'Revenues 9-14'!H109</f>
        <v>22095</v>
      </c>
      <c r="I4" s="1673">
        <f>'Revenues 9-14'!I109</f>
        <v>350136</v>
      </c>
      <c r="J4" s="1673">
        <f>'Revenues 9-14'!J109</f>
        <v>609340</v>
      </c>
      <c r="K4" s="1673">
        <f>'Revenues 9-14'!K109</f>
        <v>970</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6975876</v>
      </c>
      <c r="D6" s="1674">
        <f>'Revenues 9-14'!D170</f>
        <v>0</v>
      </c>
      <c r="E6" s="1674">
        <f>'Revenues 9-14'!E170</f>
        <v>0</v>
      </c>
      <c r="F6" s="1674">
        <f>'Revenues 9-14'!F170</f>
        <v>1372721</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2468309</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36960898</v>
      </c>
      <c r="D8" s="1619">
        <f t="shared" ref="D8:K8" si="0">SUM(D4:D7)</f>
        <v>2176474</v>
      </c>
      <c r="E8" s="1619">
        <f t="shared" si="0"/>
        <v>7297644</v>
      </c>
      <c r="F8" s="1619">
        <f t="shared" si="0"/>
        <v>1412168</v>
      </c>
      <c r="G8" s="1619">
        <f t="shared" si="0"/>
        <v>1499748</v>
      </c>
      <c r="H8" s="1619">
        <f t="shared" si="0"/>
        <v>22095</v>
      </c>
      <c r="I8" s="1619">
        <f t="shared" si="0"/>
        <v>350136</v>
      </c>
      <c r="J8" s="1619">
        <f t="shared" si="0"/>
        <v>609340</v>
      </c>
      <c r="K8" s="1619">
        <f t="shared" si="0"/>
        <v>970</v>
      </c>
      <c r="L8" s="346"/>
    </row>
    <row r="9" spans="1:13" ht="15.75" thickTop="1">
      <c r="A9" s="513" t="s">
        <v>1638</v>
      </c>
      <c r="B9" s="514">
        <v>3998</v>
      </c>
      <c r="C9" s="480">
        <f>9128659+270954</f>
        <v>9399613</v>
      </c>
      <c r="D9" s="515"/>
      <c r="E9" s="480"/>
      <c r="F9" s="480"/>
      <c r="G9" s="516"/>
      <c r="H9" s="480"/>
      <c r="I9" s="508" t="s">
        <v>1169</v>
      </c>
      <c r="J9" s="477"/>
      <c r="K9" s="480"/>
      <c r="L9" s="346"/>
    </row>
    <row r="10" spans="1:13" s="518" customFormat="1" ht="13.5" thickBot="1">
      <c r="A10" s="1667" t="s">
        <v>1173</v>
      </c>
      <c r="B10" s="1640"/>
      <c r="C10" s="1619">
        <f>SUM(C8:C9)</f>
        <v>46360511</v>
      </c>
      <c r="D10" s="1619">
        <f t="shared" ref="D10:K10" si="1">SUM(D8:D9)</f>
        <v>2176474</v>
      </c>
      <c r="E10" s="1619">
        <f t="shared" si="1"/>
        <v>7297644</v>
      </c>
      <c r="F10" s="1619">
        <f t="shared" si="1"/>
        <v>1412168</v>
      </c>
      <c r="G10" s="1619">
        <f t="shared" si="1"/>
        <v>1499748</v>
      </c>
      <c r="H10" s="1619">
        <f t="shared" si="1"/>
        <v>22095</v>
      </c>
      <c r="I10" s="1619">
        <f t="shared" si="1"/>
        <v>350136</v>
      </c>
      <c r="J10" s="1619">
        <f t="shared" si="1"/>
        <v>609340</v>
      </c>
      <c r="K10" s="1619">
        <f t="shared" si="1"/>
        <v>970</v>
      </c>
      <c r="L10" s="517"/>
    </row>
    <row r="11" spans="1:13" s="518" customFormat="1" ht="16.7" customHeight="1" thickTop="1">
      <c r="A11" s="2146" t="s">
        <v>1176</v>
      </c>
      <c r="B11" s="2147"/>
      <c r="C11" s="1502"/>
      <c r="D11" s="1503"/>
      <c r="E11" s="1503"/>
      <c r="F11" s="1503"/>
      <c r="G11" s="1503"/>
      <c r="H11" s="1503"/>
      <c r="I11" s="1503"/>
      <c r="J11" s="1503"/>
      <c r="K11" s="1504"/>
      <c r="L11" s="517"/>
    </row>
    <row r="12" spans="1:13" ht="15.75" customHeight="1">
      <c r="A12" s="1508" t="s">
        <v>456</v>
      </c>
      <c r="B12" s="1510">
        <v>1000</v>
      </c>
      <c r="C12" s="1673">
        <f>'Expenditures 15-22'!K33</f>
        <v>23566565</v>
      </c>
      <c r="D12" s="519" t="s">
        <v>1169</v>
      </c>
      <c r="E12" s="467" t="s">
        <v>1169</v>
      </c>
      <c r="F12" s="467" t="s">
        <v>1169</v>
      </c>
      <c r="G12" s="1673">
        <f>'Expenditures 15-22'!K229</f>
        <v>473423</v>
      </c>
      <c r="H12" s="520"/>
      <c r="I12" s="467" t="s">
        <v>1169</v>
      </c>
      <c r="J12" s="467" t="s">
        <v>1169</v>
      </c>
      <c r="K12" s="520" t="s">
        <v>1169</v>
      </c>
      <c r="L12" s="346"/>
    </row>
    <row r="13" spans="1:13" ht="15.75" customHeight="1">
      <c r="A13" s="1508" t="s">
        <v>457</v>
      </c>
      <c r="B13" s="1510">
        <v>2000</v>
      </c>
      <c r="C13" s="1674">
        <f>'Expenditures 15-22'!K74</f>
        <v>8962802</v>
      </c>
      <c r="D13" s="1674">
        <f>'Expenditures 15-22'!K129</f>
        <v>3192482</v>
      </c>
      <c r="E13" s="468" t="s">
        <v>1169</v>
      </c>
      <c r="F13" s="1674">
        <f>'Expenditures 15-22'!K184</f>
        <v>2061221</v>
      </c>
      <c r="G13" s="1674">
        <f>'Expenditures 15-22'!K279</f>
        <v>631527</v>
      </c>
      <c r="H13" s="1674">
        <f>'Expenditures 15-22'!K303</f>
        <v>0</v>
      </c>
      <c r="I13" s="467" t="s">
        <v>1169</v>
      </c>
      <c r="J13" s="1674">
        <f>'Expenditures 15-22'!K330</f>
        <v>367179</v>
      </c>
      <c r="K13" s="1678">
        <f>'Expenditures 15-22'!K352</f>
        <v>0</v>
      </c>
      <c r="L13" s="346"/>
    </row>
    <row r="14" spans="1:13" ht="15.75" customHeight="1">
      <c r="A14" s="1508" t="s">
        <v>449</v>
      </c>
      <c r="B14" s="1510">
        <v>3000</v>
      </c>
      <c r="C14" s="1674">
        <f>'Expenditures 15-22'!K75</f>
        <v>97065</v>
      </c>
      <c r="D14" s="1674">
        <f>'Expenditures 15-22'!K130</f>
        <v>0</v>
      </c>
      <c r="E14" s="519" t="s">
        <v>1169</v>
      </c>
      <c r="F14" s="1674">
        <f>'Expenditures 15-22'!K185</f>
        <v>0</v>
      </c>
      <c r="G14" s="1674">
        <f>'Expenditures 15-22'!K280</f>
        <v>2522</v>
      </c>
      <c r="H14" s="511"/>
      <c r="I14" s="467" t="s">
        <v>1169</v>
      </c>
      <c r="J14" s="467" t="s">
        <v>1169</v>
      </c>
      <c r="K14" s="511" t="s">
        <v>1169</v>
      </c>
      <c r="L14" s="346"/>
    </row>
    <row r="15" spans="1:13" ht="15.75" customHeight="1">
      <c r="A15" s="1508" t="s">
        <v>107</v>
      </c>
      <c r="B15" s="1510">
        <v>4000</v>
      </c>
      <c r="C15" s="1674">
        <f>'Expenditures 15-22'!K102</f>
        <v>1628895</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176472</v>
      </c>
      <c r="D16" s="1674">
        <f>'Expenditures 15-22'!K149</f>
        <v>123745</v>
      </c>
      <c r="E16" s="1674">
        <f>'Expenditures 15-22'!K172</f>
        <v>6928319</v>
      </c>
      <c r="F16" s="1674">
        <f>'Expenditures 15-22'!K208</f>
        <v>0</v>
      </c>
      <c r="G16" s="1674">
        <f>'Expenditures 15-22'!K293</f>
        <v>0</v>
      </c>
      <c r="H16" s="522"/>
      <c r="I16" s="467" t="s">
        <v>1169</v>
      </c>
      <c r="J16" s="1679">
        <f>'Expenditures 15-22'!K340</f>
        <v>0</v>
      </c>
      <c r="K16" s="1674">
        <f>'Expenditures 15-22'!K365</f>
        <v>23</v>
      </c>
      <c r="L16" s="346"/>
    </row>
    <row r="17" spans="1:12" ht="13.5" thickBot="1">
      <c r="A17" s="1639" t="s">
        <v>48</v>
      </c>
      <c r="B17" s="1640"/>
      <c r="C17" s="1619">
        <f t="shared" ref="C17:H17" si="2">SUM(C12:C16)</f>
        <v>34431799</v>
      </c>
      <c r="D17" s="1619">
        <f t="shared" si="2"/>
        <v>3316227</v>
      </c>
      <c r="E17" s="1619">
        <f t="shared" si="2"/>
        <v>6928319</v>
      </c>
      <c r="F17" s="1619">
        <f t="shared" si="2"/>
        <v>2061221</v>
      </c>
      <c r="G17" s="1619">
        <f t="shared" si="2"/>
        <v>1107472</v>
      </c>
      <c r="H17" s="1619">
        <f t="shared" si="2"/>
        <v>0</v>
      </c>
      <c r="I17" s="467"/>
      <c r="J17" s="1619">
        <f>SUM(J12:J16)</f>
        <v>367179</v>
      </c>
      <c r="K17" s="1619">
        <f>SUM(K12:K16)</f>
        <v>23</v>
      </c>
      <c r="L17" s="346"/>
    </row>
    <row r="18" spans="1:12" ht="15" customHeight="1" thickTop="1">
      <c r="A18" s="1675" t="s">
        <v>1639</v>
      </c>
      <c r="B18" s="1676">
        <v>4180</v>
      </c>
      <c r="C18" s="1673">
        <f t="shared" ref="C18:H18" si="3">C9</f>
        <v>9399613</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43831412</v>
      </c>
      <c r="D19" s="1619">
        <f t="shared" si="4"/>
        <v>3316227</v>
      </c>
      <c r="E19" s="1619">
        <f t="shared" si="4"/>
        <v>6928319</v>
      </c>
      <c r="F19" s="1619">
        <f t="shared" si="4"/>
        <v>2061221</v>
      </c>
      <c r="G19" s="1619">
        <f t="shared" si="4"/>
        <v>1107472</v>
      </c>
      <c r="H19" s="1619">
        <f t="shared" si="4"/>
        <v>0</v>
      </c>
      <c r="I19" s="467"/>
      <c r="J19" s="1619">
        <f>SUM(J17:J18)</f>
        <v>367179</v>
      </c>
      <c r="K19" s="1619">
        <f>SUM(K17:K18)</f>
        <v>23</v>
      </c>
      <c r="L19" s="346"/>
    </row>
    <row r="20" spans="1:12" ht="16.5" thickTop="1" thickBot="1">
      <c r="A20" s="2162" t="s">
        <v>1640</v>
      </c>
      <c r="B20" s="2163"/>
      <c r="C20" s="1677">
        <f>C8-C17</f>
        <v>2529099</v>
      </c>
      <c r="D20" s="1677">
        <f t="shared" ref="D20:K20" si="5">D8-D17</f>
        <v>-1139753</v>
      </c>
      <c r="E20" s="1677">
        <f t="shared" si="5"/>
        <v>369325</v>
      </c>
      <c r="F20" s="1677">
        <f t="shared" si="5"/>
        <v>-649053</v>
      </c>
      <c r="G20" s="1677">
        <f t="shared" si="5"/>
        <v>392276</v>
      </c>
      <c r="H20" s="1677">
        <f t="shared" si="5"/>
        <v>22095</v>
      </c>
      <c r="I20" s="1677">
        <f t="shared" si="5"/>
        <v>350136</v>
      </c>
      <c r="J20" s="1677">
        <f t="shared" si="5"/>
        <v>242161</v>
      </c>
      <c r="K20" s="1677">
        <f t="shared" si="5"/>
        <v>947</v>
      </c>
      <c r="L20" s="346"/>
    </row>
    <row r="21" spans="1:12" ht="16.7" customHeight="1" thickTop="1">
      <c r="A21" s="2174" t="s">
        <v>595</v>
      </c>
      <c r="B21" s="2175"/>
      <c r="C21" s="1502"/>
      <c r="D21" s="1503"/>
      <c r="E21" s="1503"/>
      <c r="F21" s="1503"/>
      <c r="G21" s="1503"/>
      <c r="H21" s="1503"/>
      <c r="I21" s="1503"/>
      <c r="J21" s="1503"/>
      <c r="K21" s="1504"/>
      <c r="L21" s="523"/>
    </row>
    <row r="22" spans="1:12" ht="15.75" customHeight="1" collapsed="1">
      <c r="A22" s="2170" t="s">
        <v>596</v>
      </c>
      <c r="B22" s="2171"/>
      <c r="C22" s="476"/>
      <c r="D22" s="476"/>
      <c r="E22" s="476"/>
      <c r="F22" s="476"/>
      <c r="G22" s="476"/>
      <c r="H22" s="476"/>
      <c r="I22" s="476"/>
      <c r="J22" s="476"/>
      <c r="K22" s="476"/>
      <c r="L22" s="346"/>
    </row>
    <row r="23" spans="1:12" s="484" customFormat="1" ht="15.75" customHeight="1">
      <c r="A23" s="2166" t="s">
        <v>293</v>
      </c>
      <c r="B23" s="2167"/>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c r="D25" s="466"/>
      <c r="E25" s="466"/>
      <c r="F25" s="466"/>
      <c r="G25" s="466"/>
      <c r="H25" s="466"/>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1389</v>
      </c>
      <c r="B28" s="482">
        <v>7140</v>
      </c>
      <c r="C28" s="466"/>
      <c r="D28" s="466"/>
      <c r="E28" s="466"/>
      <c r="F28" s="466"/>
      <c r="G28" s="466"/>
      <c r="H28" s="466">
        <v>100000</v>
      </c>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68" t="s">
        <v>981</v>
      </c>
      <c r="B32" s="2169"/>
      <c r="C32" s="476"/>
      <c r="D32" s="476"/>
      <c r="E32" s="474"/>
      <c r="F32" s="476"/>
      <c r="G32" s="476"/>
      <c r="H32" s="476"/>
      <c r="I32" s="476"/>
      <c r="J32" s="476"/>
      <c r="K32" s="476"/>
      <c r="L32" s="523"/>
    </row>
    <row r="33" spans="1:12" s="484" customFormat="1">
      <c r="A33" s="1421" t="s">
        <v>412</v>
      </c>
      <c r="B33" s="524">
        <v>7210</v>
      </c>
      <c r="C33" s="466"/>
      <c r="D33" s="466"/>
      <c r="E33" s="466"/>
      <c r="F33" s="466"/>
      <c r="G33" s="476"/>
      <c r="H33" s="466"/>
      <c r="I33" s="466"/>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76" t="s">
        <v>374</v>
      </c>
      <c r="B44" s="2177"/>
      <c r="C44" s="1634">
        <f>SUM(C24:C43)</f>
        <v>0</v>
      </c>
      <c r="D44" s="1634">
        <f t="shared" ref="D44:K44" si="6">SUM(D24:D43)</f>
        <v>0</v>
      </c>
      <c r="E44" s="1634">
        <f t="shared" si="6"/>
        <v>0</v>
      </c>
      <c r="F44" s="1634">
        <f t="shared" si="6"/>
        <v>0</v>
      </c>
      <c r="G44" s="1634">
        <f t="shared" si="6"/>
        <v>0</v>
      </c>
      <c r="H44" s="1634">
        <f t="shared" si="6"/>
        <v>100000</v>
      </c>
      <c r="I44" s="1634">
        <f t="shared" si="6"/>
        <v>0</v>
      </c>
      <c r="J44" s="1634">
        <f t="shared" si="6"/>
        <v>0</v>
      </c>
      <c r="K44" s="1634">
        <f t="shared" si="6"/>
        <v>0</v>
      </c>
      <c r="L44" s="523"/>
    </row>
    <row r="45" spans="1:12" ht="15.75" customHeight="1" thickTop="1">
      <c r="A45" s="2170" t="s">
        <v>108</v>
      </c>
      <c r="B45" s="2171"/>
      <c r="C45" s="527"/>
      <c r="D45" s="527"/>
      <c r="E45" s="527"/>
      <c r="F45" s="527"/>
      <c r="G45" s="527"/>
      <c r="H45" s="527"/>
      <c r="I45" s="527"/>
      <c r="J45" s="527"/>
      <c r="K45" s="527"/>
      <c r="L45" s="346"/>
    </row>
    <row r="46" spans="1:12" s="484" customFormat="1" ht="15.75" customHeight="1">
      <c r="A46" s="2178" t="s">
        <v>109</v>
      </c>
      <c r="B46" s="2179"/>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0</v>
      </c>
      <c r="J47" s="476"/>
      <c r="K47" s="476"/>
      <c r="L47" s="528"/>
    </row>
    <row r="48" spans="1:12" s="484" customFormat="1" ht="15">
      <c r="A48" s="1422" t="s">
        <v>1645</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v>100000</v>
      </c>
      <c r="E50" s="466"/>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52" t="s">
        <v>440</v>
      </c>
      <c r="B76" s="2153"/>
      <c r="C76" s="1634">
        <f t="shared" ref="C76:K76" si="7">SUM(C47:C75)</f>
        <v>0</v>
      </c>
      <c r="D76" s="1634">
        <f t="shared" si="7"/>
        <v>100000</v>
      </c>
      <c r="E76" s="1634">
        <f t="shared" si="7"/>
        <v>0</v>
      </c>
      <c r="F76" s="1634">
        <f t="shared" si="7"/>
        <v>0</v>
      </c>
      <c r="G76" s="1634">
        <f t="shared" si="7"/>
        <v>0</v>
      </c>
      <c r="H76" s="1634">
        <f t="shared" si="7"/>
        <v>0</v>
      </c>
      <c r="I76" s="1634">
        <f t="shared" si="7"/>
        <v>0</v>
      </c>
      <c r="J76" s="1634">
        <f t="shared" si="7"/>
        <v>0</v>
      </c>
      <c r="K76" s="1634">
        <f t="shared" si="7"/>
        <v>0</v>
      </c>
      <c r="L76" s="523"/>
    </row>
    <row r="77" spans="1:12" ht="14.25" thickTop="1" thickBot="1">
      <c r="A77" s="2154" t="s">
        <v>1177</v>
      </c>
      <c r="B77" s="2155"/>
      <c r="C77" s="1634">
        <f t="shared" ref="C77:K77" si="8">C44-C76</f>
        <v>0</v>
      </c>
      <c r="D77" s="1634">
        <f t="shared" si="8"/>
        <v>-100000</v>
      </c>
      <c r="E77" s="1634">
        <f t="shared" si="8"/>
        <v>0</v>
      </c>
      <c r="F77" s="1634">
        <f t="shared" si="8"/>
        <v>0</v>
      </c>
      <c r="G77" s="1634">
        <f t="shared" si="8"/>
        <v>0</v>
      </c>
      <c r="H77" s="1634">
        <f t="shared" si="8"/>
        <v>100000</v>
      </c>
      <c r="I77" s="1634">
        <f t="shared" si="8"/>
        <v>0</v>
      </c>
      <c r="J77" s="1634">
        <f t="shared" si="8"/>
        <v>0</v>
      </c>
      <c r="K77" s="1634">
        <f t="shared" si="8"/>
        <v>0</v>
      </c>
      <c r="L77" s="346"/>
    </row>
    <row r="78" spans="1:12" ht="21.75" customHeight="1" thickTop="1" thickBot="1">
      <c r="A78" s="2158" t="s">
        <v>597</v>
      </c>
      <c r="B78" s="2159"/>
      <c r="C78" s="1633">
        <f t="shared" ref="C78:K78" si="9">C20+C77</f>
        <v>2529099</v>
      </c>
      <c r="D78" s="1633">
        <f t="shared" si="9"/>
        <v>-1239753</v>
      </c>
      <c r="E78" s="1633">
        <f t="shared" si="9"/>
        <v>369325</v>
      </c>
      <c r="F78" s="1633">
        <f t="shared" si="9"/>
        <v>-649053</v>
      </c>
      <c r="G78" s="1633">
        <f t="shared" si="9"/>
        <v>392276</v>
      </c>
      <c r="H78" s="1633">
        <f t="shared" si="9"/>
        <v>122095</v>
      </c>
      <c r="I78" s="1633">
        <f t="shared" si="9"/>
        <v>350136</v>
      </c>
      <c r="J78" s="1633">
        <f t="shared" si="9"/>
        <v>242161</v>
      </c>
      <c r="K78" s="1633">
        <f t="shared" si="9"/>
        <v>947</v>
      </c>
      <c r="L78" s="532"/>
    </row>
    <row r="79" spans="1:12" ht="13.5" thickTop="1">
      <c r="A79" s="1426" t="s">
        <v>1919</v>
      </c>
      <c r="B79" s="533"/>
      <c r="C79" s="477">
        <v>-648144</v>
      </c>
      <c r="D79" s="534">
        <v>1957108</v>
      </c>
      <c r="E79" s="534">
        <v>3947082</v>
      </c>
      <c r="F79" s="534">
        <v>3156981</v>
      </c>
      <c r="G79" s="534">
        <v>206408</v>
      </c>
      <c r="H79" s="534">
        <v>587313</v>
      </c>
      <c r="I79" s="534">
        <v>9951208</v>
      </c>
      <c r="J79" s="534">
        <v>152850</v>
      </c>
      <c r="K79" s="534">
        <v>-5704</v>
      </c>
      <c r="L79" s="346"/>
    </row>
    <row r="80" spans="1:12">
      <c r="A80" s="2164" t="s">
        <v>1769</v>
      </c>
      <c r="B80" s="2165"/>
      <c r="C80" s="466"/>
      <c r="D80" s="466"/>
      <c r="E80" s="466"/>
      <c r="F80" s="466"/>
      <c r="G80" s="466"/>
      <c r="H80" s="466"/>
      <c r="I80" s="466"/>
      <c r="J80" s="466"/>
      <c r="K80" s="466"/>
      <c r="L80" s="346"/>
    </row>
    <row r="81" spans="1:12" ht="13.5" thickBot="1">
      <c r="A81" s="2156" t="s">
        <v>1920</v>
      </c>
      <c r="B81" s="2157"/>
      <c r="C81" s="1619">
        <f>(SUM(C78:C80))</f>
        <v>1880955</v>
      </c>
      <c r="D81" s="1619">
        <f>SUM(D78:D80)</f>
        <v>717355</v>
      </c>
      <c r="E81" s="1619">
        <f t="shared" ref="E81:K81" si="10">SUM(E78:E80)</f>
        <v>4316407</v>
      </c>
      <c r="F81" s="1619">
        <f t="shared" si="10"/>
        <v>2507928</v>
      </c>
      <c r="G81" s="1619">
        <f t="shared" si="10"/>
        <v>598684</v>
      </c>
      <c r="H81" s="1619">
        <f t="shared" si="10"/>
        <v>709408</v>
      </c>
      <c r="I81" s="1619">
        <f t="shared" si="10"/>
        <v>10301344</v>
      </c>
      <c r="J81" s="1619">
        <f t="shared" si="10"/>
        <v>395011</v>
      </c>
      <c r="K81" s="1619">
        <f t="shared" si="10"/>
        <v>-4757</v>
      </c>
      <c r="L81" s="346"/>
    </row>
    <row r="82" spans="1:12" ht="0.75" customHeight="1" thickTop="1" thickBot="1">
      <c r="A82" s="535" t="s">
        <v>343</v>
      </c>
      <c r="B82" s="536"/>
      <c r="C82" s="537">
        <f>(C81-C79)</f>
        <v>2529099</v>
      </c>
      <c r="D82" s="537">
        <f t="shared" ref="D82:K82" si="11">(D81-D79)</f>
        <v>-1239753</v>
      </c>
      <c r="E82" s="537">
        <f t="shared" si="11"/>
        <v>369325</v>
      </c>
      <c r="F82" s="537">
        <f t="shared" si="11"/>
        <v>-649053</v>
      </c>
      <c r="G82" s="537">
        <f t="shared" si="11"/>
        <v>392276</v>
      </c>
      <c r="H82" s="537">
        <f t="shared" si="11"/>
        <v>122095</v>
      </c>
      <c r="I82" s="537">
        <f t="shared" si="11"/>
        <v>350136</v>
      </c>
      <c r="J82" s="537">
        <f t="shared" si="11"/>
        <v>242161</v>
      </c>
      <c r="K82" s="537">
        <f t="shared" si="11"/>
        <v>947</v>
      </c>
    </row>
    <row r="83" spans="1:12" ht="14.25" hidden="1" thickTop="1" thickBot="1">
      <c r="A83" s="538" t="s">
        <v>344</v>
      </c>
      <c r="B83" s="463"/>
      <c r="C83" s="539">
        <f>C82/C81</f>
        <v>1.3445824062776621</v>
      </c>
      <c r="D83" s="539">
        <f t="shared" ref="D83:K83" si="12">D82/D81</f>
        <v>-1.7282280042656704</v>
      </c>
      <c r="E83" s="539">
        <f t="shared" si="12"/>
        <v>8.5563062056010941E-2</v>
      </c>
      <c r="F83" s="539">
        <f t="shared" si="12"/>
        <v>-0.2588004918801497</v>
      </c>
      <c r="G83" s="539">
        <f t="shared" si="12"/>
        <v>0.65523047216895725</v>
      </c>
      <c r="H83" s="539">
        <f t="shared" si="12"/>
        <v>0.17210829311200324</v>
      </c>
      <c r="I83" s="539">
        <f t="shared" si="12"/>
        <v>3.3989351292413886E-2</v>
      </c>
      <c r="J83" s="539">
        <f t="shared" si="12"/>
        <v>0.61304875054112418</v>
      </c>
      <c r="K83" s="539">
        <f t="shared" si="12"/>
        <v>-0.19907504729871767</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64" activePane="bottomLeft" state="frozen"/>
      <selection pane="bottomLeft" activeCell="C193" sqref="C193"/>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60" t="s">
        <v>1776</v>
      </c>
      <c r="B1" s="451"/>
      <c r="C1" s="452" t="s">
        <v>425</v>
      </c>
      <c r="D1" s="452" t="s">
        <v>426</v>
      </c>
      <c r="E1" s="452" t="s">
        <v>427</v>
      </c>
      <c r="F1" s="452" t="s">
        <v>428</v>
      </c>
      <c r="G1" s="452" t="s">
        <v>429</v>
      </c>
      <c r="H1" s="452" t="s">
        <v>430</v>
      </c>
      <c r="I1" s="452" t="s">
        <v>431</v>
      </c>
      <c r="J1" s="452" t="s">
        <v>432</v>
      </c>
      <c r="K1" s="452" t="s">
        <v>756</v>
      </c>
    </row>
    <row r="2" spans="1:12" ht="36">
      <c r="A2" s="2161"/>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1646</v>
      </c>
      <c r="B5" s="546"/>
      <c r="C5" s="480">
        <v>24161752</v>
      </c>
      <c r="D5" s="480">
        <v>749485</v>
      </c>
      <c r="E5" s="465">
        <v>7139640</v>
      </c>
      <c r="F5" s="547">
        <v>-77166</v>
      </c>
      <c r="G5" s="465">
        <v>1467380</v>
      </c>
      <c r="H5" s="465"/>
      <c r="I5" s="465">
        <v>969</v>
      </c>
      <c r="J5" s="466">
        <v>575245</v>
      </c>
      <c r="K5" s="465">
        <v>970</v>
      </c>
    </row>
    <row r="6" spans="1:12" ht="15">
      <c r="A6" s="462" t="s">
        <v>1647</v>
      </c>
      <c r="B6" s="469">
        <v>1130</v>
      </c>
      <c r="C6" s="465"/>
      <c r="D6" s="465"/>
      <c r="E6" s="474"/>
      <c r="F6" s="474"/>
      <c r="G6" s="467"/>
      <c r="H6" s="467"/>
      <c r="I6" s="467"/>
      <c r="J6" s="467"/>
      <c r="K6" s="467"/>
    </row>
    <row r="7" spans="1:12">
      <c r="A7" s="462" t="s">
        <v>110</v>
      </c>
      <c r="B7" s="548">
        <v>1140</v>
      </c>
      <c r="C7" s="465">
        <v>2116431</v>
      </c>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26278183</v>
      </c>
      <c r="D12" s="1638">
        <f t="shared" si="0"/>
        <v>749485</v>
      </c>
      <c r="E12" s="1638">
        <f t="shared" si="0"/>
        <v>7139640</v>
      </c>
      <c r="F12" s="1638">
        <f t="shared" si="0"/>
        <v>-77166</v>
      </c>
      <c r="G12" s="1638">
        <f t="shared" si="0"/>
        <v>1467380</v>
      </c>
      <c r="H12" s="1638">
        <f t="shared" si="0"/>
        <v>0</v>
      </c>
      <c r="I12" s="1638">
        <f t="shared" si="0"/>
        <v>969</v>
      </c>
      <c r="J12" s="1638">
        <f t="shared" si="0"/>
        <v>575245</v>
      </c>
      <c r="K12" s="1619">
        <f t="shared" si="0"/>
        <v>970</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c r="D16" s="465">
        <v>418349</v>
      </c>
      <c r="E16" s="465"/>
      <c r="F16" s="465"/>
      <c r="G16" s="465">
        <v>12628</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39" t="s">
        <v>537</v>
      </c>
      <c r="B18" s="1640"/>
      <c r="C18" s="1641">
        <f>SUM(C14:C17)</f>
        <v>0</v>
      </c>
      <c r="D18" s="1641">
        <f t="shared" ref="D18:K18" si="1">SUM(D14:D17)</f>
        <v>418349</v>
      </c>
      <c r="E18" s="1641">
        <f t="shared" si="1"/>
        <v>0</v>
      </c>
      <c r="F18" s="1641">
        <f t="shared" si="1"/>
        <v>0</v>
      </c>
      <c r="G18" s="1641">
        <f t="shared" si="1"/>
        <v>12628</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v>166172</v>
      </c>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88615</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254787</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v>16524</v>
      </c>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16524</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184086</v>
      </c>
      <c r="D65" s="465">
        <v>52164</v>
      </c>
      <c r="E65" s="465">
        <v>158004</v>
      </c>
      <c r="F65" s="466">
        <v>100089</v>
      </c>
      <c r="G65" s="465">
        <v>19740</v>
      </c>
      <c r="H65" s="465">
        <v>22095</v>
      </c>
      <c r="I65" s="465">
        <v>349167</v>
      </c>
      <c r="J65" s="466">
        <v>7188</v>
      </c>
      <c r="K65" s="465"/>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184086</v>
      </c>
      <c r="D67" s="1619">
        <f t="shared" ref="D67:K67" si="2">SUM(D65:D66)</f>
        <v>52164</v>
      </c>
      <c r="E67" s="1619">
        <f t="shared" si="2"/>
        <v>158004</v>
      </c>
      <c r="F67" s="1619">
        <f t="shared" si="2"/>
        <v>100089</v>
      </c>
      <c r="G67" s="1619">
        <f t="shared" si="2"/>
        <v>19740</v>
      </c>
      <c r="H67" s="1619">
        <f t="shared" si="2"/>
        <v>22095</v>
      </c>
      <c r="I67" s="1619">
        <f t="shared" si="2"/>
        <v>349167</v>
      </c>
      <c r="J67" s="1619">
        <f t="shared" si="2"/>
        <v>7188</v>
      </c>
      <c r="K67" s="1619">
        <f t="shared" si="2"/>
        <v>0</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v>322048</v>
      </c>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322048</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720</v>
      </c>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78821</v>
      </c>
      <c r="D81" s="465"/>
      <c r="E81" s="467"/>
      <c r="F81" s="467"/>
      <c r="G81" s="467"/>
      <c r="H81" s="467"/>
      <c r="I81" s="467"/>
      <c r="J81" s="467"/>
      <c r="K81" s="467"/>
    </row>
    <row r="82" spans="1:11" ht="12.75" customHeight="1" thickBot="1">
      <c r="A82" s="1639" t="s">
        <v>241</v>
      </c>
      <c r="B82" s="1640"/>
      <c r="C82" s="1638">
        <f>SUM(C77:C81)</f>
        <v>79541</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v>170138</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170138</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c r="D95" s="550">
        <v>933180</v>
      </c>
      <c r="E95" s="520"/>
      <c r="F95" s="520"/>
      <c r="G95" s="520"/>
      <c r="H95" s="520"/>
      <c r="I95" s="520"/>
      <c r="J95" s="520"/>
      <c r="K95" s="520"/>
    </row>
    <row r="96" spans="1:11" ht="12.75" customHeight="1">
      <c r="A96" s="462" t="s">
        <v>391</v>
      </c>
      <c r="B96" s="469">
        <v>1920</v>
      </c>
      <c r="C96" s="550">
        <v>-5946</v>
      </c>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48991</v>
      </c>
      <c r="D98" s="465"/>
      <c r="E98" s="511"/>
      <c r="F98" s="465"/>
      <c r="G98" s="511"/>
      <c r="H98" s="511"/>
      <c r="I98" s="509"/>
      <c r="J98" s="511"/>
      <c r="K98" s="511"/>
    </row>
    <row r="99" spans="1:12" ht="12.75" customHeight="1">
      <c r="A99" s="462" t="s">
        <v>821</v>
      </c>
      <c r="B99" s="469">
        <v>1950</v>
      </c>
      <c r="C99" s="488">
        <v>5833</v>
      </c>
      <c r="D99" s="465"/>
      <c r="E99" s="465"/>
      <c r="F99" s="465"/>
      <c r="G99" s="465"/>
      <c r="H99" s="465"/>
      <c r="I99" s="467"/>
      <c r="J99" s="466">
        <v>26907</v>
      </c>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c r="D106" s="488"/>
      <c r="E106" s="466"/>
      <c r="F106" s="466"/>
      <c r="G106" s="466"/>
      <c r="H106" s="466"/>
      <c r="I106" s="520"/>
      <c r="J106" s="466"/>
      <c r="K106" s="466"/>
    </row>
    <row r="107" spans="1:12" ht="12.75" customHeight="1">
      <c r="A107" s="462" t="s">
        <v>78</v>
      </c>
      <c r="B107" s="469">
        <v>1999</v>
      </c>
      <c r="C107" s="550">
        <v>179052</v>
      </c>
      <c r="D107" s="465">
        <v>23296</v>
      </c>
      <c r="E107" s="465"/>
      <c r="F107" s="465"/>
      <c r="G107" s="465"/>
      <c r="H107" s="465"/>
      <c r="I107" s="465"/>
      <c r="J107" s="466"/>
      <c r="K107" s="465"/>
    </row>
    <row r="108" spans="1:12" ht="12.75" customHeight="1" thickBot="1">
      <c r="A108" s="1639" t="s">
        <v>487</v>
      </c>
      <c r="B108" s="1643"/>
      <c r="C108" s="1638">
        <f>SUM(C95:C107)</f>
        <v>227930</v>
      </c>
      <c r="D108" s="1638">
        <f t="shared" ref="D108:K108" si="3">SUM(D95:D107)</f>
        <v>956476</v>
      </c>
      <c r="E108" s="1638">
        <f t="shared" si="3"/>
        <v>0</v>
      </c>
      <c r="F108" s="1638">
        <f t="shared" si="3"/>
        <v>0</v>
      </c>
      <c r="G108" s="1638">
        <f t="shared" si="3"/>
        <v>0</v>
      </c>
      <c r="H108" s="1638">
        <f t="shared" si="3"/>
        <v>0</v>
      </c>
      <c r="I108" s="1638">
        <f t="shared" si="3"/>
        <v>0</v>
      </c>
      <c r="J108" s="1638">
        <f t="shared" si="3"/>
        <v>26907</v>
      </c>
      <c r="K108" s="1619">
        <f t="shared" si="3"/>
        <v>0</v>
      </c>
    </row>
    <row r="109" spans="1:12" ht="14.25" thickTop="1" thickBot="1">
      <c r="A109" s="1644" t="s">
        <v>248</v>
      </c>
      <c r="B109" s="1645" t="s">
        <v>570</v>
      </c>
      <c r="C109" s="1646">
        <f t="shared" ref="C109:K109" si="4">SUM(C12,C18,C40,C63,C67,C75,C82,C93,C108,)</f>
        <v>27516713</v>
      </c>
      <c r="D109" s="1646">
        <f t="shared" si="4"/>
        <v>2176474</v>
      </c>
      <c r="E109" s="1646">
        <f t="shared" si="4"/>
        <v>7297644</v>
      </c>
      <c r="F109" s="1646">
        <f t="shared" si="4"/>
        <v>39447</v>
      </c>
      <c r="G109" s="1646">
        <f t="shared" si="4"/>
        <v>1499748</v>
      </c>
      <c r="H109" s="1646">
        <f t="shared" si="4"/>
        <v>22095</v>
      </c>
      <c r="I109" s="1646">
        <f t="shared" si="4"/>
        <v>350136</v>
      </c>
      <c r="J109" s="1646">
        <f t="shared" si="4"/>
        <v>609340</v>
      </c>
      <c r="K109" s="1633">
        <f t="shared" si="4"/>
        <v>970</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6428220</v>
      </c>
      <c r="D117" s="480"/>
      <c r="E117" s="465"/>
      <c r="F117" s="480"/>
      <c r="G117" s="480"/>
      <c r="H117" s="465"/>
      <c r="I117" s="467"/>
      <c r="J117" s="466"/>
      <c r="K117" s="465"/>
    </row>
    <row r="118" spans="1:11" ht="12.75" customHeight="1">
      <c r="A118" s="462" t="s">
        <v>1773</v>
      </c>
      <c r="B118" s="561">
        <v>3002</v>
      </c>
      <c r="C118" s="550"/>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1906</v>
      </c>
      <c r="B120" s="561">
        <v>3030</v>
      </c>
      <c r="C120" s="550"/>
      <c r="D120" s="465"/>
      <c r="E120" s="465"/>
      <c r="F120" s="465"/>
      <c r="G120" s="465"/>
      <c r="H120" s="465"/>
      <c r="I120" s="467"/>
      <c r="J120" s="466"/>
      <c r="K120" s="465"/>
    </row>
    <row r="121" spans="1:11">
      <c r="A121" s="1428" t="s">
        <v>1775</v>
      </c>
      <c r="B121" s="563">
        <v>3099</v>
      </c>
      <c r="C121" s="550">
        <v>2304</v>
      </c>
      <c r="D121" s="465"/>
      <c r="E121" s="465"/>
      <c r="F121" s="465"/>
      <c r="G121" s="465"/>
      <c r="H121" s="465"/>
      <c r="I121" s="467"/>
      <c r="J121" s="466"/>
      <c r="K121" s="465"/>
    </row>
    <row r="122" spans="1:11" ht="12.6" customHeight="1" thickBot="1">
      <c r="A122" s="1639" t="s">
        <v>488</v>
      </c>
      <c r="B122" s="1650"/>
      <c r="C122" s="1638">
        <f t="shared" ref="C122:H122" si="5">SUM(C117:C121)</f>
        <v>6430524</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v>496594</v>
      </c>
      <c r="D125" s="560"/>
      <c r="E125" s="467"/>
      <c r="F125" s="547"/>
      <c r="G125" s="467"/>
      <c r="H125" s="467"/>
      <c r="I125" s="467"/>
      <c r="J125" s="467"/>
      <c r="K125" s="467"/>
    </row>
    <row r="126" spans="1:11" ht="12.75" customHeight="1">
      <c r="A126" s="462" t="s">
        <v>1437</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v>17361</v>
      </c>
      <c r="D128" s="560"/>
      <c r="E128" s="467"/>
      <c r="F128" s="465"/>
      <c r="G128" s="467"/>
      <c r="H128" s="467"/>
      <c r="I128" s="467"/>
      <c r="J128" s="467"/>
      <c r="K128" s="467"/>
    </row>
    <row r="129" spans="1:11" ht="12.75" customHeight="1">
      <c r="A129" s="462" t="s">
        <v>1438</v>
      </c>
      <c r="B129" s="561">
        <v>3130</v>
      </c>
      <c r="C129" s="465">
        <v>4404</v>
      </c>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518359</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v>3092</v>
      </c>
      <c r="D140" s="465"/>
      <c r="E140" s="560"/>
      <c r="F140" s="476"/>
      <c r="G140" s="466"/>
      <c r="H140" s="467"/>
      <c r="I140" s="467"/>
      <c r="J140" s="467"/>
      <c r="K140" s="467"/>
    </row>
    <row r="141" spans="1:11" ht="12.75" customHeight="1" thickBot="1">
      <c r="A141" s="1639" t="s">
        <v>603</v>
      </c>
      <c r="B141" s="1651"/>
      <c r="C141" s="1638">
        <f>SUM(C134:C140)</f>
        <v>3092</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v>9481</v>
      </c>
      <c r="D146" s="569"/>
      <c r="E146" s="508"/>
      <c r="F146" s="467"/>
      <c r="G146" s="570"/>
      <c r="H146" s="467"/>
      <c r="I146" s="467"/>
      <c r="J146" s="467"/>
      <c r="K146" s="467"/>
    </row>
    <row r="147" spans="1:11" ht="12.75" customHeight="1" thickBot="1">
      <c r="A147" s="1431" t="s">
        <v>922</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v>458359</v>
      </c>
      <c r="G152" s="466"/>
      <c r="H152" s="467"/>
      <c r="I152" s="467"/>
      <c r="J152" s="467"/>
      <c r="K152" s="467"/>
    </row>
    <row r="153" spans="1:11" ht="12.75" customHeight="1">
      <c r="A153" s="462" t="s">
        <v>1057</v>
      </c>
      <c r="B153" s="561">
        <v>3510</v>
      </c>
      <c r="C153" s="550"/>
      <c r="D153" s="465"/>
      <c r="E153" s="560"/>
      <c r="F153" s="465">
        <v>914362</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1372721</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v>14420</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c r="E167" s="520"/>
      <c r="F167" s="520"/>
      <c r="G167" s="467"/>
      <c r="H167" s="530"/>
      <c r="I167" s="467"/>
      <c r="J167" s="467"/>
      <c r="K167" s="529"/>
    </row>
    <row r="168" spans="1:11" ht="14.25" thickTop="1" thickBot="1">
      <c r="A168" s="1432" t="s">
        <v>70</v>
      </c>
      <c r="B168" s="573">
        <v>3999</v>
      </c>
      <c r="C168" s="578">
        <v>0</v>
      </c>
      <c r="D168" s="579"/>
      <c r="E168" s="579"/>
      <c r="F168" s="579"/>
      <c r="G168" s="580"/>
      <c r="H168" s="581"/>
      <c r="I168" s="580"/>
      <c r="J168" s="580"/>
      <c r="K168" s="581"/>
    </row>
    <row r="169" spans="1:11" ht="12.75" customHeight="1" thickTop="1" thickBot="1">
      <c r="A169" s="2180" t="s">
        <v>398</v>
      </c>
      <c r="B169" s="2181"/>
      <c r="C169" s="1653">
        <f t="shared" ref="C169:K169" si="6">SUM(C132,C141,C145,C146:C150,C155,C156:C167,C168)</f>
        <v>545352</v>
      </c>
      <c r="D169" s="1653">
        <f t="shared" si="6"/>
        <v>0</v>
      </c>
      <c r="E169" s="1653">
        <f t="shared" si="6"/>
        <v>0</v>
      </c>
      <c r="F169" s="1653">
        <f t="shared" si="6"/>
        <v>1372721</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6975876</v>
      </c>
      <c r="D170" s="1646">
        <f t="shared" si="7"/>
        <v>0</v>
      </c>
      <c r="E170" s="1646">
        <f t="shared" si="7"/>
        <v>0</v>
      </c>
      <c r="F170" s="1646">
        <f t="shared" si="7"/>
        <v>1372721</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82" t="s">
        <v>1483</v>
      </c>
      <c r="B172" s="2183"/>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86" t="s">
        <v>1650</v>
      </c>
      <c r="B175" s="2187"/>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90" t="s">
        <v>1649</v>
      </c>
      <c r="B176" s="2191"/>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88" t="s">
        <v>785</v>
      </c>
      <c r="B181" s="2189"/>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84" t="s">
        <v>1777</v>
      </c>
      <c r="B182" s="2185"/>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v>520958</v>
      </c>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v>65993</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586951</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v>631775</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631775</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v>23762</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928008</v>
      </c>
      <c r="D213" s="465"/>
      <c r="E213" s="467"/>
      <c r="F213" s="465"/>
      <c r="G213" s="465"/>
      <c r="H213" s="467"/>
      <c r="I213" s="467"/>
      <c r="J213" s="467"/>
      <c r="K213" s="467"/>
    </row>
    <row r="214" spans="1:11" ht="12.75" customHeight="1">
      <c r="A214" s="462" t="s">
        <v>1054</v>
      </c>
      <c r="B214" s="469">
        <v>4625</v>
      </c>
      <c r="C214" s="550"/>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951770</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1085</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229</v>
      </c>
      <c r="D255" s="467"/>
      <c r="E255" s="467"/>
      <c r="F255" s="577"/>
      <c r="G255" s="572"/>
      <c r="H255" s="467"/>
      <c r="I255" s="467"/>
      <c r="J255" s="467"/>
      <c r="K255" s="467"/>
    </row>
    <row r="256" spans="1:11" ht="12.75" customHeight="1" thickTop="1" thickBot="1">
      <c r="A256" s="462" t="s">
        <v>1448</v>
      </c>
      <c r="B256" s="469">
        <v>4909</v>
      </c>
      <c r="C256" s="575">
        <v>63263</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85398</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1" t="s">
        <v>1907</v>
      </c>
      <c r="B261" s="469">
        <v>4981</v>
      </c>
      <c r="C261" s="574"/>
      <c r="D261" s="575"/>
      <c r="E261" s="467"/>
      <c r="F261" s="575"/>
      <c r="G261" s="575"/>
      <c r="H261" s="467"/>
      <c r="I261" s="467"/>
      <c r="J261" s="467"/>
      <c r="K261" s="467"/>
    </row>
    <row r="262" spans="1:11" ht="12.75" customHeight="1" thickTop="1" thickBot="1">
      <c r="A262" s="1862" t="s">
        <v>1908</v>
      </c>
      <c r="B262" s="469">
        <v>4982</v>
      </c>
      <c r="C262" s="574"/>
      <c r="D262" s="575"/>
      <c r="E262" s="467"/>
      <c r="F262" s="575"/>
      <c r="G262" s="575"/>
      <c r="H262" s="467"/>
      <c r="I262" s="467"/>
      <c r="J262" s="467"/>
      <c r="K262" s="467"/>
    </row>
    <row r="263" spans="1:11" ht="12.75" customHeight="1" thickTop="1" thickBot="1">
      <c r="A263" s="462" t="s">
        <v>568</v>
      </c>
      <c r="B263" s="469">
        <v>4991</v>
      </c>
      <c r="C263" s="574">
        <v>44188</v>
      </c>
      <c r="D263" s="575"/>
      <c r="E263" s="467"/>
      <c r="F263" s="575"/>
      <c r="G263" s="575"/>
      <c r="H263" s="467"/>
      <c r="I263" s="467"/>
      <c r="J263" s="467"/>
      <c r="K263" s="467"/>
    </row>
    <row r="264" spans="1:11" ht="12.75" customHeight="1" thickTop="1" thickBot="1">
      <c r="A264" s="462" t="s">
        <v>377</v>
      </c>
      <c r="B264" s="469">
        <v>4992</v>
      </c>
      <c r="C264" s="574">
        <v>104735</v>
      </c>
      <c r="D264" s="575"/>
      <c r="E264" s="467"/>
      <c r="F264" s="575"/>
      <c r="G264" s="575"/>
      <c r="H264" s="467"/>
      <c r="I264" s="467"/>
      <c r="J264" s="467"/>
      <c r="K264" s="467"/>
    </row>
    <row r="265" spans="1:11" s="592" customFormat="1" ht="12.75" customHeight="1" thickTop="1" thickBot="1">
      <c r="A265" s="562" t="s">
        <v>75</v>
      </c>
      <c r="B265" s="556">
        <v>4999</v>
      </c>
      <c r="C265" s="574">
        <v>0</v>
      </c>
      <c r="D265" s="575"/>
      <c r="E265" s="467"/>
      <c r="F265" s="575"/>
      <c r="G265" s="575"/>
      <c r="H265" s="529"/>
      <c r="I265" s="467"/>
      <c r="J265" s="467"/>
      <c r="K265" s="529"/>
    </row>
    <row r="266" spans="1:11" ht="14.25" thickTop="1" thickBot="1">
      <c r="A266" s="1639" t="s">
        <v>1651</v>
      </c>
      <c r="B266" s="1658"/>
      <c r="C266" s="1646">
        <f t="shared" ref="C266:H266" si="10">SUM(C188,C198,C204,C209,C217,C221,C222,C252:C265)</f>
        <v>2468309</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2468309</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36960898</v>
      </c>
      <c r="D268" s="1646">
        <f t="shared" si="12"/>
        <v>2176474</v>
      </c>
      <c r="E268" s="1646">
        <f t="shared" si="12"/>
        <v>7297644</v>
      </c>
      <c r="F268" s="1646">
        <f t="shared" si="12"/>
        <v>1412168</v>
      </c>
      <c r="G268" s="1646">
        <f t="shared" si="12"/>
        <v>1499748</v>
      </c>
      <c r="H268" s="1646">
        <f t="shared" si="12"/>
        <v>22095</v>
      </c>
      <c r="I268" s="1646">
        <f t="shared" si="12"/>
        <v>350136</v>
      </c>
      <c r="J268" s="1646">
        <f t="shared" si="12"/>
        <v>609340</v>
      </c>
      <c r="K268" s="1633">
        <f t="shared" si="12"/>
        <v>970</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B1" colorId="8" zoomScale="90" zoomScaleNormal="90" workbookViewId="0">
      <pane ySplit="2" topLeftCell="A71" activePane="bottomLeft" state="frozen"/>
      <selection pane="bottomLeft" activeCell="F156" sqref="F156"/>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60"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92"/>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98" t="s">
        <v>297</v>
      </c>
      <c r="B3" s="2199"/>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v>12472699</v>
      </c>
      <c r="D5" s="465">
        <v>4080279</v>
      </c>
      <c r="E5" s="465">
        <v>99565</v>
      </c>
      <c r="F5" s="465">
        <v>235675</v>
      </c>
      <c r="G5" s="465">
        <v>28010</v>
      </c>
      <c r="H5" s="465">
        <v>25</v>
      </c>
      <c r="I5" s="466">
        <v>20957</v>
      </c>
      <c r="J5" s="466">
        <v>0</v>
      </c>
      <c r="K5" s="1602">
        <f>SUM(C5:J5)</f>
        <v>16937210</v>
      </c>
      <c r="L5" s="465">
        <v>17469900</v>
      </c>
    </row>
    <row r="6" spans="1:14">
      <c r="A6" s="1436" t="s">
        <v>1424</v>
      </c>
      <c r="B6" s="613" t="s">
        <v>1422</v>
      </c>
      <c r="C6" s="476"/>
      <c r="D6" s="476"/>
      <c r="E6" s="465"/>
      <c r="F6" s="476"/>
      <c r="G6" s="476"/>
      <c r="H6" s="476"/>
      <c r="I6" s="476"/>
      <c r="J6" s="476"/>
      <c r="K6" s="1602">
        <f>SUM(C6,E6)</f>
        <v>0</v>
      </c>
      <c r="L6" s="465"/>
    </row>
    <row r="7" spans="1:14">
      <c r="A7" s="1436" t="s">
        <v>163</v>
      </c>
      <c r="B7" s="613" t="s">
        <v>967</v>
      </c>
      <c r="C7" s="466"/>
      <c r="D7" s="466"/>
      <c r="E7" s="466"/>
      <c r="F7" s="466"/>
      <c r="G7" s="466"/>
      <c r="H7" s="466"/>
      <c r="I7" s="466"/>
      <c r="J7" s="466"/>
      <c r="K7" s="1602">
        <f t="shared" ref="K7:K32" si="0">SUM(C7:J7)</f>
        <v>0</v>
      </c>
      <c r="L7" s="465"/>
    </row>
    <row r="8" spans="1:14">
      <c r="A8" s="1436" t="s">
        <v>164</v>
      </c>
      <c r="B8" s="613">
        <v>1200</v>
      </c>
      <c r="C8" s="465">
        <v>3315457</v>
      </c>
      <c r="D8" s="465">
        <v>1036389</v>
      </c>
      <c r="E8" s="465">
        <v>100480</v>
      </c>
      <c r="F8" s="465">
        <v>54779</v>
      </c>
      <c r="G8" s="465">
        <v>5104</v>
      </c>
      <c r="H8" s="465">
        <v>5309</v>
      </c>
      <c r="I8" s="466">
        <v>1442</v>
      </c>
      <c r="J8" s="466">
        <v>0</v>
      </c>
      <c r="K8" s="1602">
        <f t="shared" si="0"/>
        <v>4518960</v>
      </c>
      <c r="L8" s="465">
        <v>4826400</v>
      </c>
    </row>
    <row r="9" spans="1:14">
      <c r="A9" s="1436" t="s">
        <v>721</v>
      </c>
      <c r="B9" s="613" t="s">
        <v>968</v>
      </c>
      <c r="C9" s="466">
        <v>304794</v>
      </c>
      <c r="D9" s="466">
        <v>111800</v>
      </c>
      <c r="E9" s="466">
        <v>0</v>
      </c>
      <c r="F9" s="466">
        <v>8907</v>
      </c>
      <c r="G9" s="466">
        <v>0</v>
      </c>
      <c r="H9" s="466">
        <v>0</v>
      </c>
      <c r="I9" s="466">
        <v>0</v>
      </c>
      <c r="J9" s="466">
        <v>0</v>
      </c>
      <c r="K9" s="1602">
        <f t="shared" si="0"/>
        <v>425501</v>
      </c>
      <c r="L9" s="465">
        <v>415800</v>
      </c>
    </row>
    <row r="10" spans="1:14">
      <c r="A10" s="1436" t="s">
        <v>722</v>
      </c>
      <c r="B10" s="613">
        <v>1250</v>
      </c>
      <c r="C10" s="465"/>
      <c r="D10" s="465"/>
      <c r="E10" s="465"/>
      <c r="F10" s="465"/>
      <c r="G10" s="465"/>
      <c r="H10" s="465"/>
      <c r="I10" s="466"/>
      <c r="J10" s="466"/>
      <c r="K10" s="1602">
        <f t="shared" si="0"/>
        <v>0</v>
      </c>
      <c r="L10" s="465"/>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c r="D13" s="465"/>
      <c r="E13" s="465"/>
      <c r="F13" s="465"/>
      <c r="G13" s="465"/>
      <c r="H13" s="465"/>
      <c r="I13" s="466"/>
      <c r="J13" s="466"/>
      <c r="K13" s="1602">
        <f t="shared" si="0"/>
        <v>0</v>
      </c>
      <c r="L13" s="465"/>
    </row>
    <row r="14" spans="1:14">
      <c r="A14" s="1436" t="s">
        <v>963</v>
      </c>
      <c r="B14" s="613">
        <v>1500</v>
      </c>
      <c r="C14" s="465">
        <v>418064</v>
      </c>
      <c r="D14" s="465">
        <v>5918</v>
      </c>
      <c r="E14" s="465">
        <v>1702</v>
      </c>
      <c r="F14" s="465">
        <v>7002</v>
      </c>
      <c r="G14" s="465">
        <v>0</v>
      </c>
      <c r="H14" s="465">
        <v>0</v>
      </c>
      <c r="I14" s="466">
        <v>0</v>
      </c>
      <c r="J14" s="466">
        <v>0</v>
      </c>
      <c r="K14" s="1602">
        <f t="shared" si="0"/>
        <v>432686</v>
      </c>
      <c r="L14" s="465">
        <v>400800</v>
      </c>
    </row>
    <row r="15" spans="1:14">
      <c r="A15" s="1436" t="s">
        <v>964</v>
      </c>
      <c r="B15" s="613">
        <v>1600</v>
      </c>
      <c r="C15" s="465">
        <v>166514</v>
      </c>
      <c r="D15" s="465">
        <v>1921</v>
      </c>
      <c r="E15" s="465">
        <v>0</v>
      </c>
      <c r="F15" s="465">
        <v>4006</v>
      </c>
      <c r="G15" s="465">
        <v>0</v>
      </c>
      <c r="H15" s="465">
        <v>0</v>
      </c>
      <c r="I15" s="466">
        <v>0</v>
      </c>
      <c r="J15" s="466">
        <v>0</v>
      </c>
      <c r="K15" s="1602">
        <f t="shared" si="0"/>
        <v>172441</v>
      </c>
      <c r="L15" s="465">
        <v>155900</v>
      </c>
    </row>
    <row r="16" spans="1:14">
      <c r="A16" s="1436" t="s">
        <v>987</v>
      </c>
      <c r="B16" s="613" t="s">
        <v>424</v>
      </c>
      <c r="C16" s="465"/>
      <c r="D16" s="465"/>
      <c r="E16" s="465"/>
      <c r="F16" s="465"/>
      <c r="G16" s="465"/>
      <c r="H16" s="465"/>
      <c r="I16" s="466"/>
      <c r="J16" s="466"/>
      <c r="K16" s="1602">
        <f t="shared" si="0"/>
        <v>0</v>
      </c>
      <c r="L16" s="465"/>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v>788291</v>
      </c>
      <c r="D18" s="465">
        <v>283460</v>
      </c>
      <c r="E18" s="465">
        <v>6926</v>
      </c>
      <c r="F18" s="465">
        <v>1090</v>
      </c>
      <c r="G18" s="465">
        <v>0</v>
      </c>
      <c r="H18" s="465">
        <v>0</v>
      </c>
      <c r="I18" s="466">
        <v>0</v>
      </c>
      <c r="J18" s="466">
        <v>0</v>
      </c>
      <c r="K18" s="1602">
        <f t="shared" si="0"/>
        <v>1079767</v>
      </c>
      <c r="L18" s="465">
        <v>1123500</v>
      </c>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c r="I22" s="615"/>
      <c r="J22" s="476"/>
      <c r="K22" s="1602">
        <f t="shared" si="0"/>
        <v>0</v>
      </c>
      <c r="L22" s="470"/>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c r="I24" s="615"/>
      <c r="J24" s="476"/>
      <c r="K24" s="1602">
        <f t="shared" si="0"/>
        <v>0</v>
      </c>
      <c r="L24" s="470"/>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1653</v>
      </c>
      <c r="B33" s="1600" t="s">
        <v>570</v>
      </c>
      <c r="C33" s="1601">
        <f>SUM(C5:C32)</f>
        <v>17465819</v>
      </c>
      <c r="D33" s="1601">
        <f t="shared" ref="D33:L33" si="1">SUM(D5:D32)</f>
        <v>5519767</v>
      </c>
      <c r="E33" s="1601">
        <f t="shared" si="1"/>
        <v>208673</v>
      </c>
      <c r="F33" s="1601">
        <f t="shared" si="1"/>
        <v>311459</v>
      </c>
      <c r="G33" s="1601">
        <f t="shared" si="1"/>
        <v>33114</v>
      </c>
      <c r="H33" s="1601">
        <f t="shared" si="1"/>
        <v>5334</v>
      </c>
      <c r="I33" s="1601">
        <f t="shared" si="1"/>
        <v>22399</v>
      </c>
      <c r="J33" s="1601">
        <f t="shared" si="1"/>
        <v>0</v>
      </c>
      <c r="K33" s="1601">
        <f t="shared" si="1"/>
        <v>23566565</v>
      </c>
      <c r="L33" s="1601">
        <f t="shared" si="1"/>
        <v>24392300</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741769</v>
      </c>
      <c r="D36" s="480">
        <v>213808</v>
      </c>
      <c r="E36" s="480">
        <v>0</v>
      </c>
      <c r="F36" s="480">
        <v>0</v>
      </c>
      <c r="G36" s="480">
        <v>0</v>
      </c>
      <c r="H36" s="480">
        <v>0</v>
      </c>
      <c r="I36" s="466">
        <v>0</v>
      </c>
      <c r="J36" s="466">
        <v>0</v>
      </c>
      <c r="K36" s="1602">
        <f t="shared" ref="K36:K41" si="2">SUM(C36:J36)</f>
        <v>955577</v>
      </c>
      <c r="L36" s="465">
        <v>1032900</v>
      </c>
    </row>
    <row r="37" spans="1:14">
      <c r="A37" s="1436" t="s">
        <v>1090</v>
      </c>
      <c r="B37" s="613">
        <v>2120</v>
      </c>
      <c r="C37" s="465">
        <v>31409</v>
      </c>
      <c r="D37" s="465">
        <v>19365</v>
      </c>
      <c r="E37" s="465"/>
      <c r="F37" s="465"/>
      <c r="G37" s="465"/>
      <c r="H37" s="465"/>
      <c r="I37" s="466"/>
      <c r="J37" s="466"/>
      <c r="K37" s="1602">
        <f t="shared" si="2"/>
        <v>50774</v>
      </c>
      <c r="L37" s="465"/>
    </row>
    <row r="38" spans="1:14">
      <c r="A38" s="1436" t="s">
        <v>198</v>
      </c>
      <c r="B38" s="613">
        <v>2130</v>
      </c>
      <c r="C38" s="465">
        <v>245956</v>
      </c>
      <c r="D38" s="465">
        <v>80980</v>
      </c>
      <c r="E38" s="465">
        <v>57031</v>
      </c>
      <c r="F38" s="465">
        <v>4692</v>
      </c>
      <c r="G38" s="465">
        <v>0</v>
      </c>
      <c r="H38" s="465">
        <v>0</v>
      </c>
      <c r="I38" s="466">
        <v>0</v>
      </c>
      <c r="J38" s="466">
        <v>0</v>
      </c>
      <c r="K38" s="1602">
        <f t="shared" si="2"/>
        <v>388659</v>
      </c>
      <c r="L38" s="465">
        <v>336100</v>
      </c>
    </row>
    <row r="39" spans="1:14">
      <c r="A39" s="1436" t="s">
        <v>199</v>
      </c>
      <c r="B39" s="613">
        <v>2140</v>
      </c>
      <c r="C39" s="465">
        <v>272583</v>
      </c>
      <c r="D39" s="465">
        <v>98275</v>
      </c>
      <c r="E39" s="465">
        <v>29908</v>
      </c>
      <c r="F39" s="465">
        <v>0</v>
      </c>
      <c r="G39" s="465">
        <v>0</v>
      </c>
      <c r="H39" s="465">
        <v>0</v>
      </c>
      <c r="I39" s="466">
        <v>0</v>
      </c>
      <c r="J39" s="466">
        <v>0</v>
      </c>
      <c r="K39" s="1602">
        <f t="shared" si="2"/>
        <v>400766</v>
      </c>
      <c r="L39" s="465">
        <v>393500</v>
      </c>
    </row>
    <row r="40" spans="1:14">
      <c r="A40" s="1436" t="s">
        <v>200</v>
      </c>
      <c r="B40" s="613">
        <v>2150</v>
      </c>
      <c r="C40" s="465">
        <v>644498</v>
      </c>
      <c r="D40" s="465">
        <v>181298</v>
      </c>
      <c r="E40" s="465">
        <v>69048</v>
      </c>
      <c r="F40" s="465">
        <v>0</v>
      </c>
      <c r="G40" s="465">
        <v>0</v>
      </c>
      <c r="H40" s="465">
        <v>0</v>
      </c>
      <c r="I40" s="466">
        <v>0</v>
      </c>
      <c r="J40" s="466">
        <v>0</v>
      </c>
      <c r="K40" s="1602">
        <f t="shared" si="2"/>
        <v>894844</v>
      </c>
      <c r="L40" s="465">
        <v>895000</v>
      </c>
    </row>
    <row r="41" spans="1:14">
      <c r="A41" s="1436" t="s">
        <v>1654</v>
      </c>
      <c r="B41" s="613">
        <v>2190</v>
      </c>
      <c r="C41" s="465">
        <v>264818</v>
      </c>
      <c r="D41" s="465">
        <v>63860</v>
      </c>
      <c r="E41" s="465">
        <v>0</v>
      </c>
      <c r="F41" s="465">
        <v>3152</v>
      </c>
      <c r="G41" s="465">
        <v>0</v>
      </c>
      <c r="H41" s="465">
        <v>0</v>
      </c>
      <c r="I41" s="466">
        <v>0</v>
      </c>
      <c r="J41" s="466">
        <v>0</v>
      </c>
      <c r="K41" s="1602">
        <f t="shared" si="2"/>
        <v>331830</v>
      </c>
      <c r="L41" s="465">
        <v>305800</v>
      </c>
    </row>
    <row r="42" spans="1:14" ht="12.75" customHeight="1" thickBot="1">
      <c r="A42" s="1599" t="s">
        <v>560</v>
      </c>
      <c r="B42" s="1600" t="s">
        <v>716</v>
      </c>
      <c r="C42" s="1601">
        <f>SUM(C36:C41)</f>
        <v>2201033</v>
      </c>
      <c r="D42" s="1601">
        <f t="shared" ref="D42:L42" si="3">SUM(D36:D41)</f>
        <v>657586</v>
      </c>
      <c r="E42" s="1601">
        <f t="shared" si="3"/>
        <v>155987</v>
      </c>
      <c r="F42" s="1601">
        <f t="shared" si="3"/>
        <v>7844</v>
      </c>
      <c r="G42" s="1601">
        <f t="shared" si="3"/>
        <v>0</v>
      </c>
      <c r="H42" s="1601">
        <f t="shared" si="3"/>
        <v>0</v>
      </c>
      <c r="I42" s="1601">
        <f t="shared" si="3"/>
        <v>0</v>
      </c>
      <c r="J42" s="1601">
        <f t="shared" si="3"/>
        <v>0</v>
      </c>
      <c r="K42" s="1601">
        <f t="shared" si="3"/>
        <v>3022450</v>
      </c>
      <c r="L42" s="1601">
        <f t="shared" si="3"/>
        <v>2963300</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221061</v>
      </c>
      <c r="D44" s="480">
        <v>53523</v>
      </c>
      <c r="E44" s="480">
        <v>131948</v>
      </c>
      <c r="F44" s="480">
        <v>36238</v>
      </c>
      <c r="G44" s="480">
        <v>0</v>
      </c>
      <c r="H44" s="480">
        <v>4207</v>
      </c>
      <c r="I44" s="466">
        <v>0</v>
      </c>
      <c r="J44" s="466">
        <v>0</v>
      </c>
      <c r="K44" s="1603">
        <f>SUM(C44:J44)</f>
        <v>446977</v>
      </c>
      <c r="L44" s="480">
        <v>472100</v>
      </c>
    </row>
    <row r="45" spans="1:14">
      <c r="A45" s="1436" t="s">
        <v>815</v>
      </c>
      <c r="B45" s="613">
        <v>2220</v>
      </c>
      <c r="C45" s="465">
        <v>864890</v>
      </c>
      <c r="D45" s="465">
        <v>264729</v>
      </c>
      <c r="E45" s="465">
        <v>13944</v>
      </c>
      <c r="F45" s="465">
        <v>68300</v>
      </c>
      <c r="G45" s="465">
        <v>298198</v>
      </c>
      <c r="H45" s="465">
        <v>0</v>
      </c>
      <c r="I45" s="466">
        <v>27378</v>
      </c>
      <c r="J45" s="466">
        <v>0</v>
      </c>
      <c r="K45" s="1603">
        <f>SUM(C45:J45)</f>
        <v>1537439</v>
      </c>
      <c r="L45" s="465">
        <v>1770000</v>
      </c>
    </row>
    <row r="46" spans="1:14">
      <c r="A46" s="1436" t="s">
        <v>816</v>
      </c>
      <c r="B46" s="613">
        <v>2230</v>
      </c>
      <c r="C46" s="465">
        <v>0</v>
      </c>
      <c r="D46" s="465">
        <v>0</v>
      </c>
      <c r="E46" s="465">
        <v>47275</v>
      </c>
      <c r="F46" s="465">
        <v>6398</v>
      </c>
      <c r="G46" s="465">
        <v>0</v>
      </c>
      <c r="H46" s="465">
        <v>0</v>
      </c>
      <c r="I46" s="466">
        <v>0</v>
      </c>
      <c r="J46" s="466">
        <v>0</v>
      </c>
      <c r="K46" s="1603">
        <f>SUM(C46:J46)</f>
        <v>53673</v>
      </c>
      <c r="L46" s="465">
        <v>51000</v>
      </c>
    </row>
    <row r="47" spans="1:14" ht="12.75" customHeight="1" thickBot="1">
      <c r="A47" s="1599" t="s">
        <v>561</v>
      </c>
      <c r="B47" s="1600" t="s">
        <v>32</v>
      </c>
      <c r="C47" s="1601">
        <f>SUM(C44:C46)</f>
        <v>1085951</v>
      </c>
      <c r="D47" s="1601">
        <f t="shared" ref="D47:K47" si="4">SUM(D44:D46)</f>
        <v>318252</v>
      </c>
      <c r="E47" s="1601">
        <f t="shared" si="4"/>
        <v>193167</v>
      </c>
      <c r="F47" s="1601">
        <f t="shared" si="4"/>
        <v>110936</v>
      </c>
      <c r="G47" s="1601">
        <f t="shared" si="4"/>
        <v>298198</v>
      </c>
      <c r="H47" s="1601">
        <f t="shared" si="4"/>
        <v>4207</v>
      </c>
      <c r="I47" s="1601">
        <f t="shared" si="4"/>
        <v>27378</v>
      </c>
      <c r="J47" s="1601">
        <f t="shared" si="4"/>
        <v>0</v>
      </c>
      <c r="K47" s="1601">
        <f t="shared" si="4"/>
        <v>2038089</v>
      </c>
      <c r="L47" s="1601">
        <f>SUM(L44:L46)</f>
        <v>2293100</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0</v>
      </c>
      <c r="D49" s="480">
        <v>4306</v>
      </c>
      <c r="E49" s="480">
        <v>150778</v>
      </c>
      <c r="F49" s="480">
        <v>1856</v>
      </c>
      <c r="G49" s="480">
        <v>0</v>
      </c>
      <c r="H49" s="480">
        <v>4459</v>
      </c>
      <c r="I49" s="466">
        <v>0</v>
      </c>
      <c r="J49" s="466">
        <v>0</v>
      </c>
      <c r="K49" s="1603">
        <f>SUM(C49:J49)</f>
        <v>161399</v>
      </c>
      <c r="L49" s="480">
        <v>148200</v>
      </c>
    </row>
    <row r="50" spans="1:14">
      <c r="A50" s="1436" t="s">
        <v>818</v>
      </c>
      <c r="B50" s="613">
        <v>2320</v>
      </c>
      <c r="C50" s="465">
        <v>246345</v>
      </c>
      <c r="D50" s="465">
        <v>80302</v>
      </c>
      <c r="E50" s="465">
        <v>14626</v>
      </c>
      <c r="F50" s="465">
        <v>20017</v>
      </c>
      <c r="G50" s="465">
        <v>0</v>
      </c>
      <c r="H50" s="465">
        <v>59970</v>
      </c>
      <c r="I50" s="466">
        <v>0</v>
      </c>
      <c r="J50" s="466">
        <v>0</v>
      </c>
      <c r="K50" s="1603">
        <f>SUM(C50:J50)</f>
        <v>421260</v>
      </c>
      <c r="L50" s="465">
        <v>433800</v>
      </c>
    </row>
    <row r="51" spans="1:14">
      <c r="A51" s="1436" t="s">
        <v>42</v>
      </c>
      <c r="B51" s="613">
        <v>2330</v>
      </c>
      <c r="C51" s="465">
        <v>78095</v>
      </c>
      <c r="D51" s="465">
        <v>27189</v>
      </c>
      <c r="E51" s="465">
        <v>0</v>
      </c>
      <c r="F51" s="465">
        <v>0</v>
      </c>
      <c r="G51" s="465">
        <v>0</v>
      </c>
      <c r="H51" s="465">
        <v>0</v>
      </c>
      <c r="I51" s="466">
        <v>0</v>
      </c>
      <c r="J51" s="466">
        <v>0</v>
      </c>
      <c r="K51" s="1603">
        <f>SUM(C51:J51)</f>
        <v>105284</v>
      </c>
      <c r="L51" s="465">
        <v>32900</v>
      </c>
    </row>
    <row r="52" spans="1:14" ht="22.5">
      <c r="A52" s="1437" t="s">
        <v>298</v>
      </c>
      <c r="B52" s="626" t="s">
        <v>366</v>
      </c>
      <c r="C52" s="473"/>
      <c r="D52" s="473"/>
      <c r="E52" s="473"/>
      <c r="F52" s="473"/>
      <c r="G52" s="473"/>
      <c r="H52" s="473"/>
      <c r="I52" s="473"/>
      <c r="J52" s="473"/>
      <c r="K52" s="1603">
        <f>SUM(C52:J52)</f>
        <v>0</v>
      </c>
      <c r="L52" s="473"/>
    </row>
    <row r="53" spans="1:14" ht="12.75" customHeight="1" thickBot="1">
      <c r="A53" s="1599" t="s">
        <v>717</v>
      </c>
      <c r="B53" s="1600" t="s">
        <v>33</v>
      </c>
      <c r="C53" s="1601">
        <f>SUM(C49:C52)</f>
        <v>324440</v>
      </c>
      <c r="D53" s="1601">
        <f t="shared" ref="D53:L53" si="5">SUM(D49:D52)</f>
        <v>111797</v>
      </c>
      <c r="E53" s="1601">
        <f t="shared" si="5"/>
        <v>165404</v>
      </c>
      <c r="F53" s="1601">
        <f t="shared" si="5"/>
        <v>21873</v>
      </c>
      <c r="G53" s="1601">
        <f t="shared" si="5"/>
        <v>0</v>
      </c>
      <c r="H53" s="1601">
        <f t="shared" si="5"/>
        <v>64429</v>
      </c>
      <c r="I53" s="1601">
        <f t="shared" si="5"/>
        <v>0</v>
      </c>
      <c r="J53" s="1601">
        <f t="shared" si="5"/>
        <v>0</v>
      </c>
      <c r="K53" s="1601">
        <f t="shared" si="5"/>
        <v>687943</v>
      </c>
      <c r="L53" s="1601">
        <f t="shared" si="5"/>
        <v>614900</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1176809</v>
      </c>
      <c r="D55" s="480">
        <v>376815</v>
      </c>
      <c r="E55" s="480">
        <v>92278</v>
      </c>
      <c r="F55" s="480">
        <v>0</v>
      </c>
      <c r="G55" s="480">
        <v>0</v>
      </c>
      <c r="H55" s="480">
        <v>9400</v>
      </c>
      <c r="I55" s="466">
        <v>0</v>
      </c>
      <c r="J55" s="466">
        <v>0</v>
      </c>
      <c r="K55" s="1603">
        <f>SUM(C55:J55)</f>
        <v>1655302</v>
      </c>
      <c r="L55" s="480">
        <v>1647600</v>
      </c>
    </row>
    <row r="56" spans="1:14" ht="12.75" customHeight="1">
      <c r="A56" s="1440" t="s">
        <v>376</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1176809</v>
      </c>
      <c r="D57" s="1605">
        <f t="shared" ref="D57:K57" si="6">SUM(D55:D56)</f>
        <v>376815</v>
      </c>
      <c r="E57" s="1605">
        <f t="shared" si="6"/>
        <v>92278</v>
      </c>
      <c r="F57" s="1605">
        <f t="shared" si="6"/>
        <v>0</v>
      </c>
      <c r="G57" s="1605">
        <f t="shared" si="6"/>
        <v>0</v>
      </c>
      <c r="H57" s="1605">
        <f t="shared" si="6"/>
        <v>9400</v>
      </c>
      <c r="I57" s="1605">
        <f t="shared" si="6"/>
        <v>0</v>
      </c>
      <c r="J57" s="1605">
        <f t="shared" si="6"/>
        <v>0</v>
      </c>
      <c r="K57" s="1605">
        <f t="shared" si="6"/>
        <v>1655302</v>
      </c>
      <c r="L57" s="1601">
        <f>SUM(L55:L56)</f>
        <v>1647600</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v>169345</v>
      </c>
      <c r="D59" s="480">
        <v>60083</v>
      </c>
      <c r="E59" s="480">
        <v>36685</v>
      </c>
      <c r="F59" s="480">
        <v>9027</v>
      </c>
      <c r="G59" s="480">
        <v>0</v>
      </c>
      <c r="H59" s="480">
        <v>1775</v>
      </c>
      <c r="I59" s="466">
        <v>0</v>
      </c>
      <c r="J59" s="466">
        <v>0</v>
      </c>
      <c r="K59" s="1603">
        <f t="shared" ref="K59:K64" si="7">SUM(C59:J59)</f>
        <v>276915</v>
      </c>
      <c r="L59" s="480">
        <v>239100</v>
      </c>
      <c r="M59" s="608"/>
      <c r="N59" s="608"/>
    </row>
    <row r="60" spans="1:14" s="342" customFormat="1">
      <c r="A60" s="1436" t="s">
        <v>463</v>
      </c>
      <c r="B60" s="613">
        <v>2520</v>
      </c>
      <c r="C60" s="465">
        <v>170081</v>
      </c>
      <c r="D60" s="465">
        <v>61199</v>
      </c>
      <c r="E60" s="465">
        <v>171810</v>
      </c>
      <c r="F60" s="465">
        <v>0</v>
      </c>
      <c r="G60" s="465">
        <v>0</v>
      </c>
      <c r="H60" s="465">
        <v>34885</v>
      </c>
      <c r="I60" s="466">
        <v>0</v>
      </c>
      <c r="J60" s="466">
        <v>0</v>
      </c>
      <c r="K60" s="1603">
        <f t="shared" si="7"/>
        <v>437975</v>
      </c>
      <c r="L60" s="465">
        <v>441800</v>
      </c>
      <c r="M60" s="608"/>
      <c r="N60" s="608"/>
    </row>
    <row r="61" spans="1:14" s="342" customFormat="1">
      <c r="A61" s="1436" t="s">
        <v>197</v>
      </c>
      <c r="B61" s="613">
        <v>2540</v>
      </c>
      <c r="C61" s="465"/>
      <c r="D61" s="465"/>
      <c r="E61" s="465"/>
      <c r="F61" s="465"/>
      <c r="G61" s="465"/>
      <c r="H61" s="465"/>
      <c r="I61" s="466"/>
      <c r="J61" s="466"/>
      <c r="K61" s="1603">
        <f t="shared" si="7"/>
        <v>0</v>
      </c>
      <c r="L61" s="465"/>
      <c r="M61" s="608"/>
      <c r="N61" s="608"/>
    </row>
    <row r="62" spans="1:14" s="342" customFormat="1">
      <c r="A62" s="1436" t="s">
        <v>953</v>
      </c>
      <c r="B62" s="613">
        <v>2550</v>
      </c>
      <c r="C62" s="465">
        <v>0</v>
      </c>
      <c r="D62" s="465">
        <v>0</v>
      </c>
      <c r="E62" s="465">
        <v>10165</v>
      </c>
      <c r="F62" s="465">
        <v>0</v>
      </c>
      <c r="G62" s="465">
        <v>0</v>
      </c>
      <c r="H62" s="465">
        <v>0</v>
      </c>
      <c r="I62" s="466">
        <v>0</v>
      </c>
      <c r="J62" s="466">
        <v>0</v>
      </c>
      <c r="K62" s="1603">
        <f t="shared" si="7"/>
        <v>10165</v>
      </c>
      <c r="L62" s="465">
        <v>23400</v>
      </c>
      <c r="M62" s="608"/>
      <c r="N62" s="608"/>
    </row>
    <row r="63" spans="1:14" s="608" customFormat="1">
      <c r="A63" s="1436" t="s">
        <v>100</v>
      </c>
      <c r="B63" s="613">
        <v>2560</v>
      </c>
      <c r="C63" s="465">
        <v>125470</v>
      </c>
      <c r="D63" s="465">
        <v>0</v>
      </c>
      <c r="E63" s="465">
        <v>4925</v>
      </c>
      <c r="F63" s="465">
        <v>608095</v>
      </c>
      <c r="G63" s="465">
        <v>0</v>
      </c>
      <c r="H63" s="465">
        <v>0</v>
      </c>
      <c r="I63" s="466">
        <v>0</v>
      </c>
      <c r="J63" s="466">
        <v>0</v>
      </c>
      <c r="K63" s="1603">
        <f t="shared" si="7"/>
        <v>738490</v>
      </c>
      <c r="L63" s="465">
        <v>816500</v>
      </c>
    </row>
    <row r="64" spans="1:14" s="608" customFormat="1">
      <c r="A64" s="1441" t="s">
        <v>101</v>
      </c>
      <c r="B64" s="629">
        <v>2570</v>
      </c>
      <c r="C64" s="480"/>
      <c r="D64" s="480"/>
      <c r="E64" s="480"/>
      <c r="F64" s="480"/>
      <c r="G64" s="480"/>
      <c r="H64" s="480"/>
      <c r="I64" s="466"/>
      <c r="J64" s="466"/>
      <c r="K64" s="1603">
        <f t="shared" si="7"/>
        <v>0</v>
      </c>
      <c r="L64" s="480"/>
    </row>
    <row r="65" spans="1:14" s="342" customFormat="1" ht="12.75" customHeight="1" thickBot="1">
      <c r="A65" s="1599" t="s">
        <v>719</v>
      </c>
      <c r="B65" s="1600" t="s">
        <v>35</v>
      </c>
      <c r="C65" s="1601">
        <f>SUM(C59:C64)</f>
        <v>464896</v>
      </c>
      <c r="D65" s="1601">
        <f t="shared" ref="D65:L65" si="8">SUM(D59:D64)</f>
        <v>121282</v>
      </c>
      <c r="E65" s="1601">
        <f t="shared" si="8"/>
        <v>223585</v>
      </c>
      <c r="F65" s="1601">
        <f t="shared" si="8"/>
        <v>617122</v>
      </c>
      <c r="G65" s="1601">
        <f t="shared" si="8"/>
        <v>0</v>
      </c>
      <c r="H65" s="1601">
        <f t="shared" si="8"/>
        <v>36660</v>
      </c>
      <c r="I65" s="1601">
        <f t="shared" si="8"/>
        <v>0</v>
      </c>
      <c r="J65" s="1601">
        <f t="shared" si="8"/>
        <v>0</v>
      </c>
      <c r="K65" s="1601">
        <f t="shared" si="8"/>
        <v>1463545</v>
      </c>
      <c r="L65" s="1601">
        <f t="shared" si="8"/>
        <v>1520800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v>55000</v>
      </c>
      <c r="D69" s="465">
        <v>0</v>
      </c>
      <c r="E69" s="465">
        <v>20832</v>
      </c>
      <c r="F69" s="465">
        <v>8866</v>
      </c>
      <c r="G69" s="465">
        <v>0</v>
      </c>
      <c r="H69" s="465">
        <v>1799</v>
      </c>
      <c r="I69" s="466">
        <v>0</v>
      </c>
      <c r="J69" s="466">
        <v>0</v>
      </c>
      <c r="K69" s="1603">
        <f>SUM(C69:J69)</f>
        <v>86497</v>
      </c>
      <c r="L69" s="465">
        <v>88400</v>
      </c>
      <c r="M69" s="608"/>
      <c r="N69" s="608"/>
    </row>
    <row r="70" spans="1:14" s="342" customFormat="1">
      <c r="A70" s="1436" t="s">
        <v>403</v>
      </c>
      <c r="B70" s="613">
        <v>2640</v>
      </c>
      <c r="C70" s="465"/>
      <c r="D70" s="465"/>
      <c r="E70" s="465"/>
      <c r="F70" s="465"/>
      <c r="G70" s="465"/>
      <c r="H70" s="465"/>
      <c r="I70" s="466"/>
      <c r="J70" s="466"/>
      <c r="K70" s="1603">
        <f>SUM(C70:J70)</f>
        <v>0</v>
      </c>
      <c r="L70" s="465">
        <v>10000</v>
      </c>
      <c r="M70" s="608"/>
      <c r="N70" s="608"/>
    </row>
    <row r="71" spans="1:14" s="342" customFormat="1">
      <c r="A71" s="1436" t="s">
        <v>404</v>
      </c>
      <c r="B71" s="613">
        <v>2660</v>
      </c>
      <c r="C71" s="465"/>
      <c r="D71" s="465"/>
      <c r="E71" s="465">
        <v>10281</v>
      </c>
      <c r="F71" s="465"/>
      <c r="G71" s="465"/>
      <c r="H71" s="465"/>
      <c r="I71" s="466"/>
      <c r="J71" s="466"/>
      <c r="K71" s="1603">
        <f>SUM(C71:J71)</f>
        <v>10281</v>
      </c>
      <c r="L71" s="465"/>
      <c r="M71" s="608"/>
      <c r="N71" s="608"/>
    </row>
    <row r="72" spans="1:14" s="342" customFormat="1" ht="12.75" customHeight="1" thickBot="1">
      <c r="A72" s="1599" t="s">
        <v>37</v>
      </c>
      <c r="B72" s="1606" t="s">
        <v>36</v>
      </c>
      <c r="C72" s="1601">
        <f>SUM(C67:C71)</f>
        <v>55000</v>
      </c>
      <c r="D72" s="1601">
        <f t="shared" ref="D72:K72" si="9">SUM(D67:D71)</f>
        <v>0</v>
      </c>
      <c r="E72" s="1601">
        <f t="shared" si="9"/>
        <v>31113</v>
      </c>
      <c r="F72" s="1601">
        <f t="shared" si="9"/>
        <v>8866</v>
      </c>
      <c r="G72" s="1601">
        <f t="shared" si="9"/>
        <v>0</v>
      </c>
      <c r="H72" s="1601">
        <f t="shared" si="9"/>
        <v>1799</v>
      </c>
      <c r="I72" s="1601">
        <f t="shared" si="9"/>
        <v>0</v>
      </c>
      <c r="J72" s="1601">
        <f t="shared" si="9"/>
        <v>0</v>
      </c>
      <c r="K72" s="1601">
        <f t="shared" si="9"/>
        <v>96778</v>
      </c>
      <c r="L72" s="1601">
        <f>SUM(L67:L71)</f>
        <v>98400</v>
      </c>
      <c r="M72" s="608"/>
      <c r="N72" s="608"/>
    </row>
    <row r="73" spans="1:14" s="342" customFormat="1" ht="14.25" thickTop="1" thickBot="1">
      <c r="A73" s="1442" t="s">
        <v>980</v>
      </c>
      <c r="B73" s="631" t="s">
        <v>574</v>
      </c>
      <c r="C73" s="572">
        <v>0</v>
      </c>
      <c r="D73" s="572">
        <v>0</v>
      </c>
      <c r="E73" s="572">
        <v>-1305</v>
      </c>
      <c r="F73" s="572">
        <v>0</v>
      </c>
      <c r="G73" s="572">
        <v>0</v>
      </c>
      <c r="H73" s="572">
        <v>0</v>
      </c>
      <c r="I73" s="530">
        <v>0</v>
      </c>
      <c r="J73" s="530">
        <v>0</v>
      </c>
      <c r="K73" s="1601">
        <f>SUM(C73:J73)</f>
        <v>-1305</v>
      </c>
      <c r="L73" s="575">
        <v>300</v>
      </c>
      <c r="M73" s="608"/>
      <c r="N73" s="608"/>
    </row>
    <row r="74" spans="1:14" ht="12.75" customHeight="1" thickTop="1" thickBot="1">
      <c r="A74" s="1599" t="s">
        <v>811</v>
      </c>
      <c r="B74" s="1607">
        <v>2000</v>
      </c>
      <c r="C74" s="1608">
        <f>SUM(C42,C47,C53,C57,C65,C72,C73)</f>
        <v>5308129</v>
      </c>
      <c r="D74" s="1608">
        <f t="shared" ref="D74:K74" si="10">SUM(D42,D47,D53,D57,D65,D72,D73)</f>
        <v>1585732</v>
      </c>
      <c r="E74" s="1608">
        <f t="shared" si="10"/>
        <v>860229</v>
      </c>
      <c r="F74" s="1608">
        <f t="shared" si="10"/>
        <v>766641</v>
      </c>
      <c r="G74" s="1608">
        <f t="shared" si="10"/>
        <v>298198</v>
      </c>
      <c r="H74" s="1608">
        <f t="shared" si="10"/>
        <v>116495</v>
      </c>
      <c r="I74" s="1608">
        <f t="shared" si="10"/>
        <v>27378</v>
      </c>
      <c r="J74" s="1608">
        <f t="shared" si="10"/>
        <v>0</v>
      </c>
      <c r="K74" s="1608">
        <f t="shared" si="10"/>
        <v>8962802</v>
      </c>
      <c r="L74" s="1608">
        <f>SUM(L42,L47,L53,L57,L65,L72,L73)</f>
        <v>9138400</v>
      </c>
    </row>
    <row r="75" spans="1:14" s="258" customFormat="1" ht="15.75" customHeight="1" thickTop="1" thickBot="1">
      <c r="A75" s="1542" t="s">
        <v>47</v>
      </c>
      <c r="B75" s="1543" t="s">
        <v>575</v>
      </c>
      <c r="C75" s="572">
        <v>19296</v>
      </c>
      <c r="D75" s="572">
        <v>4984</v>
      </c>
      <c r="E75" s="572">
        <v>60473</v>
      </c>
      <c r="F75" s="572">
        <v>12312</v>
      </c>
      <c r="G75" s="572">
        <v>0</v>
      </c>
      <c r="H75" s="572">
        <v>0</v>
      </c>
      <c r="I75" s="530">
        <v>0</v>
      </c>
      <c r="J75" s="530">
        <v>0</v>
      </c>
      <c r="K75" s="1601">
        <f>SUM(C75:J75)</f>
        <v>97065</v>
      </c>
      <c r="L75" s="575">
        <v>118400</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133853</v>
      </c>
      <c r="F79" s="615"/>
      <c r="G79" s="615"/>
      <c r="H79" s="465">
        <v>1486975</v>
      </c>
      <c r="I79" s="476"/>
      <c r="J79" s="476"/>
      <c r="K79" s="1602">
        <f t="shared" si="11"/>
        <v>1620828</v>
      </c>
      <c r="L79" s="465">
        <v>1361200</v>
      </c>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v>2947</v>
      </c>
      <c r="F83" s="615"/>
      <c r="G83" s="615"/>
      <c r="H83" s="465"/>
      <c r="I83" s="476"/>
      <c r="J83" s="476"/>
      <c r="K83" s="1602">
        <f t="shared" si="11"/>
        <v>2947</v>
      </c>
      <c r="L83" s="465">
        <v>2000</v>
      </c>
    </row>
    <row r="84" spans="1:12" ht="13.5" thickBot="1">
      <c r="A84" s="1599" t="s">
        <v>1476</v>
      </c>
      <c r="B84" s="1609">
        <v>4100</v>
      </c>
      <c r="C84" s="615"/>
      <c r="D84" s="615"/>
      <c r="E84" s="1601">
        <f>SUM(E78:E83)</f>
        <v>136800</v>
      </c>
      <c r="F84" s="615"/>
      <c r="G84" s="615"/>
      <c r="H84" s="1601">
        <f>SUM(H78:H83)</f>
        <v>1486975</v>
      </c>
      <c r="I84" s="476"/>
      <c r="J84" s="476"/>
      <c r="K84" s="1601">
        <f>SUM(K78:K83)</f>
        <v>1623775</v>
      </c>
      <c r="L84" s="1601">
        <f>SUM(L78:L83)</f>
        <v>1363200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c r="I86" s="476"/>
      <c r="J86" s="476"/>
      <c r="K86" s="1608">
        <f t="shared" ref="K86:K98" si="12">H86</f>
        <v>0</v>
      </c>
      <c r="L86" s="529"/>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v>5120</v>
      </c>
      <c r="I91" s="476"/>
      <c r="J91" s="476"/>
      <c r="K91" s="1608">
        <f t="shared" si="12"/>
        <v>5120</v>
      </c>
      <c r="L91" s="529">
        <v>12400</v>
      </c>
    </row>
    <row r="92" spans="1:12" ht="14.25" thickTop="1" thickBot="1">
      <c r="A92" s="1611" t="s">
        <v>1551</v>
      </c>
      <c r="B92" s="1609">
        <v>4200</v>
      </c>
      <c r="C92" s="615"/>
      <c r="D92" s="615"/>
      <c r="E92" s="637"/>
      <c r="F92" s="615"/>
      <c r="G92" s="615"/>
      <c r="H92" s="1601">
        <f>SUM(H85:H91)</f>
        <v>5120</v>
      </c>
      <c r="I92" s="476"/>
      <c r="J92" s="476"/>
      <c r="K92" s="1608">
        <f t="shared" si="12"/>
        <v>5120</v>
      </c>
      <c r="L92" s="1601">
        <f>SUM(L85:L91)</f>
        <v>12400</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136800</v>
      </c>
      <c r="F102" s="615"/>
      <c r="G102" s="615"/>
      <c r="H102" s="1608">
        <f>SUM(H84,H92,H100,H101)</f>
        <v>1492095</v>
      </c>
      <c r="I102" s="476"/>
      <c r="J102" s="476"/>
      <c r="K102" s="1608">
        <f>SUM(K84,K92,K100,K101)</f>
        <v>1628895</v>
      </c>
      <c r="L102" s="1608">
        <f>SUM(L84,L92,L100,L101)</f>
        <v>1375600</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v>176472</v>
      </c>
      <c r="I111" s="467"/>
      <c r="J111" s="467"/>
      <c r="K111" s="1614">
        <f>H111</f>
        <v>176472</v>
      </c>
      <c r="L111" s="531"/>
      <c r="M111" s="209"/>
      <c r="N111" s="209"/>
    </row>
    <row r="112" spans="1:14" s="596" customFormat="1" ht="12.75" customHeight="1" thickTop="1" thickBot="1">
      <c r="A112" s="1599" t="s">
        <v>638</v>
      </c>
      <c r="B112" s="1600" t="s">
        <v>492</v>
      </c>
      <c r="C112" s="615"/>
      <c r="D112" s="615"/>
      <c r="E112" s="615"/>
      <c r="F112" s="615"/>
      <c r="G112" s="615"/>
      <c r="H112" s="1601">
        <f>SUM(H110:H111)</f>
        <v>176472</v>
      </c>
      <c r="I112" s="467"/>
      <c r="J112" s="467"/>
      <c r="K112" s="1601">
        <f>SUM(K110:K111)</f>
        <v>176472</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v>150000</v>
      </c>
      <c r="M113" s="612"/>
      <c r="N113" s="612"/>
    </row>
    <row r="114" spans="1:14" ht="12.75" customHeight="1" thickTop="1" thickBot="1">
      <c r="A114" s="1599" t="s">
        <v>48</v>
      </c>
      <c r="B114" s="1613"/>
      <c r="C114" s="1601">
        <f>SUM(C33,C74,C75,C102,C112,C113)</f>
        <v>22793244</v>
      </c>
      <c r="D114" s="1601">
        <f t="shared" ref="D114:K114" si="13">SUM(D33,D74,D75,D102,D112,D113)</f>
        <v>7110483</v>
      </c>
      <c r="E114" s="1601">
        <f t="shared" si="13"/>
        <v>1266175</v>
      </c>
      <c r="F114" s="1601">
        <f t="shared" si="13"/>
        <v>1090412</v>
      </c>
      <c r="G114" s="1601">
        <f t="shared" si="13"/>
        <v>331312</v>
      </c>
      <c r="H114" s="1601">
        <f>SUM(H33,H74,H75,H102,H112,H113)</f>
        <v>1790396</v>
      </c>
      <c r="I114" s="1601">
        <f t="shared" si="13"/>
        <v>49777</v>
      </c>
      <c r="J114" s="1601">
        <f t="shared" si="13"/>
        <v>0</v>
      </c>
      <c r="K114" s="1601">
        <f t="shared" si="13"/>
        <v>34431799</v>
      </c>
      <c r="L114" s="1601">
        <f>SUM(L33,L74,L75,L102,L112,L113)</f>
        <v>35174700</v>
      </c>
    </row>
    <row r="115" spans="1:14" ht="13.5" thickTop="1">
      <c r="A115" s="2217" t="s">
        <v>996</v>
      </c>
      <c r="B115" s="2218"/>
      <c r="C115" s="617"/>
      <c r="D115" s="617"/>
      <c r="E115" s="617"/>
      <c r="F115" s="617"/>
      <c r="G115" s="617"/>
      <c r="H115" s="617"/>
      <c r="I115" s="617"/>
      <c r="J115" s="617"/>
      <c r="K115" s="1615">
        <f>'Revenues 9-14'!C268-'Expenditures 15-22'!K114</f>
        <v>2529099</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95" t="s">
        <v>296</v>
      </c>
      <c r="B117" s="2196"/>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2029</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v>140877</v>
      </c>
      <c r="D122" s="465">
        <v>38048</v>
      </c>
      <c r="E122" s="465">
        <v>0</v>
      </c>
      <c r="F122" s="465">
        <v>0</v>
      </c>
      <c r="G122" s="465">
        <v>0</v>
      </c>
      <c r="H122" s="465">
        <v>0</v>
      </c>
      <c r="I122" s="466">
        <v>0</v>
      </c>
      <c r="J122" s="466">
        <v>0</v>
      </c>
      <c r="K122" s="1601">
        <f>SUM(C122:J122)</f>
        <v>178925</v>
      </c>
      <c r="L122" s="465">
        <v>162200</v>
      </c>
    </row>
    <row r="123" spans="1:14" ht="14.25" thickTop="1" thickBot="1">
      <c r="A123" s="1436" t="s">
        <v>4</v>
      </c>
      <c r="B123" s="613">
        <v>2530</v>
      </c>
      <c r="C123" s="465"/>
      <c r="D123" s="465"/>
      <c r="E123" s="465"/>
      <c r="F123" s="465"/>
      <c r="G123" s="465"/>
      <c r="H123" s="465"/>
      <c r="I123" s="466"/>
      <c r="J123" s="466"/>
      <c r="K123" s="1601">
        <f>SUM(C123:J123)</f>
        <v>0</v>
      </c>
      <c r="L123" s="465"/>
    </row>
    <row r="124" spans="1:14" ht="14.25" thickTop="1" thickBot="1">
      <c r="A124" s="1436" t="s">
        <v>197</v>
      </c>
      <c r="B124" s="613">
        <v>2540</v>
      </c>
      <c r="C124" s="465">
        <v>1096494</v>
      </c>
      <c r="D124" s="465">
        <v>246124</v>
      </c>
      <c r="E124" s="465">
        <v>399826</v>
      </c>
      <c r="F124" s="465">
        <v>1219506</v>
      </c>
      <c r="G124" s="465">
        <v>31347</v>
      </c>
      <c r="H124" s="465">
        <v>828</v>
      </c>
      <c r="I124" s="466">
        <v>19432</v>
      </c>
      <c r="J124" s="466">
        <v>0</v>
      </c>
      <c r="K124" s="1601">
        <f>SUM(C124:J124)</f>
        <v>3013557</v>
      </c>
      <c r="L124" s="465">
        <v>3077300</v>
      </c>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1237371</v>
      </c>
      <c r="D127" s="1601">
        <f t="shared" ref="D127:L127" si="14">SUM(D122:D126)</f>
        <v>284172</v>
      </c>
      <c r="E127" s="1601">
        <f t="shared" si="14"/>
        <v>399826</v>
      </c>
      <c r="F127" s="1601">
        <f t="shared" si="14"/>
        <v>1219506</v>
      </c>
      <c r="G127" s="1601">
        <f t="shared" si="14"/>
        <v>31347</v>
      </c>
      <c r="H127" s="1601">
        <f t="shared" si="14"/>
        <v>828</v>
      </c>
      <c r="I127" s="1601">
        <f t="shared" si="14"/>
        <v>19432</v>
      </c>
      <c r="J127" s="1601">
        <f t="shared" si="14"/>
        <v>0</v>
      </c>
      <c r="K127" s="1601">
        <f t="shared" si="14"/>
        <v>3192482</v>
      </c>
      <c r="L127" s="1601">
        <f t="shared" si="14"/>
        <v>3239500</v>
      </c>
    </row>
    <row r="128" spans="1:14" ht="12.75" customHeight="1" thickTop="1">
      <c r="A128" s="1443" t="s">
        <v>980</v>
      </c>
      <c r="B128" s="654" t="s">
        <v>574</v>
      </c>
      <c r="C128" s="655"/>
      <c r="D128" s="655"/>
      <c r="E128" s="655"/>
      <c r="F128" s="655"/>
      <c r="G128" s="655"/>
      <c r="H128" s="655"/>
      <c r="I128" s="534"/>
      <c r="J128" s="534"/>
      <c r="K128" s="1616">
        <f>SUM(C128:J128)</f>
        <v>0</v>
      </c>
      <c r="L128" s="655"/>
    </row>
    <row r="129" spans="1:14" ht="12.75" customHeight="1" thickBot="1">
      <c r="A129" s="1617" t="s">
        <v>811</v>
      </c>
      <c r="B129" s="1618" t="s">
        <v>569</v>
      </c>
      <c r="C129" s="1608">
        <f>SUM(C120,C127,C128)</f>
        <v>1237371</v>
      </c>
      <c r="D129" s="1608">
        <f t="shared" ref="D129:L129" si="15">SUM(D120,D127,D128)</f>
        <v>284172</v>
      </c>
      <c r="E129" s="1608">
        <f t="shared" si="15"/>
        <v>399826</v>
      </c>
      <c r="F129" s="1608">
        <f t="shared" si="15"/>
        <v>1219506</v>
      </c>
      <c r="G129" s="1608">
        <f t="shared" si="15"/>
        <v>31347</v>
      </c>
      <c r="H129" s="1608">
        <f t="shared" si="15"/>
        <v>828</v>
      </c>
      <c r="I129" s="1608">
        <f t="shared" si="15"/>
        <v>19432</v>
      </c>
      <c r="J129" s="1608">
        <f t="shared" si="15"/>
        <v>0</v>
      </c>
      <c r="K129" s="1608">
        <f t="shared" si="15"/>
        <v>3192482</v>
      </c>
      <c r="L129" s="1608">
        <f t="shared" si="15"/>
        <v>3239500</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1816</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v>123745</v>
      </c>
      <c r="I148" s="467"/>
      <c r="J148" s="615"/>
      <c r="K148" s="1603">
        <f>SUM(H148)</f>
        <v>123745</v>
      </c>
      <c r="L148" s="491"/>
    </row>
    <row r="149" spans="1:14" ht="12.75" customHeight="1" thickBot="1">
      <c r="A149" s="1439" t="s">
        <v>638</v>
      </c>
      <c r="B149" s="616" t="s">
        <v>492</v>
      </c>
      <c r="C149" s="615"/>
      <c r="D149" s="615"/>
      <c r="E149" s="615"/>
      <c r="F149" s="615"/>
      <c r="G149" s="615"/>
      <c r="H149" s="1601">
        <f>SUM(H147,H148)</f>
        <v>123745</v>
      </c>
      <c r="I149" s="467"/>
      <c r="J149" s="615"/>
      <c r="K149" s="1601">
        <f>SUM(K147:K148)</f>
        <v>123745</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row>
    <row r="151" spans="1:14" ht="12.75" customHeight="1" thickTop="1" thickBot="1">
      <c r="A151" s="2207" t="s">
        <v>620</v>
      </c>
      <c r="B151" s="2189"/>
      <c r="C151" s="1601">
        <f>SUM(C129,C130,C139,C149,C150)</f>
        <v>1237371</v>
      </c>
      <c r="D151" s="1601">
        <f t="shared" ref="D151:K151" si="16">SUM(D129,D130,D139,D149,D150)</f>
        <v>284172</v>
      </c>
      <c r="E151" s="1601">
        <f t="shared" si="16"/>
        <v>399826</v>
      </c>
      <c r="F151" s="1601">
        <f t="shared" si="16"/>
        <v>1219506</v>
      </c>
      <c r="G151" s="1601">
        <f t="shared" si="16"/>
        <v>31347</v>
      </c>
      <c r="H151" s="1601">
        <f t="shared" si="16"/>
        <v>124573</v>
      </c>
      <c r="I151" s="1601">
        <f t="shared" si="16"/>
        <v>19432</v>
      </c>
      <c r="J151" s="1601">
        <f t="shared" si="16"/>
        <v>0</v>
      </c>
      <c r="K151" s="1601">
        <f t="shared" si="16"/>
        <v>3316227</v>
      </c>
      <c r="L151" s="1601">
        <f>SUM(L129,L130,L139,L149,L150)</f>
        <v>3239500</v>
      </c>
    </row>
    <row r="152" spans="1:14" ht="12.75" customHeight="1" thickTop="1">
      <c r="A152" s="2210" t="s">
        <v>1178</v>
      </c>
      <c r="B152" s="2211"/>
      <c r="C152" s="617"/>
      <c r="D152" s="617"/>
      <c r="E152" s="617"/>
      <c r="F152" s="617"/>
      <c r="G152" s="617"/>
      <c r="H152" s="617"/>
      <c r="I152" s="617"/>
      <c r="J152" s="615"/>
      <c r="K152" s="1615">
        <f>'Revenues 9-14'!D268-'Expenditures 15-22'!K151</f>
        <v>-1139753</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95" t="s">
        <v>621</v>
      </c>
      <c r="B154" s="2197"/>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496</v>
      </c>
      <c r="B157" s="1758" t="s">
        <v>1816</v>
      </c>
      <c r="C157" s="615"/>
      <c r="D157" s="615"/>
      <c r="E157" s="615"/>
      <c r="F157" s="615"/>
      <c r="G157" s="615"/>
      <c r="H157" s="640"/>
      <c r="I157" s="615"/>
      <c r="J157" s="615"/>
      <c r="K157" s="1602">
        <f>H157</f>
        <v>0</v>
      </c>
      <c r="L157" s="466"/>
      <c r="M157" s="618"/>
      <c r="N157" s="618"/>
    </row>
    <row r="158" spans="1:14" s="619" customFormat="1" ht="12">
      <c r="A158" s="1757" t="s">
        <v>304</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c r="I167" s="615"/>
      <c r="J167" s="615"/>
      <c r="K167" s="1602">
        <f>SUM(C167:J167)</f>
        <v>0</v>
      </c>
      <c r="L167" s="465"/>
    </row>
    <row r="168" spans="1:14" ht="13.5" thickBot="1">
      <c r="A168" s="1599" t="s">
        <v>276</v>
      </c>
      <c r="B168" s="1606" t="s">
        <v>718</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v>357522</v>
      </c>
      <c r="I169" s="615"/>
      <c r="J169" s="615"/>
      <c r="K169" s="1602">
        <f>SUM(C169:H169)</f>
        <v>357522</v>
      </c>
      <c r="L169" s="655">
        <v>4000000</v>
      </c>
    </row>
    <row r="170" spans="1:14" ht="33.75" customHeight="1">
      <c r="A170" s="668" t="s">
        <v>1655</v>
      </c>
      <c r="B170" s="670" t="s">
        <v>31</v>
      </c>
      <c r="C170" s="615"/>
      <c r="D170" s="615"/>
      <c r="E170" s="615"/>
      <c r="F170" s="615"/>
      <c r="G170" s="615"/>
      <c r="H170" s="568">
        <v>6568661</v>
      </c>
      <c r="I170" s="615"/>
      <c r="J170" s="615"/>
      <c r="K170" s="1602">
        <f>SUM(C170:J170)</f>
        <v>6568661</v>
      </c>
      <c r="L170" s="568">
        <v>2650000</v>
      </c>
    </row>
    <row r="171" spans="1:14" ht="15.75" customHeight="1">
      <c r="A171" s="620" t="s">
        <v>766</v>
      </c>
      <c r="B171" s="671" t="s">
        <v>84</v>
      </c>
      <c r="C171" s="615"/>
      <c r="D171" s="615"/>
      <c r="E171" s="465"/>
      <c r="F171" s="615"/>
      <c r="G171" s="615"/>
      <c r="H171" s="568">
        <v>2136</v>
      </c>
      <c r="I171" s="476"/>
      <c r="J171" s="615"/>
      <c r="K171" s="1602">
        <f>SUM(C171:J171)</f>
        <v>2136</v>
      </c>
      <c r="L171" s="568">
        <v>1600</v>
      </c>
    </row>
    <row r="172" spans="1:14" ht="12.75" customHeight="1" thickBot="1">
      <c r="A172" s="1599" t="s">
        <v>638</v>
      </c>
      <c r="B172" s="1600" t="s">
        <v>492</v>
      </c>
      <c r="C172" s="615"/>
      <c r="D172" s="615"/>
      <c r="E172" s="1608">
        <f>SUM(E168,E169,E170,E171)</f>
        <v>0</v>
      </c>
      <c r="F172" s="615"/>
      <c r="G172" s="615"/>
      <c r="H172" s="1608">
        <f>SUM(H168,H169,H170,H171)</f>
        <v>6928319</v>
      </c>
      <c r="I172" s="637"/>
      <c r="J172" s="615"/>
      <c r="K172" s="1608">
        <f>SUM(K168,K169,K170,K171)</f>
        <v>6928319</v>
      </c>
      <c r="L172" s="1608">
        <f>SUM(L168,L169,L170,L171)</f>
        <v>6651600</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6928319</v>
      </c>
      <c r="I174" s="637"/>
      <c r="J174" s="615"/>
      <c r="K174" s="1608">
        <f>SUM(K160,K172,K173)</f>
        <v>6928319</v>
      </c>
      <c r="L174" s="1608">
        <f>SUM(L160,L172,L173)</f>
        <v>6651600</v>
      </c>
    </row>
    <row r="175" spans="1:14" ht="13.5" thickTop="1">
      <c r="A175" s="2217" t="s">
        <v>996</v>
      </c>
      <c r="B175" s="2218"/>
      <c r="C175" s="615"/>
      <c r="D175" s="615"/>
      <c r="E175" s="615"/>
      <c r="F175" s="615"/>
      <c r="G175" s="615"/>
      <c r="H175" s="617"/>
      <c r="I175" s="615"/>
      <c r="J175" s="615"/>
      <c r="K175" s="1615">
        <f>'Revenues 9-14'!E268-'Expenditures 15-22'!K174</f>
        <v>369325</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2029</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v>5396</v>
      </c>
      <c r="D182" s="465">
        <v>1471</v>
      </c>
      <c r="E182" s="465">
        <v>2053423</v>
      </c>
      <c r="F182" s="465">
        <v>931</v>
      </c>
      <c r="G182" s="465">
        <v>0</v>
      </c>
      <c r="H182" s="465">
        <v>0</v>
      </c>
      <c r="I182" s="466">
        <v>0</v>
      </c>
      <c r="J182" s="466">
        <v>0</v>
      </c>
      <c r="K182" s="1602">
        <f>SUM(C182:J182)</f>
        <v>2061221</v>
      </c>
      <c r="L182" s="465">
        <v>2118500</v>
      </c>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5396</v>
      </c>
      <c r="D184" s="1608">
        <f t="shared" ref="D184:J184" si="17">SUM(D180,D182,D183)</f>
        <v>1471</v>
      </c>
      <c r="E184" s="1608">
        <f t="shared" si="17"/>
        <v>2053423</v>
      </c>
      <c r="F184" s="1608">
        <f t="shared" si="17"/>
        <v>931</v>
      </c>
      <c r="G184" s="1608">
        <f t="shared" si="17"/>
        <v>0</v>
      </c>
      <c r="H184" s="1608">
        <f t="shared" si="17"/>
        <v>0</v>
      </c>
      <c r="I184" s="1608">
        <f t="shared" si="17"/>
        <v>0</v>
      </c>
      <c r="J184" s="1608">
        <f t="shared" si="17"/>
        <v>0</v>
      </c>
      <c r="K184" s="1608">
        <f>SUM(K180,K182,K183)</f>
        <v>2061221</v>
      </c>
      <c r="L184" s="1608">
        <f>SUM(L180, L182:L183)</f>
        <v>2118500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c r="F188" s="615"/>
      <c r="G188" s="615"/>
      <c r="H188" s="465"/>
      <c r="I188" s="476"/>
      <c r="J188" s="615"/>
      <c r="K188" s="1602">
        <f t="shared" ref="K188:K193" si="18">SUM(E188,H188)</f>
        <v>0</v>
      </c>
      <c r="L188" s="465"/>
    </row>
    <row r="189" spans="1:14">
      <c r="A189" s="1436" t="s">
        <v>304</v>
      </c>
      <c r="B189" s="613">
        <v>4120</v>
      </c>
      <c r="C189" s="615"/>
      <c r="D189" s="615"/>
      <c r="E189" s="465"/>
      <c r="F189" s="615"/>
      <c r="G189" s="615"/>
      <c r="H189" s="465"/>
      <c r="I189" s="476"/>
      <c r="J189" s="615"/>
      <c r="K189" s="1602">
        <f t="shared" si="18"/>
        <v>0</v>
      </c>
      <c r="L189" s="465"/>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c r="F193" s="615"/>
      <c r="G193" s="615"/>
      <c r="H193" s="465"/>
      <c r="I193" s="476"/>
      <c r="J193" s="615"/>
      <c r="K193" s="1602">
        <f t="shared" si="18"/>
        <v>0</v>
      </c>
      <c r="L193" s="465"/>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5396</v>
      </c>
      <c r="D210" s="1601">
        <f>SUM(D184,D185)</f>
        <v>1471</v>
      </c>
      <c r="E210" s="1601">
        <f>SUM(E184,E185,E196)</f>
        <v>2053423</v>
      </c>
      <c r="F210" s="1601">
        <f>SUM(F184,F185)</f>
        <v>931</v>
      </c>
      <c r="G210" s="1601">
        <f>SUM(G184,G185)</f>
        <v>0</v>
      </c>
      <c r="H210" s="1601">
        <f>SUM(H184,H185,H196,H208,H209)</f>
        <v>0</v>
      </c>
      <c r="I210" s="1601">
        <f>SUM(I184,I185)</f>
        <v>0</v>
      </c>
      <c r="J210" s="1601">
        <f>SUM(J184,J185)</f>
        <v>0</v>
      </c>
      <c r="K210" s="1602">
        <f>SUM(K184,K185,K196,K208,K209)</f>
        <v>2061221</v>
      </c>
      <c r="L210" s="1601">
        <f>SUM(L184,L185,L196,L208,L209)</f>
        <v>2118500</v>
      </c>
    </row>
    <row r="211" spans="1:14" ht="13.5" thickTop="1">
      <c r="A211" s="2217" t="s">
        <v>996</v>
      </c>
      <c r="B211" s="2218"/>
      <c r="C211" s="617"/>
      <c r="D211" s="617"/>
      <c r="E211" s="617"/>
      <c r="F211" s="617"/>
      <c r="G211" s="617"/>
      <c r="H211" s="617"/>
      <c r="I211" s="615"/>
      <c r="J211" s="615"/>
      <c r="K211" s="1615">
        <f>'Revenues 9-14'!F268-'Expenditures 15-22'!K210</f>
        <v>-649053</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12" t="s">
        <v>965</v>
      </c>
      <c r="B213" s="2213"/>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v>201865</v>
      </c>
      <c r="E215" s="615"/>
      <c r="F215" s="615"/>
      <c r="G215" s="615"/>
      <c r="H215" s="615"/>
      <c r="I215" s="615"/>
      <c r="J215" s="615"/>
      <c r="K215" s="1602">
        <f>D215</f>
        <v>201865</v>
      </c>
      <c r="L215" s="465">
        <v>201400</v>
      </c>
    </row>
    <row r="216" spans="1:14">
      <c r="A216" s="1436" t="s">
        <v>163</v>
      </c>
      <c r="B216" s="613" t="s">
        <v>967</v>
      </c>
      <c r="C216" s="615"/>
      <c r="D216" s="466"/>
      <c r="E216" s="615"/>
      <c r="F216" s="615"/>
      <c r="G216" s="615"/>
      <c r="H216" s="615"/>
      <c r="I216" s="615"/>
      <c r="J216" s="615"/>
      <c r="K216" s="1602">
        <f t="shared" ref="K216:K228" si="19">D216</f>
        <v>0</v>
      </c>
      <c r="L216" s="465"/>
    </row>
    <row r="217" spans="1:14">
      <c r="A217" s="1436" t="s">
        <v>164</v>
      </c>
      <c r="B217" s="613">
        <v>1200</v>
      </c>
      <c r="C217" s="615"/>
      <c r="D217" s="465">
        <v>210608</v>
      </c>
      <c r="E217" s="615"/>
      <c r="F217" s="615"/>
      <c r="G217" s="615"/>
      <c r="H217" s="615"/>
      <c r="I217" s="615"/>
      <c r="J217" s="615"/>
      <c r="K217" s="1602">
        <f t="shared" si="19"/>
        <v>210608</v>
      </c>
      <c r="L217" s="465">
        <v>224200</v>
      </c>
    </row>
    <row r="218" spans="1:14">
      <c r="A218" s="1436" t="s">
        <v>278</v>
      </c>
      <c r="B218" s="613" t="s">
        <v>968</v>
      </c>
      <c r="C218" s="615"/>
      <c r="D218" s="466">
        <v>12448</v>
      </c>
      <c r="E218" s="615"/>
      <c r="F218" s="615"/>
      <c r="G218" s="615"/>
      <c r="H218" s="615"/>
      <c r="I218" s="615"/>
      <c r="J218" s="615"/>
      <c r="K218" s="1602">
        <f t="shared" si="19"/>
        <v>12448</v>
      </c>
      <c r="L218" s="465">
        <v>13500</v>
      </c>
    </row>
    <row r="219" spans="1:14">
      <c r="A219" s="1436" t="s">
        <v>279</v>
      </c>
      <c r="B219" s="613">
        <v>1250</v>
      </c>
      <c r="C219" s="615"/>
      <c r="D219" s="465"/>
      <c r="E219" s="615"/>
      <c r="F219" s="615"/>
      <c r="G219" s="615"/>
      <c r="H219" s="615"/>
      <c r="I219" s="615"/>
      <c r="J219" s="615"/>
      <c r="K219" s="1602">
        <f t="shared" si="19"/>
        <v>0</v>
      </c>
      <c r="L219" s="465"/>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c r="E222" s="615"/>
      <c r="F222" s="615"/>
      <c r="G222" s="615"/>
      <c r="H222" s="615"/>
      <c r="I222" s="615"/>
      <c r="J222" s="615"/>
      <c r="K222" s="1602">
        <f t="shared" si="19"/>
        <v>0</v>
      </c>
      <c r="L222" s="465"/>
    </row>
    <row r="223" spans="1:14">
      <c r="A223" s="1436" t="s">
        <v>963</v>
      </c>
      <c r="B223" s="613">
        <v>1500</v>
      </c>
      <c r="C223" s="615"/>
      <c r="D223" s="465">
        <v>9929</v>
      </c>
      <c r="E223" s="615"/>
      <c r="F223" s="615"/>
      <c r="G223" s="615"/>
      <c r="H223" s="615"/>
      <c r="I223" s="615"/>
      <c r="J223" s="615"/>
      <c r="K223" s="1602">
        <f t="shared" si="19"/>
        <v>9929</v>
      </c>
      <c r="L223" s="465">
        <v>10800</v>
      </c>
    </row>
    <row r="224" spans="1:14">
      <c r="A224" s="1436" t="s">
        <v>964</v>
      </c>
      <c r="B224" s="613">
        <v>1600</v>
      </c>
      <c r="C224" s="615"/>
      <c r="D224" s="465">
        <v>7897</v>
      </c>
      <c r="E224" s="615"/>
      <c r="F224" s="615"/>
      <c r="G224" s="615"/>
      <c r="H224" s="615"/>
      <c r="I224" s="615"/>
      <c r="J224" s="615"/>
      <c r="K224" s="1602">
        <f t="shared" si="19"/>
        <v>7897</v>
      </c>
      <c r="L224" s="465">
        <v>7000</v>
      </c>
    </row>
    <row r="225" spans="1:12">
      <c r="A225" s="1436" t="s">
        <v>987</v>
      </c>
      <c r="B225" s="613">
        <v>1650</v>
      </c>
      <c r="C225" s="615"/>
      <c r="D225" s="465"/>
      <c r="E225" s="615"/>
      <c r="F225" s="615"/>
      <c r="G225" s="615"/>
      <c r="H225" s="615"/>
      <c r="I225" s="615"/>
      <c r="J225" s="615"/>
      <c r="K225" s="1602">
        <f t="shared" si="19"/>
        <v>0</v>
      </c>
      <c r="L225" s="465"/>
    </row>
    <row r="226" spans="1:12">
      <c r="A226" s="1436" t="s">
        <v>724</v>
      </c>
      <c r="B226" s="613" t="s">
        <v>162</v>
      </c>
      <c r="C226" s="615"/>
      <c r="D226" s="466"/>
      <c r="E226" s="615"/>
      <c r="F226" s="615"/>
      <c r="G226" s="615"/>
      <c r="H226" s="615"/>
      <c r="I226" s="615"/>
      <c r="J226" s="615"/>
      <c r="K226" s="1602">
        <f t="shared" si="19"/>
        <v>0</v>
      </c>
      <c r="L226" s="465"/>
    </row>
    <row r="227" spans="1:12">
      <c r="A227" s="1436" t="s">
        <v>1087</v>
      </c>
      <c r="B227" s="613">
        <v>1800</v>
      </c>
      <c r="C227" s="615"/>
      <c r="D227" s="465">
        <v>30676</v>
      </c>
      <c r="E227" s="615"/>
      <c r="F227" s="615"/>
      <c r="G227" s="615"/>
      <c r="H227" s="615"/>
      <c r="I227" s="615"/>
      <c r="J227" s="615"/>
      <c r="K227" s="1602">
        <f t="shared" si="19"/>
        <v>30676</v>
      </c>
      <c r="L227" s="465">
        <v>32700</v>
      </c>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473423</v>
      </c>
      <c r="E229" s="615"/>
      <c r="F229" s="615"/>
      <c r="G229" s="615"/>
      <c r="H229" s="615"/>
      <c r="I229" s="615"/>
      <c r="J229" s="615"/>
      <c r="K229" s="1601">
        <f>SUM(K215:K228)</f>
        <v>473423</v>
      </c>
      <c r="L229" s="1601">
        <f>SUM(L215:L228)</f>
        <v>489600</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v>10832</v>
      </c>
      <c r="E232" s="615"/>
      <c r="F232" s="615"/>
      <c r="G232" s="615"/>
      <c r="H232" s="615"/>
      <c r="I232" s="615"/>
      <c r="J232" s="615"/>
      <c r="K232" s="1602">
        <f t="shared" ref="K232:K237" si="20">D232</f>
        <v>10832</v>
      </c>
      <c r="L232" s="465">
        <v>9900</v>
      </c>
    </row>
    <row r="233" spans="1:12">
      <c r="A233" s="1436" t="s">
        <v>1090</v>
      </c>
      <c r="B233" s="613">
        <v>2120</v>
      </c>
      <c r="C233" s="615"/>
      <c r="D233" s="465"/>
      <c r="E233" s="615"/>
      <c r="F233" s="615"/>
      <c r="G233" s="615"/>
      <c r="H233" s="615"/>
      <c r="I233" s="615"/>
      <c r="J233" s="615"/>
      <c r="K233" s="1602">
        <f t="shared" si="20"/>
        <v>0</v>
      </c>
      <c r="L233" s="465"/>
    </row>
    <row r="234" spans="1:12">
      <c r="A234" s="1436" t="s">
        <v>198</v>
      </c>
      <c r="B234" s="613">
        <v>2130</v>
      </c>
      <c r="C234" s="615"/>
      <c r="D234" s="465">
        <v>35707</v>
      </c>
      <c r="E234" s="615"/>
      <c r="F234" s="615"/>
      <c r="G234" s="615"/>
      <c r="H234" s="615"/>
      <c r="I234" s="615"/>
      <c r="J234" s="615"/>
      <c r="K234" s="1602">
        <f t="shared" si="20"/>
        <v>35707</v>
      </c>
      <c r="L234" s="465">
        <v>40400</v>
      </c>
    </row>
    <row r="235" spans="1:12">
      <c r="A235" s="1436" t="s">
        <v>199</v>
      </c>
      <c r="B235" s="613">
        <v>2140</v>
      </c>
      <c r="C235" s="615"/>
      <c r="D235" s="465">
        <v>15526</v>
      </c>
      <c r="E235" s="615"/>
      <c r="F235" s="615"/>
      <c r="G235" s="615"/>
      <c r="H235" s="615"/>
      <c r="I235" s="615"/>
      <c r="J235" s="615"/>
      <c r="K235" s="1602">
        <f t="shared" si="20"/>
        <v>15526</v>
      </c>
      <c r="L235" s="465">
        <v>15600</v>
      </c>
    </row>
    <row r="236" spans="1:12">
      <c r="A236" s="1436" t="s">
        <v>200</v>
      </c>
      <c r="B236" s="613">
        <v>2150</v>
      </c>
      <c r="C236" s="615"/>
      <c r="D236" s="465">
        <v>9130</v>
      </c>
      <c r="E236" s="615"/>
      <c r="F236" s="615"/>
      <c r="G236" s="615"/>
      <c r="H236" s="615"/>
      <c r="I236" s="615"/>
      <c r="J236" s="615"/>
      <c r="K236" s="1602">
        <f t="shared" si="20"/>
        <v>9130</v>
      </c>
      <c r="L236" s="465">
        <v>8800</v>
      </c>
    </row>
    <row r="237" spans="1:12">
      <c r="A237" s="1436" t="s">
        <v>165</v>
      </c>
      <c r="B237" s="613">
        <v>2190</v>
      </c>
      <c r="C237" s="615"/>
      <c r="D237" s="465">
        <v>50780</v>
      </c>
      <c r="E237" s="615"/>
      <c r="F237" s="615"/>
      <c r="G237" s="615"/>
      <c r="H237" s="615"/>
      <c r="I237" s="615"/>
      <c r="J237" s="615"/>
      <c r="K237" s="1602">
        <f t="shared" si="20"/>
        <v>50780</v>
      </c>
      <c r="L237" s="465">
        <v>41800</v>
      </c>
    </row>
    <row r="238" spans="1:12" ht="12.75" customHeight="1" thickBot="1">
      <c r="A238" s="1599" t="s">
        <v>560</v>
      </c>
      <c r="B238" s="1606" t="s">
        <v>716</v>
      </c>
      <c r="C238" s="615"/>
      <c r="D238" s="1601">
        <f>SUM(D232:D237)</f>
        <v>121975</v>
      </c>
      <c r="E238" s="615"/>
      <c r="F238" s="615"/>
      <c r="G238" s="615"/>
      <c r="H238" s="615"/>
      <c r="I238" s="615"/>
      <c r="J238" s="615"/>
      <c r="K238" s="1601">
        <f>SUM(K232:K237)</f>
        <v>121975</v>
      </c>
      <c r="L238" s="1601">
        <f>SUM(L232:L237)</f>
        <v>116500</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v>15255</v>
      </c>
      <c r="E240" s="615"/>
      <c r="F240" s="615"/>
      <c r="G240" s="615"/>
      <c r="H240" s="615"/>
      <c r="I240" s="615"/>
      <c r="J240" s="615"/>
      <c r="K240" s="1603">
        <f>D240</f>
        <v>15255</v>
      </c>
      <c r="L240" s="480">
        <v>16200</v>
      </c>
    </row>
    <row r="241" spans="1:12">
      <c r="A241" s="1436" t="s">
        <v>815</v>
      </c>
      <c r="B241" s="613">
        <v>2220</v>
      </c>
      <c r="C241" s="615"/>
      <c r="D241" s="465">
        <v>94638</v>
      </c>
      <c r="E241" s="615"/>
      <c r="F241" s="615"/>
      <c r="G241" s="615"/>
      <c r="H241" s="615"/>
      <c r="I241" s="615"/>
      <c r="J241" s="615"/>
      <c r="K241" s="1603">
        <f>D241</f>
        <v>94638</v>
      </c>
      <c r="L241" s="465">
        <v>101800</v>
      </c>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109893</v>
      </c>
      <c r="E243" s="615"/>
      <c r="F243" s="615"/>
      <c r="G243" s="615"/>
      <c r="H243" s="615"/>
      <c r="I243" s="615"/>
      <c r="J243" s="615"/>
      <c r="K243" s="1601">
        <f>SUM(K240:K242)</f>
        <v>109893</v>
      </c>
      <c r="L243" s="1601">
        <f>SUM(L240:L242)</f>
        <v>118000</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c r="E245" s="615"/>
      <c r="F245" s="615"/>
      <c r="G245" s="615"/>
      <c r="H245" s="615"/>
      <c r="I245" s="615"/>
      <c r="J245" s="615"/>
      <c r="K245" s="1603">
        <f>D245</f>
        <v>0</v>
      </c>
      <c r="L245" s="480"/>
    </row>
    <row r="246" spans="1:12">
      <c r="A246" s="1436" t="s">
        <v>818</v>
      </c>
      <c r="B246" s="613">
        <v>2320</v>
      </c>
      <c r="C246" s="615"/>
      <c r="D246" s="465">
        <v>18953</v>
      </c>
      <c r="E246" s="615"/>
      <c r="F246" s="615"/>
      <c r="G246" s="615"/>
      <c r="H246" s="615"/>
      <c r="I246" s="615"/>
      <c r="J246" s="615"/>
      <c r="K246" s="1603">
        <f t="shared" ref="K246:K256" si="21">D246</f>
        <v>18953</v>
      </c>
      <c r="L246" s="465">
        <v>19100</v>
      </c>
    </row>
    <row r="247" spans="1:12">
      <c r="A247" s="1436" t="s">
        <v>819</v>
      </c>
      <c r="B247" s="613">
        <v>2330</v>
      </c>
      <c r="C247" s="615"/>
      <c r="D247" s="465">
        <v>1135</v>
      </c>
      <c r="E247" s="615"/>
      <c r="F247" s="615"/>
      <c r="G247" s="615"/>
      <c r="H247" s="615"/>
      <c r="I247" s="615"/>
      <c r="J247" s="615"/>
      <c r="K247" s="1603">
        <f t="shared" si="21"/>
        <v>1135</v>
      </c>
      <c r="L247" s="465">
        <v>800</v>
      </c>
    </row>
    <row r="248" spans="1:12">
      <c r="A248" s="1437" t="s">
        <v>299</v>
      </c>
      <c r="B248" s="601" t="s">
        <v>281</v>
      </c>
      <c r="C248" s="615"/>
      <c r="D248" s="473"/>
      <c r="E248" s="615"/>
      <c r="F248" s="615"/>
      <c r="G248" s="615"/>
      <c r="H248" s="615"/>
      <c r="I248" s="615"/>
      <c r="J248" s="615"/>
      <c r="K248" s="1603">
        <f t="shared" si="21"/>
        <v>0</v>
      </c>
      <c r="L248" s="465"/>
    </row>
    <row r="249" spans="1:12">
      <c r="A249" s="1438" t="s">
        <v>1779</v>
      </c>
      <c r="B249" s="682" t="s">
        <v>282</v>
      </c>
      <c r="C249" s="615"/>
      <c r="D249" s="473"/>
      <c r="E249" s="615"/>
      <c r="F249" s="615"/>
      <c r="G249" s="615"/>
      <c r="H249" s="615"/>
      <c r="I249" s="615"/>
      <c r="J249" s="615"/>
      <c r="K249" s="1603">
        <f t="shared" si="21"/>
        <v>0</v>
      </c>
      <c r="L249" s="465"/>
    </row>
    <row r="250" spans="1:12">
      <c r="A250" s="1437" t="s">
        <v>1780</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20088</v>
      </c>
      <c r="E257" s="615"/>
      <c r="F257" s="615"/>
      <c r="G257" s="615"/>
      <c r="H257" s="615"/>
      <c r="I257" s="615"/>
      <c r="J257" s="615"/>
      <c r="K257" s="1601">
        <f>SUM(K245:K256)</f>
        <v>20088</v>
      </c>
      <c r="L257" s="1601">
        <f>SUM(L245:L256)</f>
        <v>19900</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v>74380</v>
      </c>
      <c r="E259" s="615"/>
      <c r="F259" s="615"/>
      <c r="G259" s="615"/>
      <c r="H259" s="615"/>
      <c r="I259" s="615"/>
      <c r="J259" s="615"/>
      <c r="K259" s="1603">
        <f>D259</f>
        <v>74380</v>
      </c>
      <c r="L259" s="480">
        <v>84600</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74380</v>
      </c>
      <c r="E261" s="615"/>
      <c r="F261" s="615"/>
      <c r="G261" s="615"/>
      <c r="H261" s="615"/>
      <c r="I261" s="615"/>
      <c r="J261" s="615"/>
      <c r="K261" s="1601">
        <f>SUM(K259:K260)</f>
        <v>74380</v>
      </c>
      <c r="L261" s="1601">
        <f>SUM(L259:L260)</f>
        <v>84600</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v>47698</v>
      </c>
      <c r="E263" s="615"/>
      <c r="F263" s="615"/>
      <c r="G263" s="615"/>
      <c r="H263" s="615"/>
      <c r="I263" s="615"/>
      <c r="J263" s="615"/>
      <c r="K263" s="1603">
        <f>D263</f>
        <v>47698</v>
      </c>
      <c r="L263" s="480">
        <v>29200</v>
      </c>
    </row>
    <row r="264" spans="1:14">
      <c r="A264" s="1436" t="s">
        <v>463</v>
      </c>
      <c r="B264" s="684">
        <v>2520</v>
      </c>
      <c r="C264" s="615"/>
      <c r="D264" s="465">
        <v>34039</v>
      </c>
      <c r="E264" s="615"/>
      <c r="F264" s="615"/>
      <c r="G264" s="615"/>
      <c r="H264" s="615"/>
      <c r="I264" s="615"/>
      <c r="J264" s="615"/>
      <c r="K264" s="1603">
        <f t="shared" ref="K264:K269" si="22">D264</f>
        <v>34039</v>
      </c>
      <c r="L264" s="465">
        <v>42500</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203246</v>
      </c>
      <c r="E266" s="615"/>
      <c r="F266" s="615"/>
      <c r="G266" s="615"/>
      <c r="H266" s="615"/>
      <c r="I266" s="615"/>
      <c r="J266" s="615"/>
      <c r="K266" s="1603">
        <f t="shared" si="22"/>
        <v>203246</v>
      </c>
      <c r="L266" s="465">
        <v>217200</v>
      </c>
    </row>
    <row r="267" spans="1:14">
      <c r="A267" s="1436" t="s">
        <v>953</v>
      </c>
      <c r="B267" s="613">
        <v>2550</v>
      </c>
      <c r="C267" s="615"/>
      <c r="D267" s="465">
        <v>79</v>
      </c>
      <c r="E267" s="615"/>
      <c r="F267" s="615"/>
      <c r="G267" s="615"/>
      <c r="H267" s="615"/>
      <c r="I267" s="615"/>
      <c r="J267" s="615"/>
      <c r="K267" s="1603">
        <f t="shared" si="22"/>
        <v>79</v>
      </c>
      <c r="L267" s="465">
        <v>100</v>
      </c>
    </row>
    <row r="268" spans="1:14">
      <c r="A268" s="1436" t="s">
        <v>100</v>
      </c>
      <c r="B268" s="613">
        <v>2560</v>
      </c>
      <c r="C268" s="615"/>
      <c r="D268" s="465">
        <v>9598</v>
      </c>
      <c r="E268" s="615"/>
      <c r="F268" s="615"/>
      <c r="G268" s="615"/>
      <c r="H268" s="615"/>
      <c r="I268" s="615"/>
      <c r="J268" s="615"/>
      <c r="K268" s="1603">
        <f t="shared" si="22"/>
        <v>9598</v>
      </c>
      <c r="L268" s="465">
        <v>10600</v>
      </c>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719</v>
      </c>
      <c r="B270" s="1606" t="s">
        <v>35</v>
      </c>
      <c r="C270" s="615"/>
      <c r="D270" s="1601">
        <f>SUM(D263:D269)</f>
        <v>294660</v>
      </c>
      <c r="E270" s="615"/>
      <c r="F270" s="615"/>
      <c r="G270" s="615"/>
      <c r="H270" s="615"/>
      <c r="I270" s="615"/>
      <c r="J270" s="615"/>
      <c r="K270" s="1601">
        <f>SUM(K263:K269)</f>
        <v>294660</v>
      </c>
      <c r="L270" s="1601">
        <f>SUM(L263:L269)</f>
        <v>299600</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v>10531</v>
      </c>
      <c r="E274" s="615"/>
      <c r="F274" s="615"/>
      <c r="G274" s="615"/>
      <c r="H274" s="615"/>
      <c r="I274" s="615"/>
      <c r="J274" s="615"/>
      <c r="K274" s="1603">
        <f>D274</f>
        <v>10531</v>
      </c>
      <c r="L274" s="465">
        <v>11400</v>
      </c>
    </row>
    <row r="275" spans="1:12">
      <c r="A275" s="1436" t="s">
        <v>403</v>
      </c>
      <c r="B275" s="613">
        <v>2640</v>
      </c>
      <c r="C275" s="615"/>
      <c r="D275" s="465"/>
      <c r="E275" s="615"/>
      <c r="F275" s="615"/>
      <c r="G275" s="615"/>
      <c r="H275" s="615"/>
      <c r="I275" s="615"/>
      <c r="J275" s="615"/>
      <c r="K275" s="1603">
        <f>D275</f>
        <v>0</v>
      </c>
      <c r="L275" s="465"/>
    </row>
    <row r="276" spans="1:12">
      <c r="A276" s="1436" t="s">
        <v>404</v>
      </c>
      <c r="B276" s="613">
        <v>2660</v>
      </c>
      <c r="C276" s="615"/>
      <c r="D276" s="465"/>
      <c r="E276" s="615"/>
      <c r="F276" s="615"/>
      <c r="G276" s="615"/>
      <c r="H276" s="615"/>
      <c r="I276" s="615"/>
      <c r="J276" s="615"/>
      <c r="K276" s="1603">
        <f>D276</f>
        <v>0</v>
      </c>
      <c r="L276" s="465"/>
    </row>
    <row r="277" spans="1:12" ht="12.75" customHeight="1" thickBot="1">
      <c r="A277" s="1622" t="s">
        <v>37</v>
      </c>
      <c r="B277" s="1600" t="s">
        <v>36</v>
      </c>
      <c r="C277" s="615"/>
      <c r="D277" s="1601">
        <f>SUM(D272:D276)</f>
        <v>10531</v>
      </c>
      <c r="E277" s="615"/>
      <c r="F277" s="615"/>
      <c r="G277" s="615"/>
      <c r="H277" s="615"/>
      <c r="I277" s="615"/>
      <c r="J277" s="615"/>
      <c r="K277" s="1601">
        <f>SUM(K272:K276)</f>
        <v>10531</v>
      </c>
      <c r="L277" s="1601">
        <f>SUM(L272:L276)</f>
        <v>11400</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631527</v>
      </c>
      <c r="E279" s="615"/>
      <c r="F279" s="615"/>
      <c r="G279" s="615"/>
      <c r="H279" s="615"/>
      <c r="I279" s="615"/>
      <c r="J279" s="615"/>
      <c r="K279" s="1608">
        <f>SUM(K238,K243,K257,K261,K270,K277,K278)</f>
        <v>631527</v>
      </c>
      <c r="L279" s="1608">
        <f>SUM(L238,L243,L257,L261,L270,L277,L278)</f>
        <v>650000</v>
      </c>
    </row>
    <row r="280" spans="1:12" ht="15.75" customHeight="1" thickTop="1" thickBot="1">
      <c r="A280" s="1556" t="s">
        <v>875</v>
      </c>
      <c r="B280" s="1545">
        <v>3000</v>
      </c>
      <c r="C280" s="615"/>
      <c r="D280" s="575">
        <v>2522</v>
      </c>
      <c r="E280" s="615"/>
      <c r="F280" s="615"/>
      <c r="G280" s="615"/>
      <c r="H280" s="615"/>
      <c r="I280" s="615"/>
      <c r="J280" s="615"/>
      <c r="K280" s="1610">
        <f>D280</f>
        <v>2522</v>
      </c>
      <c r="L280" s="575">
        <v>8100</v>
      </c>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1816</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208" t="s">
        <v>505</v>
      </c>
      <c r="B295" s="2209"/>
      <c r="C295" s="615"/>
      <c r="D295" s="1601">
        <f>SUM(D229,D279,D280,D285)</f>
        <v>1107472</v>
      </c>
      <c r="E295" s="615"/>
      <c r="F295" s="615"/>
      <c r="G295" s="615"/>
      <c r="H295" s="1601">
        <f>H293</f>
        <v>0</v>
      </c>
      <c r="I295" s="615"/>
      <c r="J295" s="615"/>
      <c r="K295" s="1601">
        <f>SUM(K229,K279,K280,K285,K293,K294)</f>
        <v>1107472</v>
      </c>
      <c r="L295" s="1601">
        <f>SUM(L229,L279,L280,L285,L293,L294)</f>
        <v>1147700</v>
      </c>
    </row>
    <row r="296" spans="1:14" ht="13.5" thickTop="1">
      <c r="A296" s="2217" t="s">
        <v>996</v>
      </c>
      <c r="B296" s="2218"/>
      <c r="C296" s="615"/>
      <c r="D296" s="617"/>
      <c r="E296" s="615"/>
      <c r="F296" s="615"/>
      <c r="G296" s="615"/>
      <c r="H296" s="686"/>
      <c r="I296" s="615"/>
      <c r="J296" s="615"/>
      <c r="K296" s="1615">
        <f>'Revenues 9-14'!G268-'Expenditures 15-22'!K295</f>
        <v>392276</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200" t="s">
        <v>143</v>
      </c>
      <c r="B298" s="2194"/>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c r="H301" s="465"/>
      <c r="I301" s="466"/>
      <c r="J301" s="466"/>
      <c r="K301" s="1602">
        <f>SUM(C301:J301)</f>
        <v>0</v>
      </c>
      <c r="L301" s="466">
        <v>250000</v>
      </c>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250000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205" t="s">
        <v>277</v>
      </c>
      <c r="B312" s="2206"/>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250000</v>
      </c>
      <c r="M312" s="664"/>
      <c r="N312" s="664"/>
    </row>
    <row r="313" spans="1:14" ht="13.5" thickTop="1">
      <c r="A313" s="2201" t="s">
        <v>996</v>
      </c>
      <c r="B313" s="2202"/>
      <c r="C313" s="625"/>
      <c r="D313" s="625"/>
      <c r="E313" s="625"/>
      <c r="F313" s="625"/>
      <c r="G313" s="625"/>
      <c r="H313" s="625"/>
      <c r="I313" s="625"/>
      <c r="J313" s="625"/>
      <c r="K313" s="1616">
        <f>'Revenues 9-14'!H268-'Expenditures 15-22'!K312</f>
        <v>22095</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14" t="s">
        <v>149</v>
      </c>
      <c r="B315" s="2215"/>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16" t="s">
        <v>898</v>
      </c>
      <c r="B317" s="2215"/>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1779</v>
      </c>
      <c r="B320" s="697" t="s">
        <v>282</v>
      </c>
      <c r="C320" s="466"/>
      <c r="D320" s="466"/>
      <c r="E320" s="466">
        <v>192136</v>
      </c>
      <c r="F320" s="466"/>
      <c r="G320" s="466"/>
      <c r="H320" s="466"/>
      <c r="I320" s="466"/>
      <c r="J320" s="466"/>
      <c r="K320" s="1602">
        <f t="shared" ref="K320:K327" si="24">SUM(C320:J320)</f>
        <v>192136</v>
      </c>
      <c r="L320" s="466">
        <v>192000</v>
      </c>
      <c r="M320" s="664"/>
      <c r="N320" s="664"/>
    </row>
    <row r="321" spans="1:14" s="673" customFormat="1">
      <c r="A321" s="1451" t="s">
        <v>300</v>
      </c>
      <c r="B321" s="696" t="s">
        <v>283</v>
      </c>
      <c r="C321" s="466"/>
      <c r="D321" s="466"/>
      <c r="E321" s="466">
        <v>22971</v>
      </c>
      <c r="F321" s="466"/>
      <c r="G321" s="466"/>
      <c r="H321" s="466"/>
      <c r="I321" s="466"/>
      <c r="J321" s="466"/>
      <c r="K321" s="1602">
        <f t="shared" si="24"/>
        <v>22971</v>
      </c>
      <c r="L321" s="466">
        <v>5000</v>
      </c>
      <c r="M321" s="664"/>
      <c r="N321" s="664"/>
    </row>
    <row r="322" spans="1:14" s="673" customFormat="1">
      <c r="A322" s="1451" t="s">
        <v>238</v>
      </c>
      <c r="B322" s="696" t="s">
        <v>284</v>
      </c>
      <c r="C322" s="466"/>
      <c r="D322" s="466"/>
      <c r="E322" s="466"/>
      <c r="F322" s="466"/>
      <c r="G322" s="466"/>
      <c r="H322" s="466"/>
      <c r="I322" s="466"/>
      <c r="J322" s="466"/>
      <c r="K322" s="1602">
        <f t="shared" si="24"/>
        <v>0</v>
      </c>
      <c r="L322" s="466">
        <v>25000</v>
      </c>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v>10000</v>
      </c>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v>152072</v>
      </c>
      <c r="F328" s="473"/>
      <c r="G328" s="473"/>
      <c r="H328" s="473"/>
      <c r="I328" s="473"/>
      <c r="J328" s="473"/>
      <c r="K328" s="1630">
        <f>SUM(C328:J328)</f>
        <v>152072</v>
      </c>
      <c r="L328" s="473">
        <v>152100</v>
      </c>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367179</v>
      </c>
      <c r="F330" s="1601">
        <f t="shared" si="25"/>
        <v>0</v>
      </c>
      <c r="G330" s="1601">
        <f t="shared" si="25"/>
        <v>0</v>
      </c>
      <c r="H330" s="1601">
        <f t="shared" si="25"/>
        <v>0</v>
      </c>
      <c r="I330" s="1601">
        <f t="shared" si="25"/>
        <v>0</v>
      </c>
      <c r="J330" s="1601">
        <f t="shared" si="25"/>
        <v>0</v>
      </c>
      <c r="K330" s="1601">
        <f>SUM(K319:K329)</f>
        <v>367179</v>
      </c>
      <c r="L330" s="1601">
        <f>SUM(L319:L329)</f>
        <v>384100</v>
      </c>
      <c r="M330" s="664"/>
      <c r="N330" s="664"/>
    </row>
    <row r="331" spans="1:14" s="673" customFormat="1" ht="12.75" customHeight="1" thickTop="1">
      <c r="A331" s="1762" t="s">
        <v>1822</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367179</v>
      </c>
      <c r="F342" s="1601">
        <f>SUM(F330)</f>
        <v>0</v>
      </c>
      <c r="G342" s="1601">
        <f>SUM(G330)</f>
        <v>0</v>
      </c>
      <c r="H342" s="1601">
        <f>SUM(H330,H334,H340)</f>
        <v>0</v>
      </c>
      <c r="I342" s="1601">
        <f>SUM(I330)</f>
        <v>0</v>
      </c>
      <c r="J342" s="1601">
        <f>SUM(J330)</f>
        <v>0</v>
      </c>
      <c r="K342" s="1601">
        <f>SUM(K330,K334,K340)</f>
        <v>367179</v>
      </c>
      <c r="L342" s="1608">
        <f>SUM(L330,L334,L340,L341)</f>
        <v>384100</v>
      </c>
    </row>
    <row r="343" spans="1:14" ht="12.75" customHeight="1" thickTop="1">
      <c r="A343" s="2203" t="s">
        <v>996</v>
      </c>
      <c r="B343" s="2204"/>
      <c r="C343" s="615"/>
      <c r="D343" s="615"/>
      <c r="E343" s="615"/>
      <c r="F343" s="615"/>
      <c r="G343" s="615"/>
      <c r="H343" s="615"/>
      <c r="I343" s="615"/>
      <c r="J343" s="615"/>
      <c r="K343" s="1615">
        <f>'Revenues 9-14'!J268-'Expenditures 15-22'!K342</f>
        <v>242161</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93" t="s">
        <v>966</v>
      </c>
      <c r="B345" s="2194"/>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row>
    <row r="349" spans="1:14">
      <c r="A349" s="1436" t="s">
        <v>197</v>
      </c>
      <c r="B349" s="613">
        <v>2540</v>
      </c>
      <c r="C349" s="465"/>
      <c r="D349" s="465"/>
      <c r="E349" s="465"/>
      <c r="F349" s="465"/>
      <c r="G349" s="465"/>
      <c r="H349" s="465"/>
      <c r="I349" s="466"/>
      <c r="J349" s="466"/>
      <c r="K349" s="1602">
        <f>SUM(C349:J349)</f>
        <v>0</v>
      </c>
      <c r="L349" s="465">
        <v>50000</v>
      </c>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50000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50000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v>23</v>
      </c>
      <c r="I363" s="637"/>
      <c r="J363" s="637"/>
      <c r="K363" s="1630">
        <f>SUM(C363:J363)</f>
        <v>23</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23</v>
      </c>
      <c r="I365" s="637"/>
      <c r="J365" s="637"/>
      <c r="K365" s="1634">
        <f>SUM(K362,K363,K364)</f>
        <v>23</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23</v>
      </c>
      <c r="I367" s="1601">
        <f t="shared" si="28"/>
        <v>0</v>
      </c>
      <c r="J367" s="1601">
        <f t="shared" si="28"/>
        <v>0</v>
      </c>
      <c r="K367" s="1601">
        <f t="shared" si="28"/>
        <v>23</v>
      </c>
      <c r="L367" s="1601">
        <f t="shared" si="28"/>
        <v>50000</v>
      </c>
    </row>
    <row r="368" spans="1:14" ht="13.5" thickTop="1">
      <c r="A368" s="2217" t="s">
        <v>996</v>
      </c>
      <c r="B368" s="2218"/>
      <c r="C368" s="653"/>
      <c r="D368" s="653"/>
      <c r="E368" s="625"/>
      <c r="F368" s="625"/>
      <c r="G368" s="625"/>
      <c r="H368" s="625"/>
      <c r="I368" s="625"/>
      <c r="J368" s="622"/>
      <c r="K368" s="1602">
        <f>'Revenues 9-14'!K268-'Expenditures 15-22'!K367</f>
        <v>947</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www.w3.org/XML/1998/namespace"/>
    <ds:schemaRef ds:uri="4d435f69-8686-490b-bd6d-b153bf22ab50"/>
    <ds:schemaRef ds:uri="d21dc803-237d-4c68-8692-8d731fd29118"/>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2019-12-05T19:46:23Z</cp:lastPrinted>
  <dcterms:created xsi:type="dcterms:W3CDTF">2003-10-29T19:06:34Z</dcterms:created>
  <dcterms:modified xsi:type="dcterms:W3CDTF">2020-01-27T21:45:09Z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